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3.xml" ContentType="application/vnd.openxmlformats-officedocument.spreadsheetml.comments+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ml.chartshapes+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Users\yuuji\Dropbox\Kaissa Consumer\Mosaic\buckets\AGENTICS\TYL\source\"/>
    </mc:Choice>
  </mc:AlternateContent>
  <xr:revisionPtr revIDLastSave="0" documentId="8_{DFBA269F-BE6B-4C9F-8D28-9CFE8177B711}" xr6:coauthVersionLast="47" xr6:coauthVersionMax="47" xr10:uidLastSave="{00000000-0000-0000-0000-000000000000}"/>
  <bookViews>
    <workbookView xWindow="2400" yWindow="-16200" windowWidth="19410" windowHeight="15585" tabRatio="863" activeTab="4" xr2:uid="{00000000-000D-0000-FFFF-FFFF00000000}"/>
  </bookViews>
  <sheets>
    <sheet name="Comparison" sheetId="12" r:id="rId1"/>
    <sheet name="Income Statement" sheetId="1" r:id="rId2"/>
    <sheet name="Balance Sheet" sheetId="2" r:id="rId3"/>
    <sheet name="Cash Flows" sheetId="3" r:id="rId4"/>
    <sheet name="Revenue Build" sheetId="21" r:id="rId5"/>
    <sheet name="Guide" sheetId="24" r:id="rId6"/>
    <sheet name="BM Upload" sheetId="18" r:id="rId7"/>
    <sheet name="OM" sheetId="23" r:id="rId8"/>
    <sheet name="Organic Growth" sheetId="22" r:id="rId9"/>
    <sheet name="NIC Acquisition" sheetId="20" r:id="rId10"/>
    <sheet name="Charts" sheetId="26" r:id="rId11"/>
    <sheet name="Metrics" sheetId="8" r:id="rId12"/>
    <sheet name="backlog charts" sheetId="19" r:id="rId13"/>
    <sheet name="Sheet1" sheetId="25" r:id="rId14"/>
    <sheet name="Old Rev build" sheetId="9" r:id="rId15"/>
    <sheet name="Acquisitions" sheetId="4" r:id="rId16"/>
    <sheet name="Products 1" sheetId="5" r:id="rId17"/>
    <sheet name="Products 2" sheetId="6" r:id="rId18"/>
    <sheet name="Competitors" sheetId="7" r:id="rId19"/>
  </sheets>
  <externalReferences>
    <externalReference r:id="rId20"/>
    <externalReference r:id="rId21"/>
    <externalReference r:id="rId22"/>
  </externalReferences>
  <definedNames>
    <definedName name="__FDS_HYPERLINK_TOGGLE_STATE__" hidden="1">"ON"</definedName>
    <definedName name="_n324" hidden="1">"c39"</definedName>
    <definedName name="_new1" hidden="1">"c32"</definedName>
    <definedName name="_new2" hidden="1">"c8"</definedName>
    <definedName name="_new3" hidden="1">"c7"</definedName>
    <definedName name="_new5" hidden="1">"c1471"</definedName>
    <definedName name="as" hidden="1">"c2127"</definedName>
    <definedName name="asd" hidden="1">"c1630"</definedName>
    <definedName name="blank">#REF!</definedName>
    <definedName name="Current_Q">#REF!</definedName>
    <definedName name="export">#REF!</definedName>
    <definedName name="fds" hidden="1">"c275"</definedName>
    <definedName name="fdsa" hidden="1">"c301"</definedName>
    <definedName name="fgh" hidden="1">"c118"</definedName>
    <definedName name="FY_92">#REF!</definedName>
    <definedName name="FY_93">#REF!</definedName>
    <definedName name="FY_94">#REF!</definedName>
    <definedName name="gf" hidden="1">"c247"</definedName>
    <definedName name="gfdfsa" hidden="1">"c261"</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DUSTRY_REC" hidden="1">"c4455"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ROK_COMMISSION" hidden="1">"c3514"</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FLOW_ACT_OR_EST" hidden="1">"c4154"</definedName>
    <definedName name="IQ_CASH_INTEREST" hidden="1">"c120"</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ERT" hidden="1">"c2536"</definedName>
    <definedName name="IQ_CONVERT_PCT" hidden="1">"c2537"</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GW_ACT_OR_EST" hidden="1">"c4306"</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BC_ACT_OR_EST" hidden="1">"c4316"</definedName>
    <definedName name="IQ_EBIT_SBC_GW_ACT_OR_EST" hidden="1">"c4320"</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SBC_ACT_OR_EST" hidden="1">"c4350"</definedName>
    <definedName name="IQ_EBT_SBC_GW_ACT_OR_EST" hidden="1">"c4354"</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EST_REUT" hidden="1">"c5453"</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NUM_EST_REUT" hidden="1">"c5451"</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CURRENCY_REUT" hidden="1">"c5437"</definedName>
    <definedName name="IQ_EST_DATE" hidden="1">"c1634"</definedName>
    <definedName name="IQ_EST_DATE_REUT" hidden="1">"c5438"</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1YR_REUT" hidden="1">"c3646"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REUT" hidden="1">"c3633"</definedName>
    <definedName name="IQ_EST_EPS_GROWTH_5YR_STDDEV" hidden="1">"c1660"</definedName>
    <definedName name="IQ_EST_EPS_GROWTH_Q_1YR" hidden="1">"c1641"</definedName>
    <definedName name="IQ_EST_EPS_GROWTH_Q_1YR_REUT" hidden="1">"c5410"</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ADJ_ACT_OR_EST" hidden="1">"c4435"</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HARE_ACT_OR_EST" hidden="1">"c4446"</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_TARGET_PRICE_REUT" hidden="1">"c5317"</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PRD" hidden="1">"c644"</definedName>
    <definedName name="IQ_ISS_DEBT_NET" hidden="1">"c1391"</definedName>
    <definedName name="IQ_ISS_STOCK_NET" hidden="1">"c1601"</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CAPEX_ACT_OR_EST" hidden="1">"c4458"</definedName>
    <definedName name="IQ_MAINT_REPAIR" hidden="1">"c2087"</definedName>
    <definedName name="IQ_MARKET_CAP_LFCF" hidden="1">"c2209"</definedName>
    <definedName name="IQ_MARKETCAP" hidden="1">"c712"</definedName>
    <definedName name="IQ_MARKETING" hidden="1">"c2239"</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 hidden="1">"c4474"</definedName>
    <definedName name="IQ_NI_SBC_GW_ACT_OR_EST" hidden="1">"c4478"</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_TARGET_REUT" hidden="1">"c3631"</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SHARE_ACT_OR_EST" hidden="1">"c4508"</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ACT_OR_EST" hidden="1">"c2214"</definedName>
    <definedName name="IQ_REVENUE_EST" hidden="1">"c1126"</definedName>
    <definedName name="IQ_REVENUE_EST_REUT" hidden="1">"c3634"</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39286.2329861111</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Z_SCORE" hidden="1">"c1339"</definedName>
    <definedName name="lk" hidden="1">"c147"</definedName>
    <definedName name="mn" hidden="1">"c315"</definedName>
    <definedName name="N_A">#REF!</definedName>
    <definedName name="N_M">#REF!</definedName>
    <definedName name="nert" hidden="1">"c88"</definedName>
    <definedName name="new" hidden="1">"c413"</definedName>
    <definedName name="Next_Actual_Period_Range">'[1]Income Statement'!$D$3:$BE$6</definedName>
    <definedName name="NM_T">#REF!</definedName>
    <definedName name="no" hidden="1">38995.2790740741</definedName>
    <definedName name="nwer" hidden="1">"c65"</definedName>
    <definedName name="oiu" hidden="1">"c313"</definedName>
    <definedName name="po" hidden="1">"c182"</definedName>
    <definedName name="poir" hidden="1">"c322"</definedName>
    <definedName name="_xlnm.Print_Area" localSheetId="0">Comparison!$B$2:$M$43</definedName>
    <definedName name="_xlnm.Print_Area" localSheetId="1">'Income Statement'!$B$4:$CU$96</definedName>
    <definedName name="Prior_Q">#REF!</definedName>
    <definedName name="qw" hidden="1">"c115"</definedName>
    <definedName name="re" hidden="1">"c226"</definedName>
    <definedName name="reqw" hidden="1">"c274"</definedName>
    <definedName name="rty" hidden="1">"c118"</definedName>
    <definedName name="Same_Q_Last_Yr">#REF!</definedName>
    <definedName name="source">#REF!</definedName>
    <definedName name="tyu" hidden="1">"c124"</definedName>
    <definedName name="WIZARD_3YRATCF">#REF!</definedName>
    <definedName name="WIZARD_3YREBITDA">#REF!</definedName>
    <definedName name="WIZARD_3YRSECGROWTH">#REF!</definedName>
    <definedName name="WIZARD_AVGTRADINGVOLUME">#REF!</definedName>
    <definedName name="WIZARD_BKVALSHR">#REF!</definedName>
    <definedName name="WIZARD_BURNRATE">#REF!</definedName>
    <definedName name="WIZARD_CASH">#REF!</definedName>
    <definedName name="WIZARD_DIVYIELD">#REF!</definedName>
    <definedName name="WIZARD_EARNINGS">#REF!</definedName>
    <definedName name="WIZARD_EBITDABYSHROO">#REF!</definedName>
    <definedName name="WIZARD_EVBYEBITDAOO">#REF!</definedName>
    <definedName name="WIZARD_EVINVCAP">#REF!</definedName>
    <definedName name="WIZARD_LTDEBT">#REF!</definedName>
    <definedName name="WIZARD_MARKETCAP">#REF!</definedName>
    <definedName name="WIZARD_NETDEBTCAP">#REF!</definedName>
    <definedName name="WIZARD_OPERMARGIN">#REF!</definedName>
    <definedName name="WIZARD_PRICEESTNAV">#REF!</definedName>
    <definedName name="WIZARD_REVENUES">#REF!</definedName>
    <definedName name="WIZARD_ROAA">#REF!</definedName>
    <definedName name="WIZARD_ROAE">#REF!</definedName>
    <definedName name="WIZARD_ROE">#REF!</definedName>
    <definedName name="WIZARD_ROIC">#REF!</definedName>
    <definedName name="WIZARD_SHARESOUT">#REF!</definedName>
    <definedName name="WIZARD_STATIONREV">#REF!</definedName>
    <definedName name="WIZARD_TICKER">#REF!</definedName>
    <definedName name="WIZARD_TOTDEBTCAP">#REF!</definedName>
    <definedName name="WIZARD_Y1CAPREVR">[2]AMAT_FC!#REF!</definedName>
    <definedName name="WIZARD_Y1CAPREVS2">#REF!</definedName>
    <definedName name="WIZARD_Y1CASHCYEPSS1">#REF!</definedName>
    <definedName name="WIZARD_Y1CASHCYPES1">#REF!</definedName>
    <definedName name="WIZARD_Y1CYE">[2]AMAT_FC!#REF!</definedName>
    <definedName name="WIZARD_Y1CYPEE">[2]AMAT_FC!#REF!</definedName>
    <definedName name="WIZARD_Y1CYPES1">#REF!</definedName>
    <definedName name="WIZARD_Y1CYREVS2">#REF!</definedName>
    <definedName name="WIZARD_Y1CYS1">#REF!</definedName>
    <definedName name="WIZARD_Y1E">[2]AMAT_FC!#REF!</definedName>
    <definedName name="WIZARD_Y1EBITDAYRS2">#REF!</definedName>
    <definedName name="WIZARD_Y1EMVBYREV">#REF!</definedName>
    <definedName name="WIZARD_Y1EVEBITDAS2">#REF!</definedName>
    <definedName name="WIZARD_Y1PEE">[2]AMAT_FC!#REF!</definedName>
    <definedName name="WIZARD_Y1PES1">#REF!</definedName>
    <definedName name="WIZARD_Y1Q1E">[2]AMAT_FC!#REF!</definedName>
    <definedName name="WIZARD_Y1Q1R">[2]AMAT_FC!#REF!</definedName>
    <definedName name="WIZARD_Y1Q1S1">#REF!</definedName>
    <definedName name="WIZARD_Y1Q1S2">#REF!</definedName>
    <definedName name="WIZARD_Y1Q2E">[2]AMAT_FC!#REF!</definedName>
    <definedName name="WIZARD_Y1Q2R">[2]AMAT_FC!#REF!</definedName>
    <definedName name="WIZARD_Y1Q2S1">#REF!</definedName>
    <definedName name="WIZARD_Y1Q2S2">#REF!</definedName>
    <definedName name="WIZARD_Y1Q3E">[2]AMAT_FC!#REF!</definedName>
    <definedName name="WIZARD_Y1Q3R">[2]AMAT_FC!#REF!</definedName>
    <definedName name="WIZARD_Y1Q3S1">#REF!</definedName>
    <definedName name="WIZARD_Y1Q3S2">#REF!</definedName>
    <definedName name="WIZARD_Y1Q4E">[2]AMAT_FC!#REF!</definedName>
    <definedName name="WIZARD_Y1Q4R">[2]AMAT_FC!#REF!</definedName>
    <definedName name="WIZARD_Y1Q4S1">#REF!</definedName>
    <definedName name="WIZARD_Y1Q4S2">#REF!</definedName>
    <definedName name="WIZARD_Y1R">[2]AMAT_FC!#REF!</definedName>
    <definedName name="WIZARD_Y1S1">#REF!</definedName>
    <definedName name="WIZARD_Y1S2">#REF!</definedName>
    <definedName name="WIZARD_Y1YEARE">[2]AMAT_FC!#REF!</definedName>
    <definedName name="WIZARD_Y1YEARR">[2]AMAT_FC!#REF!</definedName>
    <definedName name="WIZARD_Y1YEARS1">#REF!</definedName>
    <definedName name="WIZARD_Y1YEARS2">#REF!</definedName>
    <definedName name="WIZARD_Y2EMVBYREV">#REF!</definedName>
    <definedName name="WIZARD_Y2PES1">#REF!</definedName>
    <definedName name="WIZARD_Y2Q1S1">#REF!</definedName>
    <definedName name="WIZARD_Y2Q1S2">#REF!</definedName>
    <definedName name="WIZARD_Y2Q2S1">#REF!</definedName>
    <definedName name="WIZARD_Y2Q2S2">#REF!</definedName>
    <definedName name="WIZARD_Y2Q3S1">#REF!</definedName>
    <definedName name="WIZARD_Y2Q3S2">#REF!</definedName>
    <definedName name="WIZARD_Y2Q4S1">#REF!</definedName>
    <definedName name="WIZARD_Y2Q4S2">#REF!</definedName>
    <definedName name="WIZARD_Y2S1">#REF!</definedName>
    <definedName name="WIZARD_Y2S2">#REF!</definedName>
    <definedName name="WIZARD_Y2YEARS2">#REF!</definedName>
    <definedName name="WIZARD_Y3EMVBYREV">#REF!</definedName>
    <definedName name="WIZARD_Y3PES1">#REF!</definedName>
    <definedName name="WIZARD_Y3Q1E">[3]NVLS_FC!$G$11</definedName>
    <definedName name="WIZARD_Y3Q1S1">#REF!</definedName>
    <definedName name="WIZARD_Y3Q1S2">#REF!</definedName>
    <definedName name="WIZARD_Y3Q2S1">#REF!</definedName>
    <definedName name="WIZARD_Y3Q2S2">#REF!</definedName>
    <definedName name="WIZARD_Y3Q3S1">#REF!</definedName>
    <definedName name="WIZARD_Y3Q3S2">#REF!</definedName>
    <definedName name="WIZARD_Y3Q4S1">#REF!</definedName>
    <definedName name="WIZARD_Y3Q4S2">#REF!</definedName>
    <definedName name="WIZARD_Y3S1">#REF!</definedName>
    <definedName name="WIZARD_Y3S2">#REF!</definedName>
    <definedName name="WIZARD_Y3YEARE">[3]NVLS_FC!$G$15</definedName>
    <definedName name="WIZARD_Y3YEARS2">#REF!</definedName>
    <definedName name="WIZARD_YEARSOFCASH">#REF!</definedName>
    <definedName name="xcv" hidden="1">"c161"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V48" i="1" l="1"/>
  <c r="CX10" i="1"/>
  <c r="CX11" i="1" s="1"/>
  <c r="AM32" i="18"/>
  <c r="Y32" i="18"/>
  <c r="AG24" i="18"/>
  <c r="S24" i="18"/>
  <c r="AO22" i="18"/>
  <c r="AA22" i="18"/>
  <c r="AL32" i="18"/>
  <c r="X32" i="18"/>
  <c r="AT24" i="18"/>
  <c r="AF24" i="18"/>
  <c r="AN22" i="18"/>
  <c r="Z22" i="18"/>
  <c r="AK32" i="18"/>
  <c r="W32" i="18"/>
  <c r="AS24" i="18"/>
  <c r="AE24" i="18"/>
  <c r="AM22" i="18"/>
  <c r="Y22" i="18"/>
  <c r="AJ32" i="18"/>
  <c r="V32" i="18"/>
  <c r="AR24" i="18"/>
  <c r="AD24" i="18"/>
  <c r="AL22" i="18"/>
  <c r="X22" i="18"/>
  <c r="AQ24" i="18"/>
  <c r="AK22" i="18"/>
  <c r="W22" i="18"/>
  <c r="T32" i="18"/>
  <c r="AP24" i="18"/>
  <c r="AB24" i="18"/>
  <c r="V22" i="18"/>
  <c r="S32" i="18"/>
  <c r="AO24" i="18"/>
  <c r="AI22" i="18"/>
  <c r="AF32" i="18"/>
  <c r="Z24" i="18"/>
  <c r="AH22" i="18"/>
  <c r="AM24" i="18"/>
  <c r="AG22" i="18"/>
  <c r="AD32" i="18"/>
  <c r="X24" i="18"/>
  <c r="AT22" i="18"/>
  <c r="AQ32" i="18"/>
  <c r="AK24" i="18"/>
  <c r="AE22" i="18"/>
  <c r="D13" i="18"/>
  <c r="AJ24" i="18"/>
  <c r="AD22" i="18"/>
  <c r="D10" i="18"/>
  <c r="AA32" i="18"/>
  <c r="U24" i="18"/>
  <c r="AQ22" i="18"/>
  <c r="AH24" i="18"/>
  <c r="AB22" i="18"/>
  <c r="AI32" i="18"/>
  <c r="U32" i="18"/>
  <c r="AC24" i="18"/>
  <c r="AH32" i="18"/>
  <c r="AJ22" i="18"/>
  <c r="AG32" i="18"/>
  <c r="AA24" i="18"/>
  <c r="U22" i="18"/>
  <c r="AT32" i="18"/>
  <c r="AN24" i="18"/>
  <c r="T22" i="18"/>
  <c r="AE32" i="18"/>
  <c r="Y24" i="18"/>
  <c r="S22" i="18"/>
  <c r="AR32" i="18"/>
  <c r="AL24" i="18"/>
  <c r="AF22" i="18"/>
  <c r="AC32" i="18"/>
  <c r="W24" i="18"/>
  <c r="AS22" i="18"/>
  <c r="AB32" i="18"/>
  <c r="V24" i="18"/>
  <c r="AR22" i="18"/>
  <c r="AI24" i="18"/>
  <c r="AC22" i="18"/>
  <c r="Z32" i="18"/>
  <c r="T24" i="18"/>
  <c r="AP22" i="18"/>
  <c r="AS32" i="18"/>
  <c r="AP32" i="18"/>
  <c r="AO32" i="18"/>
  <c r="AN32" i="18"/>
  <c r="AF113" i="21" l="1"/>
  <c r="CO16" i="3"/>
  <c r="CO10" i="3"/>
  <c r="CO9" i="3" s="1"/>
  <c r="CO62" i="3" s="1"/>
  <c r="CP23" i="2"/>
  <c r="CP22" i="2"/>
  <c r="CO79" i="1"/>
  <c r="CO63" i="1"/>
  <c r="CO46" i="1"/>
  <c r="CO32" i="1"/>
  <c r="CO48" i="1"/>
  <c r="CO44" i="1"/>
  <c r="CO36" i="1"/>
  <c r="CO98" i="1"/>
  <c r="CO71" i="1"/>
  <c r="CO64" i="1"/>
  <c r="CO52" i="1"/>
  <c r="AU17" i="18"/>
  <c r="BA17" i="18"/>
  <c r="AZ17" i="18"/>
  <c r="AY17" i="18"/>
  <c r="AX17" i="18"/>
  <c r="AW17" i="18"/>
  <c r="AV17" i="18"/>
  <c r="AV24" i="18" l="1"/>
  <c r="AV32" i="18"/>
  <c r="AV22" i="18"/>
  <c r="AW22" i="18"/>
  <c r="AW32" i="18"/>
  <c r="AW24" i="18"/>
  <c r="AX24" i="18"/>
  <c r="AX32" i="18"/>
  <c r="AX22" i="18"/>
  <c r="AY24" i="18"/>
  <c r="AY22" i="18"/>
  <c r="AY32" i="18"/>
  <c r="AZ32" i="18"/>
  <c r="AZ24" i="18"/>
  <c r="AZ22" i="18"/>
  <c r="BA22" i="18"/>
  <c r="BA32" i="18"/>
  <c r="BA24" i="18"/>
  <c r="AU22" i="18"/>
  <c r="AU24" i="18"/>
  <c r="AU32" i="18"/>
  <c r="CO38" i="1"/>
  <c r="H39" i="12"/>
  <c r="G14" i="12"/>
  <c r="G10" i="12"/>
  <c r="G8" i="12"/>
  <c r="G7" i="12"/>
  <c r="G6" i="12"/>
  <c r="G5" i="12"/>
  <c r="G4" i="12"/>
  <c r="E39" i="12"/>
  <c r="D52" i="12"/>
  <c r="D51" i="12"/>
  <c r="D45" i="12"/>
  <c r="D10" i="12"/>
  <c r="D8" i="12"/>
  <c r="D6" i="12"/>
  <c r="D5" i="12"/>
  <c r="D4" i="12"/>
  <c r="D17" i="12"/>
  <c r="D9" i="12"/>
  <c r="G52" i="12"/>
  <c r="G51" i="12"/>
  <c r="G45" i="12"/>
  <c r="G17" i="12"/>
  <c r="G9" i="12"/>
  <c r="K17" i="12"/>
  <c r="K9" i="12"/>
  <c r="K4" i="12"/>
  <c r="H4" i="12" s="1"/>
  <c r="G11" i="12" l="1"/>
  <c r="E4" i="12"/>
  <c r="E26" i="26"/>
  <c r="D24" i="26"/>
  <c r="D27" i="26" s="1"/>
  <c r="E24" i="26"/>
  <c r="F24" i="26"/>
  <c r="F27" i="26" s="1"/>
  <c r="G24" i="26"/>
  <c r="G27" i="26" s="1"/>
  <c r="C24" i="26"/>
  <c r="C27" i="26" s="1"/>
  <c r="H14" i="26"/>
  <c r="H13" i="26"/>
  <c r="H11" i="26"/>
  <c r="H10" i="26"/>
  <c r="H12" i="26" l="1"/>
  <c r="H15" i="26"/>
  <c r="E27" i="26"/>
  <c r="H27" i="26"/>
  <c r="D21" i="26"/>
  <c r="CL32" i="1"/>
  <c r="CL33" i="1" s="1"/>
  <c r="CN104" i="1" l="1"/>
  <c r="CL104" i="1"/>
  <c r="CM104" i="1"/>
  <c r="CY34" i="1"/>
  <c r="CY35" i="1" s="1"/>
  <c r="AD65" i="21"/>
  <c r="K52" i="12"/>
  <c r="H52" i="12" l="1"/>
  <c r="E52" i="12"/>
  <c r="AE18" i="21"/>
  <c r="AE20" i="21"/>
  <c r="AE42" i="21"/>
  <c r="AE44" i="21"/>
  <c r="AE114" i="21"/>
  <c r="AD114" i="21"/>
  <c r="AE113" i="21"/>
  <c r="CN98" i="1" l="1"/>
  <c r="CN46" i="1"/>
  <c r="CN48" i="1"/>
  <c r="G26" i="12" s="1"/>
  <c r="CN44" i="1"/>
  <c r="G25" i="12" s="1"/>
  <c r="CN32" i="1"/>
  <c r="G16" i="12" s="1"/>
  <c r="CN79" i="1"/>
  <c r="G41" i="12" s="1"/>
  <c r="CN63" i="1"/>
  <c r="CN64" i="1" s="1"/>
  <c r="G33" i="12" s="1"/>
  <c r="CN36" i="1"/>
  <c r="CN71" i="1"/>
  <c r="G38" i="12" s="1"/>
  <c r="CN29" i="1"/>
  <c r="CN23" i="1"/>
  <c r="CN22" i="1"/>
  <c r="CN21" i="1"/>
  <c r="CN16" i="1"/>
  <c r="CN15" i="1"/>
  <c r="CN13" i="1"/>
  <c r="CN12" i="1"/>
  <c r="CN10" i="1"/>
  <c r="CN9" i="1"/>
  <c r="CN7" i="1"/>
  <c r="CN6" i="1"/>
  <c r="CN37" i="1" l="1"/>
  <c r="G18" i="12"/>
  <c r="CN38" i="1"/>
  <c r="CN40" i="1" s="1"/>
  <c r="CN41" i="1" s="1"/>
  <c r="CN52" i="1"/>
  <c r="CN56" i="2"/>
  <c r="CN59" i="2"/>
  <c r="CN60" i="2"/>
  <c r="CN62" i="2"/>
  <c r="CN63" i="2"/>
  <c r="CN55" i="2"/>
  <c r="AE111" i="21"/>
  <c r="CN33" i="1"/>
  <c r="CN49" i="1"/>
  <c r="CN45" i="1"/>
  <c r="CN47" i="1"/>
  <c r="CN54" i="1" l="1"/>
  <c r="CN66" i="1" s="1"/>
  <c r="CM122" i="1"/>
  <c r="CM137" i="1"/>
  <c r="CM79" i="1"/>
  <c r="CM32" i="1"/>
  <c r="AD69" i="21"/>
  <c r="AA9" i="21"/>
  <c r="CN55" i="1" l="1"/>
  <c r="CN78" i="1"/>
  <c r="CN81" i="1" s="1"/>
  <c r="CN67" i="1"/>
  <c r="CN84" i="1"/>
  <c r="AD99" i="21"/>
  <c r="AD36" i="21"/>
  <c r="AC36" i="21"/>
  <c r="CN80" i="1" l="1"/>
  <c r="CN86" i="1"/>
  <c r="CN87" i="1"/>
  <c r="CN82" i="1"/>
  <c r="CN90" i="1"/>
  <c r="AE73" i="21"/>
  <c r="AF73" i="21"/>
  <c r="AE69" i="21"/>
  <c r="AF69" i="21"/>
  <c r="AF67" i="21"/>
  <c r="AE67" i="21"/>
  <c r="AE63" i="21"/>
  <c r="AC63" i="21"/>
  <c r="AC65" i="21"/>
  <c r="AC67" i="21"/>
  <c r="AC69" i="21"/>
  <c r="AC73" i="21"/>
  <c r="AD73" i="21"/>
  <c r="AD67" i="21"/>
  <c r="AD63" i="21"/>
  <c r="AD20" i="21"/>
  <c r="AD18" i="21"/>
  <c r="AD44" i="21"/>
  <c r="AD42" i="21"/>
  <c r="AC20" i="21"/>
  <c r="AC18" i="21"/>
  <c r="AC44" i="21"/>
  <c r="AC42" i="21"/>
  <c r="AH99" i="21"/>
  <c r="AH43" i="21"/>
  <c r="AC77" i="21" l="1"/>
  <c r="CN92" i="1"/>
  <c r="CN88" i="1"/>
  <c r="G14" i="24"/>
  <c r="AD7" i="21"/>
  <c r="CM10" i="3"/>
  <c r="CM9" i="3" s="1"/>
  <c r="CM62" i="3" s="1"/>
  <c r="CM98" i="1"/>
  <c r="CM63" i="1"/>
  <c r="CM46" i="1"/>
  <c r="CM48" i="1"/>
  <c r="CM44" i="1"/>
  <c r="CM33" i="1"/>
  <c r="CM36" i="1"/>
  <c r="CM28" i="1"/>
  <c r="CM37" i="1" l="1"/>
  <c r="CM29" i="1"/>
  <c r="AK99" i="21"/>
  <c r="AJ99" i="21"/>
  <c r="AI99" i="21"/>
  <c r="AK95" i="21"/>
  <c r="AJ95" i="21"/>
  <c r="AI95" i="21"/>
  <c r="AH95" i="21"/>
  <c r="AL94" i="21"/>
  <c r="AL92" i="21"/>
  <c r="AL90" i="21"/>
  <c r="AK88" i="21"/>
  <c r="AJ88" i="21"/>
  <c r="AI88" i="21"/>
  <c r="AH88" i="21"/>
  <c r="AL87" i="21"/>
  <c r="AE99" i="21"/>
  <c r="AF99" i="21"/>
  <c r="AE95" i="21"/>
  <c r="AF95" i="21"/>
  <c r="AG94" i="21"/>
  <c r="AG92" i="21"/>
  <c r="AG90" i="21"/>
  <c r="AG87" i="21"/>
  <c r="AF88" i="21"/>
  <c r="AE88" i="21"/>
  <c r="AD95" i="21"/>
  <c r="AD88" i="21"/>
  <c r="Y73" i="21"/>
  <c r="CK20" i="1"/>
  <c r="CL46" i="1"/>
  <c r="CL44" i="1"/>
  <c r="CL48" i="1"/>
  <c r="CL2" i="1"/>
  <c r="AL99" i="21" l="1"/>
  <c r="AK100" i="21"/>
  <c r="AL88" i="21"/>
  <c r="AI100" i="21"/>
  <c r="AJ100" i="21"/>
  <c r="AL91" i="21"/>
  <c r="AL93" i="21"/>
  <c r="AL95" i="21"/>
  <c r="CP13" i="3"/>
  <c r="CP14" i="3"/>
  <c r="CP15" i="3"/>
  <c r="CP16" i="3"/>
  <c r="CP17" i="3"/>
  <c r="CP19" i="3"/>
  <c r="CT10" i="3"/>
  <c r="CS10" i="3"/>
  <c r="CR10" i="3"/>
  <c r="CQ10" i="3"/>
  <c r="CH10" i="3"/>
  <c r="CG10" i="3"/>
  <c r="CN10" i="3"/>
  <c r="CN9" i="3" s="1"/>
  <c r="CL10" i="3"/>
  <c r="CL9" i="3" s="1"/>
  <c r="CL79" i="1"/>
  <c r="CL63" i="1"/>
  <c r="CL64" i="1" s="1"/>
  <c r="AC99" i="21"/>
  <c r="AG99" i="21" s="1"/>
  <c r="AG103" i="21" s="1"/>
  <c r="AC95" i="21"/>
  <c r="AC88" i="21"/>
  <c r="AC113" i="21"/>
  <c r="BV11" i="3"/>
  <c r="BV13" i="3"/>
  <c r="BV15" i="3"/>
  <c r="BV16" i="3"/>
  <c r="BV17" i="3"/>
  <c r="CA16" i="3"/>
  <c r="CA17" i="3"/>
  <c r="BQ50" i="3"/>
  <c r="BV46" i="3"/>
  <c r="CK19" i="3"/>
  <c r="CK20" i="3"/>
  <c r="CK21" i="3"/>
  <c r="CK22" i="3"/>
  <c r="CK23" i="3"/>
  <c r="CK46" i="3"/>
  <c r="CL30" i="3"/>
  <c r="CL31" i="3"/>
  <c r="CL33" i="3"/>
  <c r="CP32" i="2"/>
  <c r="CQ32" i="2" s="1"/>
  <c r="CR32" i="2" s="1"/>
  <c r="CS32" i="2" s="1"/>
  <c r="CT32" i="2" s="1"/>
  <c r="CU32" i="2" s="1"/>
  <c r="CL33" i="2"/>
  <c r="CJ33" i="2"/>
  <c r="CI33" i="2"/>
  <c r="CH33" i="2"/>
  <c r="CG33" i="2"/>
  <c r="CE33" i="2"/>
  <c r="CD33" i="2"/>
  <c r="CC33" i="2"/>
  <c r="CB33" i="2"/>
  <c r="BZ33" i="2"/>
  <c r="BX33" i="2"/>
  <c r="BW33" i="2"/>
  <c r="BJ33" i="2"/>
  <c r="BI33" i="2"/>
  <c r="BH33" i="2"/>
  <c r="CL70" i="1"/>
  <c r="CL69" i="1"/>
  <c r="CQ69" i="1" s="1"/>
  <c r="CS69" i="1" s="1"/>
  <c r="CT69" i="1" s="1"/>
  <c r="CL36" i="1"/>
  <c r="CL37" i="1" s="1"/>
  <c r="CL28" i="1"/>
  <c r="Z9" i="21"/>
  <c r="AA7" i="21"/>
  <c r="Z7" i="21"/>
  <c r="CL54" i="3"/>
  <c r="CL26" i="3"/>
  <c r="CL4" i="3"/>
  <c r="CL51" i="2"/>
  <c r="CL13" i="2"/>
  <c r="CL24" i="2" s="1"/>
  <c r="CL4" i="2"/>
  <c r="CL137" i="1"/>
  <c r="CL122" i="1"/>
  <c r="CL105" i="1"/>
  <c r="CL29" i="1"/>
  <c r="CL23" i="1"/>
  <c r="AC111" i="21" s="1"/>
  <c r="CL22" i="1"/>
  <c r="CL21" i="1"/>
  <c r="CL16" i="1"/>
  <c r="CL15" i="1"/>
  <c r="CL12" i="1"/>
  <c r="CL10" i="1"/>
  <c r="CL9" i="1"/>
  <c r="CL7" i="1"/>
  <c r="CL6" i="1"/>
  <c r="CL40" i="3" l="1"/>
  <c r="CL71" i="1"/>
  <c r="CL38" i="1"/>
  <c r="CL40" i="1" s="1"/>
  <c r="CL38" i="3"/>
  <c r="CL56" i="3" s="1"/>
  <c r="AH100" i="21"/>
  <c r="AL100" i="21"/>
  <c r="AC5" i="21"/>
  <c r="CL40" i="2"/>
  <c r="CL43" i="2" s="1"/>
  <c r="CL44" i="2" s="1"/>
  <c r="CL47" i="2" s="1"/>
  <c r="CL55" i="2"/>
  <c r="CL56" i="2"/>
  <c r="CL60" i="2"/>
  <c r="CL62" i="2"/>
  <c r="CL63" i="2"/>
  <c r="CL59" i="2"/>
  <c r="CL43" i="3"/>
  <c r="CL41" i="3"/>
  <c r="CL27" i="3"/>
  <c r="CL45" i="1"/>
  <c r="CL49" i="1"/>
  <c r="CL52" i="1"/>
  <c r="CL138" i="1"/>
  <c r="CL47" i="1"/>
  <c r="AL75" i="21"/>
  <c r="AK74" i="21"/>
  <c r="AJ74" i="21"/>
  <c r="AI74" i="21"/>
  <c r="AH74" i="21"/>
  <c r="AL73" i="21"/>
  <c r="AK70" i="21"/>
  <c r="AJ70" i="21"/>
  <c r="AI70" i="21"/>
  <c r="AH70" i="21"/>
  <c r="AL69" i="21"/>
  <c r="AK68" i="21"/>
  <c r="AJ68" i="21"/>
  <c r="AI68" i="21"/>
  <c r="AH68" i="21"/>
  <c r="AL67" i="21"/>
  <c r="AK64" i="21"/>
  <c r="AJ64" i="21"/>
  <c r="AI64" i="21"/>
  <c r="AH64" i="21"/>
  <c r="AL63" i="21"/>
  <c r="AK50" i="21"/>
  <c r="AJ50" i="21"/>
  <c r="AI50" i="21"/>
  <c r="AH50" i="21"/>
  <c r="AL49" i="21"/>
  <c r="AK48" i="21"/>
  <c r="AJ48" i="21"/>
  <c r="AI48" i="21"/>
  <c r="AH48" i="21"/>
  <c r="AL47" i="21"/>
  <c r="AK40" i="21"/>
  <c r="AJ40" i="21"/>
  <c r="AI40" i="21"/>
  <c r="AH40" i="21"/>
  <c r="AL39" i="21"/>
  <c r="AL32" i="21"/>
  <c r="AK32" i="21"/>
  <c r="AJ32" i="21"/>
  <c r="AI32" i="21"/>
  <c r="AH32" i="21"/>
  <c r="AK30" i="21"/>
  <c r="AJ30" i="21"/>
  <c r="AI30" i="21"/>
  <c r="AH30" i="21"/>
  <c r="AL29" i="21"/>
  <c r="AL27" i="21"/>
  <c r="AK26" i="21"/>
  <c r="AJ26" i="21"/>
  <c r="AI26" i="21"/>
  <c r="AH26" i="21"/>
  <c r="AL25" i="21"/>
  <c r="AK24" i="21"/>
  <c r="AJ24" i="21"/>
  <c r="AI24" i="21"/>
  <c r="AH24" i="21"/>
  <c r="AL23" i="21"/>
  <c r="AK16" i="21"/>
  <c r="AJ16" i="21"/>
  <c r="AI16" i="21"/>
  <c r="AH16" i="21"/>
  <c r="AL15" i="21"/>
  <c r="AL2" i="21"/>
  <c r="AL86" i="21" s="1"/>
  <c r="AL106" i="21" s="1"/>
  <c r="AK2" i="21"/>
  <c r="AK86" i="21" s="1"/>
  <c r="AK106" i="21" s="1"/>
  <c r="AJ2" i="21"/>
  <c r="AJ86" i="21" s="1"/>
  <c r="AJ106" i="21" s="1"/>
  <c r="AI2" i="21"/>
  <c r="AI12" i="21" s="1"/>
  <c r="AH2" i="21"/>
  <c r="AH12" i="21" s="1"/>
  <c r="CT54" i="3"/>
  <c r="CS54" i="3"/>
  <c r="CR54" i="3"/>
  <c r="CQ54" i="3"/>
  <c r="CU53" i="3"/>
  <c r="CU52" i="3"/>
  <c r="CU51" i="3"/>
  <c r="CU49" i="3"/>
  <c r="CU48" i="3"/>
  <c r="CU47" i="3"/>
  <c r="CU45" i="3"/>
  <c r="CT38" i="3"/>
  <c r="CS38" i="3"/>
  <c r="CR38" i="3"/>
  <c r="CQ38" i="3"/>
  <c r="CU37" i="3"/>
  <c r="CU36" i="3"/>
  <c r="CU35" i="3"/>
  <c r="CU34" i="3"/>
  <c r="CU33" i="3"/>
  <c r="CU32" i="3"/>
  <c r="CU31" i="3"/>
  <c r="CU30" i="3"/>
  <c r="CU15" i="3"/>
  <c r="CU14" i="3"/>
  <c r="CU13" i="3"/>
  <c r="CT12" i="3"/>
  <c r="CS12" i="3"/>
  <c r="CR12" i="3"/>
  <c r="CQ12" i="3"/>
  <c r="CU11" i="3"/>
  <c r="CU4" i="3"/>
  <c r="CT4" i="3"/>
  <c r="CS4" i="3"/>
  <c r="CR4" i="3"/>
  <c r="CQ4" i="3"/>
  <c r="CU28" i="2"/>
  <c r="CU11" i="2"/>
  <c r="CU4" i="2"/>
  <c r="CT4" i="2"/>
  <c r="CS4" i="2"/>
  <c r="CR4" i="2"/>
  <c r="CQ4" i="2"/>
  <c r="CT71" i="1"/>
  <c r="CS71" i="1"/>
  <c r="CR71" i="1"/>
  <c r="CQ71" i="1"/>
  <c r="CU70" i="1"/>
  <c r="CU69" i="1"/>
  <c r="CT64" i="1"/>
  <c r="CS64" i="1"/>
  <c r="CR64" i="1"/>
  <c r="CQ64" i="1"/>
  <c r="CU63" i="1"/>
  <c r="CU62" i="1"/>
  <c r="CU61" i="1"/>
  <c r="CU60" i="1"/>
  <c r="CU59" i="1"/>
  <c r="CU58" i="1"/>
  <c r="CU50" i="1"/>
  <c r="CU30" i="1"/>
  <c r="CT20" i="1"/>
  <c r="CT36" i="1" s="1"/>
  <c r="CS20" i="1"/>
  <c r="CS36" i="1" s="1"/>
  <c r="CR20" i="1"/>
  <c r="CR36" i="1" s="1"/>
  <c r="CQ20" i="1"/>
  <c r="CT14" i="1"/>
  <c r="CS14" i="1"/>
  <c r="CR14" i="1"/>
  <c r="CQ14" i="1"/>
  <c r="CT11" i="1"/>
  <c r="CS11" i="1"/>
  <c r="CR11" i="1"/>
  <c r="CQ11" i="1"/>
  <c r="CT5" i="1"/>
  <c r="CT28" i="1" s="1"/>
  <c r="CS5" i="1"/>
  <c r="CS28" i="1" s="1"/>
  <c r="CR5" i="1"/>
  <c r="CR28" i="1" s="1"/>
  <c r="CQ5" i="1"/>
  <c r="D27" i="12"/>
  <c r="D15" i="12"/>
  <c r="AZ20" i="18"/>
  <c r="BA20" i="18" s="1"/>
  <c r="AY20" i="18"/>
  <c r="AX20" i="18"/>
  <c r="AW20" i="18"/>
  <c r="BA18" i="18"/>
  <c r="AZ18" i="18"/>
  <c r="AY18" i="18"/>
  <c r="AX18" i="18"/>
  <c r="AW18" i="18"/>
  <c r="AY34" i="18"/>
  <c r="AW26" i="18"/>
  <c r="AX36" i="18"/>
  <c r="BA26" i="18"/>
  <c r="AY36" i="18"/>
  <c r="BA30" i="18"/>
  <c r="AX28" i="18"/>
  <c r="AX30" i="18"/>
  <c r="AW30" i="18"/>
  <c r="AY28" i="18"/>
  <c r="AW34" i="18"/>
  <c r="AW28" i="18"/>
  <c r="AY30" i="18"/>
  <c r="AZ26" i="18"/>
  <c r="AZ28" i="18"/>
  <c r="AZ30" i="18"/>
  <c r="AZ34" i="18"/>
  <c r="AZ36" i="18"/>
  <c r="AW36" i="18"/>
  <c r="BA36" i="18"/>
  <c r="AY26" i="18"/>
  <c r="BA34" i="18"/>
  <c r="AX26" i="18"/>
  <c r="AX34" i="18"/>
  <c r="BA28" i="18"/>
  <c r="CU10" i="3" l="1"/>
  <c r="CR13" i="1"/>
  <c r="CL54" i="1"/>
  <c r="CL78" i="1" s="1"/>
  <c r="CU38" i="3"/>
  <c r="CU14" i="1"/>
  <c r="CT22" i="1"/>
  <c r="CU71" i="1"/>
  <c r="CL41" i="1"/>
  <c r="CU20" i="1"/>
  <c r="CR22" i="1"/>
  <c r="CU54" i="3"/>
  <c r="CT7" i="1"/>
  <c r="CS16" i="1"/>
  <c r="CT16" i="1"/>
  <c r="CU64" i="1"/>
  <c r="CS22" i="1"/>
  <c r="CT13" i="1"/>
  <c r="CQ36" i="1"/>
  <c r="CU36" i="1" s="1"/>
  <c r="AJ12" i="21"/>
  <c r="AK12" i="21"/>
  <c r="CU12" i="3"/>
  <c r="AL12" i="21"/>
  <c r="AH86" i="21"/>
  <c r="AH106" i="21" s="1"/>
  <c r="AI86" i="21"/>
  <c r="AI106" i="21" s="1"/>
  <c r="CR7" i="1"/>
  <c r="CS7" i="1"/>
  <c r="CQ28" i="1"/>
  <c r="CU5" i="1"/>
  <c r="CS13" i="1"/>
  <c r="CR16" i="1"/>
  <c r="CU11" i="1"/>
  <c r="M108" i="21"/>
  <c r="M107" i="21"/>
  <c r="R108" i="21"/>
  <c r="R107" i="21"/>
  <c r="W108" i="21"/>
  <c r="W107" i="21"/>
  <c r="Q112" i="21"/>
  <c r="W109" i="21" l="1"/>
  <c r="CU37" i="1"/>
  <c r="CL66" i="1"/>
  <c r="CL84" i="1" s="1"/>
  <c r="CL87" i="1" s="1"/>
  <c r="CL75" i="1" s="1"/>
  <c r="CL76" i="1" s="1"/>
  <c r="CL55" i="1"/>
  <c r="CU28" i="1"/>
  <c r="R109" i="21"/>
  <c r="I110" i="21"/>
  <c r="J110" i="21"/>
  <c r="K110" i="21"/>
  <c r="L110" i="21"/>
  <c r="N110" i="21"/>
  <c r="O110" i="21"/>
  <c r="P110" i="21"/>
  <c r="S110" i="21"/>
  <c r="T110" i="21"/>
  <c r="U110" i="21"/>
  <c r="V110" i="21"/>
  <c r="X110" i="21"/>
  <c r="Y110" i="21"/>
  <c r="AB107" i="21"/>
  <c r="Z107" i="21"/>
  <c r="X109" i="21"/>
  <c r="Y109" i="21"/>
  <c r="AB94" i="21"/>
  <c r="AG95" i="21" s="1"/>
  <c r="AB92" i="21"/>
  <c r="AG93" i="21" s="1"/>
  <c r="AB90" i="21"/>
  <c r="AG91" i="21" s="1"/>
  <c r="AB87" i="21"/>
  <c r="AG88" i="21" s="1"/>
  <c r="V94" i="21"/>
  <c r="CB23" i="1"/>
  <c r="S111" i="21" s="1"/>
  <c r="CA17" i="1"/>
  <c r="AG75" i="21"/>
  <c r="AB75" i="21"/>
  <c r="AA53" i="21"/>
  <c r="AB53" i="21" s="1"/>
  <c r="AA55" i="21"/>
  <c r="AB55" i="21" s="1"/>
  <c r="T75" i="21"/>
  <c r="W75" i="21" s="1"/>
  <c r="AA19" i="21"/>
  <c r="AA31" i="21"/>
  <c r="AB31" i="21"/>
  <c r="AA49" i="21"/>
  <c r="AA47" i="21"/>
  <c r="AA43" i="21"/>
  <c r="AF43" i="21" s="1"/>
  <c r="AA41" i="21"/>
  <c r="AA39" i="21"/>
  <c r="AA29" i="21"/>
  <c r="AA25" i="21"/>
  <c r="AA23" i="21"/>
  <c r="AA15" i="21"/>
  <c r="AA17" i="21"/>
  <c r="AA63" i="21" l="1"/>
  <c r="AA77" i="21" s="1"/>
  <c r="CL81" i="1"/>
  <c r="CL80" i="1"/>
  <c r="CL67" i="1"/>
  <c r="CU29" i="1"/>
  <c r="M110" i="21"/>
  <c r="W110" i="21"/>
  <c r="S112" i="21"/>
  <c r="X113" i="21" s="1"/>
  <c r="R110" i="21"/>
  <c r="AA99" i="21"/>
  <c r="AF100" i="21" s="1"/>
  <c r="AA88" i="21"/>
  <c r="CL86" i="1" l="1"/>
  <c r="CL82" i="1"/>
  <c r="CL90" i="1"/>
  <c r="AA113" i="21"/>
  <c r="CJ30" i="3"/>
  <c r="CJ38" i="3" s="1"/>
  <c r="CJ16" i="3"/>
  <c r="CF13" i="3"/>
  <c r="CK13" i="3"/>
  <c r="CF14" i="3"/>
  <c r="CK14" i="3"/>
  <c r="CF15" i="3"/>
  <c r="CK15" i="3"/>
  <c r="CC16" i="3"/>
  <c r="CF16" i="3" s="1"/>
  <c r="CH16" i="3"/>
  <c r="CI16" i="3"/>
  <c r="CF17" i="3"/>
  <c r="CI17" i="3"/>
  <c r="CK17" i="3" s="1"/>
  <c r="CF18" i="3"/>
  <c r="CK18" i="3"/>
  <c r="CF19" i="3"/>
  <c r="CF20" i="3"/>
  <c r="CF21" i="3"/>
  <c r="CF22" i="3"/>
  <c r="CF24" i="3"/>
  <c r="CK24" i="3"/>
  <c r="CF11" i="3"/>
  <c r="CJ54" i="3"/>
  <c r="CJ4" i="3"/>
  <c r="CK23" i="2"/>
  <c r="CK22" i="2"/>
  <c r="CJ51" i="2"/>
  <c r="CJ40" i="2"/>
  <c r="CJ13" i="2"/>
  <c r="CJ24" i="2" s="1"/>
  <c r="CJ4" i="2"/>
  <c r="CJ79" i="1"/>
  <c r="D41" i="12" s="1"/>
  <c r="CJ63" i="1"/>
  <c r="CJ46" i="1"/>
  <c r="CJ44" i="1"/>
  <c r="D25" i="12" s="1"/>
  <c r="CJ59" i="1"/>
  <c r="CJ10" i="3" s="1"/>
  <c r="CJ58" i="1"/>
  <c r="CJ48" i="1"/>
  <c r="D26" i="12" s="1"/>
  <c r="CJ11" i="1"/>
  <c r="CJ32" i="1"/>
  <c r="D16" i="12" s="1"/>
  <c r="CJ36" i="1"/>
  <c r="D18" i="12" s="1"/>
  <c r="CJ28" i="1"/>
  <c r="D14" i="12" s="1"/>
  <c r="D19" i="12" s="1"/>
  <c r="CJ137" i="1"/>
  <c r="CJ71" i="1"/>
  <c r="D38" i="12" s="1"/>
  <c r="CJ22" i="1"/>
  <c r="CJ21" i="1"/>
  <c r="CJ16" i="1"/>
  <c r="CJ15" i="1"/>
  <c r="CJ10" i="1"/>
  <c r="CJ9" i="1"/>
  <c r="CJ7" i="1"/>
  <c r="CJ6" i="1"/>
  <c r="CL13" i="1" l="1"/>
  <c r="D7" i="12"/>
  <c r="D11" i="12" s="1"/>
  <c r="D21" i="12" s="1"/>
  <c r="D28" i="12"/>
  <c r="CK16" i="3"/>
  <c r="CL88" i="1"/>
  <c r="CL92" i="1"/>
  <c r="CJ29" i="1"/>
  <c r="CJ33" i="1"/>
  <c r="CJ37" i="1"/>
  <c r="CJ9" i="3"/>
  <c r="CJ62" i="3" s="1"/>
  <c r="CJ122" i="1"/>
  <c r="CJ12" i="1"/>
  <c r="CJ13" i="1"/>
  <c r="CJ64" i="1"/>
  <c r="D33" i="12" s="1"/>
  <c r="CJ38" i="1"/>
  <c r="CJ43" i="2"/>
  <c r="CJ44" i="2" s="1"/>
  <c r="CJ47" i="2" s="1"/>
  <c r="CJ23" i="1"/>
  <c r="AA111" i="21" s="1"/>
  <c r="CJ52" i="1"/>
  <c r="D22" i="12" l="1"/>
  <c r="D30" i="12"/>
  <c r="CJ60" i="2"/>
  <c r="CJ59" i="2"/>
  <c r="CJ62" i="2"/>
  <c r="CJ56" i="2"/>
  <c r="CJ55" i="2"/>
  <c r="CJ49" i="2"/>
  <c r="CJ63" i="2"/>
  <c r="CJ47" i="1"/>
  <c r="CJ138" i="1"/>
  <c r="CJ40" i="1"/>
  <c r="CJ54" i="1" s="1"/>
  <c r="CJ49" i="1"/>
  <c r="CJ45" i="1"/>
  <c r="Z44" i="21"/>
  <c r="Z42" i="21"/>
  <c r="Z63" i="21"/>
  <c r="Z20" i="21"/>
  <c r="Z18" i="21"/>
  <c r="D31" i="12" l="1"/>
  <c r="D35" i="12"/>
  <c r="D40" i="12"/>
  <c r="D42" i="12" s="1"/>
  <c r="D48" i="12" s="1"/>
  <c r="CJ41" i="1"/>
  <c r="CJ55" i="1"/>
  <c r="CJ78" i="1"/>
  <c r="CJ66" i="1"/>
  <c r="Z99" i="21"/>
  <c r="AE100" i="21" s="1"/>
  <c r="Z88" i="21"/>
  <c r="D36" i="12" l="1"/>
  <c r="D44" i="12"/>
  <c r="D46" i="12" s="1"/>
  <c r="D49" i="12" s="1"/>
  <c r="CJ67" i="1"/>
  <c r="CJ84" i="1"/>
  <c r="CJ81" i="1"/>
  <c r="CJ80" i="1"/>
  <c r="CI34" i="3"/>
  <c r="CI33" i="3"/>
  <c r="CI30" i="3"/>
  <c r="CI34" i="2"/>
  <c r="CI6" i="2"/>
  <c r="CI63" i="1"/>
  <c r="CI60" i="1"/>
  <c r="CI46" i="1"/>
  <c r="CI44" i="1"/>
  <c r="CI32" i="1"/>
  <c r="CI85" i="1"/>
  <c r="CI70" i="1"/>
  <c r="CI59" i="1"/>
  <c r="CI10" i="3" s="1"/>
  <c r="CI58" i="1"/>
  <c r="CI48" i="1"/>
  <c r="CI28" i="1"/>
  <c r="CI79" i="1" l="1"/>
  <c r="CJ82" i="1"/>
  <c r="CJ90" i="1"/>
  <c r="CJ87" i="1"/>
  <c r="CJ6" i="3" s="1"/>
  <c r="CJ26" i="3" s="1"/>
  <c r="CJ86" i="1"/>
  <c r="CI38" i="1"/>
  <c r="CI54" i="3"/>
  <c r="CI38" i="3"/>
  <c r="CI9" i="3"/>
  <c r="CI62" i="3" s="1"/>
  <c r="CI4" i="3"/>
  <c r="CI51" i="2"/>
  <c r="CI40" i="2"/>
  <c r="CI4" i="2"/>
  <c r="CI64" i="1"/>
  <c r="CI137" i="1"/>
  <c r="CI122" i="1"/>
  <c r="CM123" i="1" s="1"/>
  <c r="CI71" i="1"/>
  <c r="CI52" i="1"/>
  <c r="CI37" i="1"/>
  <c r="CI33" i="1"/>
  <c r="CI29" i="1"/>
  <c r="CI23" i="1"/>
  <c r="CI22" i="1"/>
  <c r="CI21" i="1"/>
  <c r="CI16" i="1"/>
  <c r="CI15" i="1"/>
  <c r="CI13" i="1"/>
  <c r="CI12" i="1"/>
  <c r="CI10" i="1"/>
  <c r="CI9" i="1"/>
  <c r="CI7" i="1"/>
  <c r="CI6" i="1"/>
  <c r="AA2" i="21"/>
  <c r="AA12" i="21" s="1"/>
  <c r="AB2" i="21"/>
  <c r="AB12" i="21" s="1"/>
  <c r="AC2" i="21"/>
  <c r="AC12" i="21" s="1"/>
  <c r="AD2" i="21"/>
  <c r="AD12" i="21" s="1"/>
  <c r="AE2" i="21"/>
  <c r="AE12" i="21" s="1"/>
  <c r="AF2" i="21"/>
  <c r="AF12" i="21" s="1"/>
  <c r="AG2" i="21"/>
  <c r="AG12" i="21" s="1"/>
  <c r="Z2" i="21"/>
  <c r="Z12" i="21" s="1"/>
  <c r="CB4" i="3"/>
  <c r="CC4" i="3"/>
  <c r="CD4" i="3"/>
  <c r="CE4" i="3"/>
  <c r="CF4" i="3"/>
  <c r="CG4" i="3"/>
  <c r="CH4" i="3"/>
  <c r="CK4" i="3"/>
  <c r="CM4" i="3"/>
  <c r="CN4" i="3"/>
  <c r="CO4" i="3"/>
  <c r="CP4" i="3"/>
  <c r="CK4" i="2"/>
  <c r="CM4" i="2"/>
  <c r="CN4" i="2"/>
  <c r="CO4" i="2"/>
  <c r="CP4" i="2"/>
  <c r="CB4" i="2"/>
  <c r="CC4" i="2"/>
  <c r="CD4" i="2"/>
  <c r="CE4" i="2"/>
  <c r="CF4" i="2"/>
  <c r="CG4" i="2"/>
  <c r="CH4" i="2"/>
  <c r="Z111" i="21" l="1"/>
  <c r="Z108" i="21" s="1"/>
  <c r="CN24" i="1"/>
  <c r="CM126" i="1"/>
  <c r="CM127" i="1" s="1"/>
  <c r="CI63" i="2"/>
  <c r="CJ25" i="1"/>
  <c r="CJ27" i="3"/>
  <c r="CJ40" i="3"/>
  <c r="CJ56" i="3"/>
  <c r="CJ92" i="1"/>
  <c r="CJ88" i="1"/>
  <c r="CI55" i="2"/>
  <c r="CI56" i="2"/>
  <c r="CI59" i="2"/>
  <c r="CI60" i="2"/>
  <c r="CI62" i="2"/>
  <c r="CI49" i="2"/>
  <c r="CI45" i="1"/>
  <c r="CI47" i="1"/>
  <c r="CI138" i="1"/>
  <c r="CI49" i="1"/>
  <c r="CI40" i="1"/>
  <c r="CJ41" i="3" l="1"/>
  <c r="CJ43" i="3"/>
  <c r="CI41" i="1"/>
  <c r="CI54" i="1"/>
  <c r="Z67" i="21"/>
  <c r="CI66" i="1" l="1"/>
  <c r="CI78" i="1"/>
  <c r="CI55" i="1"/>
  <c r="Y69" i="21"/>
  <c r="Y67" i="21"/>
  <c r="Y63" i="21"/>
  <c r="Y50" i="21"/>
  <c r="Y48" i="21"/>
  <c r="Y40" i="21"/>
  <c r="Y32" i="21"/>
  <c r="Y30" i="21"/>
  <c r="Y26" i="21"/>
  <c r="Y24" i="21"/>
  <c r="Y16" i="21"/>
  <c r="CI81" i="1" l="1"/>
  <c r="CI80" i="1"/>
  <c r="CI67" i="1"/>
  <c r="CI84" i="1"/>
  <c r="Q115" i="21"/>
  <c r="P115" i="21"/>
  <c r="O115" i="21"/>
  <c r="N115" i="21"/>
  <c r="V115" i="21"/>
  <c r="U115" i="21"/>
  <c r="T115" i="21"/>
  <c r="S115" i="21"/>
  <c r="Y99" i="21"/>
  <c r="AD100" i="21" s="1"/>
  <c r="CH79" i="1"/>
  <c r="CH32" i="1"/>
  <c r="CH46" i="1"/>
  <c r="CL131" i="1" s="1"/>
  <c r="CH44" i="1"/>
  <c r="CH63" i="1"/>
  <c r="CH48" i="1"/>
  <c r="CI87" i="1" l="1"/>
  <c r="CI6" i="3" s="1"/>
  <c r="CI26" i="3" s="1"/>
  <c r="CI86" i="1"/>
  <c r="CI90" i="1"/>
  <c r="CN91" i="1" s="1"/>
  <c r="CI82" i="1"/>
  <c r="X45" i="21"/>
  <c r="T43" i="21"/>
  <c r="Y44" i="21" s="1"/>
  <c r="T45" i="21"/>
  <c r="Y88" i="21"/>
  <c r="CH54" i="3"/>
  <c r="CH38" i="3"/>
  <c r="CH26" i="3"/>
  <c r="CH9" i="3"/>
  <c r="CH62" i="3" s="1"/>
  <c r="CH51" i="2"/>
  <c r="CH40" i="2"/>
  <c r="CK137" i="1"/>
  <c r="CH137" i="1"/>
  <c r="CG137" i="1"/>
  <c r="CH122" i="1"/>
  <c r="CL123" i="1" s="1"/>
  <c r="CG122" i="1"/>
  <c r="CL126" i="1" l="1"/>
  <c r="CL127" i="1" s="1"/>
  <c r="CJ123" i="1"/>
  <c r="CI40" i="3"/>
  <c r="CI27" i="3"/>
  <c r="CI56" i="3"/>
  <c r="CI92" i="1"/>
  <c r="CN93" i="1" s="1"/>
  <c r="CI76" i="1"/>
  <c r="CI88" i="1"/>
  <c r="CH56" i="3"/>
  <c r="CH40" i="3"/>
  <c r="CJ126" i="1" l="1"/>
  <c r="CJ127" i="1" s="1"/>
  <c r="CI43" i="3"/>
  <c r="CI41" i="3"/>
  <c r="Y9" i="21"/>
  <c r="CH71" i="1" l="1"/>
  <c r="CH64" i="1"/>
  <c r="CH52" i="1"/>
  <c r="CH37" i="1"/>
  <c r="CH38" i="1"/>
  <c r="CH29" i="1"/>
  <c r="CH23" i="1"/>
  <c r="Y111" i="21" s="1"/>
  <c r="CH22" i="1"/>
  <c r="CH21" i="1"/>
  <c r="CH16" i="1"/>
  <c r="CH15" i="1"/>
  <c r="CH13" i="1"/>
  <c r="CH12" i="1"/>
  <c r="CH10" i="1"/>
  <c r="CH9" i="1"/>
  <c r="CH7" i="1"/>
  <c r="CH6" i="1"/>
  <c r="G27" i="12"/>
  <c r="G15" i="12"/>
  <c r="AB111" i="21" l="1"/>
  <c r="Y112" i="21"/>
  <c r="CI25" i="1"/>
  <c r="CH41" i="3"/>
  <c r="CH45" i="1"/>
  <c r="CH63" i="2"/>
  <c r="CH138" i="1"/>
  <c r="CH62" i="2"/>
  <c r="CH59" i="2"/>
  <c r="CH56" i="2"/>
  <c r="CH60" i="2"/>
  <c r="CH55" i="2"/>
  <c r="CH49" i="2"/>
  <c r="CH27" i="3"/>
  <c r="CH43" i="3"/>
  <c r="CH49" i="1"/>
  <c r="CH33" i="1"/>
  <c r="CH40" i="1"/>
  <c r="CH54" i="1" s="1"/>
  <c r="CH66" i="1" s="1"/>
  <c r="CH47" i="1"/>
  <c r="D123" i="21"/>
  <c r="D124" i="21"/>
  <c r="D125" i="21"/>
  <c r="D127" i="21"/>
  <c r="D128" i="21"/>
  <c r="W92" i="21"/>
  <c r="AB93" i="21" s="1"/>
  <c r="W90" i="21"/>
  <c r="AB91" i="21" s="1"/>
  <c r="W87" i="21"/>
  <c r="AB88" i="21" s="1"/>
  <c r="Z86" i="21"/>
  <c r="Z106" i="21" s="1"/>
  <c r="AA86" i="21"/>
  <c r="AA106" i="21" s="1"/>
  <c r="AB86" i="21"/>
  <c r="AB106" i="21" s="1"/>
  <c r="AC86" i="21"/>
  <c r="AC106" i="21" s="1"/>
  <c r="AD86" i="21"/>
  <c r="AD106" i="21" s="1"/>
  <c r="AE86" i="21"/>
  <c r="AE106" i="21" s="1"/>
  <c r="AF86" i="21"/>
  <c r="AF106" i="21" s="1"/>
  <c r="AG86" i="21"/>
  <c r="AG106" i="21" s="1"/>
  <c r="X86" i="21"/>
  <c r="X106" i="21" s="1"/>
  <c r="U50" i="21"/>
  <c r="T50" i="21"/>
  <c r="S50" i="21"/>
  <c r="U48" i="21"/>
  <c r="T48" i="21"/>
  <c r="S48" i="21"/>
  <c r="U44" i="21"/>
  <c r="U42" i="21"/>
  <c r="U40" i="21"/>
  <c r="T40" i="21"/>
  <c r="S40" i="21"/>
  <c r="AF40" i="21"/>
  <c r="AE40" i="21"/>
  <c r="AD40" i="21"/>
  <c r="AC40" i="21"/>
  <c r="AF48" i="21"/>
  <c r="AE48" i="21"/>
  <c r="AD48" i="21"/>
  <c r="AC48" i="21"/>
  <c r="Z48" i="21"/>
  <c r="X48" i="21"/>
  <c r="Z40" i="21"/>
  <c r="X40" i="21"/>
  <c r="AE32" i="21"/>
  <c r="AD32" i="21"/>
  <c r="AC32" i="21"/>
  <c r="Z32" i="21"/>
  <c r="X32" i="21"/>
  <c r="AF30" i="21"/>
  <c r="AE30" i="21"/>
  <c r="AD30" i="21"/>
  <c r="AC30" i="21"/>
  <c r="Z30" i="21"/>
  <c r="X30" i="21"/>
  <c r="AF24" i="21"/>
  <c r="AE24" i="21"/>
  <c r="AD24" i="21"/>
  <c r="AC24" i="21"/>
  <c r="Z24" i="21"/>
  <c r="X24" i="21"/>
  <c r="AF16" i="21"/>
  <c r="AE16" i="21"/>
  <c r="AD16" i="21"/>
  <c r="AC16" i="21"/>
  <c r="Z16" i="21"/>
  <c r="X16" i="21"/>
  <c r="U32" i="21"/>
  <c r="T32" i="21"/>
  <c r="S32" i="21"/>
  <c r="U30" i="21"/>
  <c r="T30" i="21"/>
  <c r="S30" i="21"/>
  <c r="U26" i="21"/>
  <c r="T26" i="21"/>
  <c r="S26" i="21"/>
  <c r="U24" i="21"/>
  <c r="T24" i="21"/>
  <c r="S24" i="21"/>
  <c r="U20" i="21"/>
  <c r="U18" i="21"/>
  <c r="O32" i="21"/>
  <c r="Q30" i="21"/>
  <c r="O30" i="21"/>
  <c r="N30" i="21"/>
  <c r="O28" i="21"/>
  <c r="N28" i="21"/>
  <c r="O26" i="21"/>
  <c r="N26" i="21"/>
  <c r="O24" i="21"/>
  <c r="N24" i="21"/>
  <c r="O22" i="21"/>
  <c r="N22" i="21"/>
  <c r="P16" i="21"/>
  <c r="O16" i="21"/>
  <c r="N16" i="21"/>
  <c r="U16" i="21"/>
  <c r="T16" i="21"/>
  <c r="S16" i="21"/>
  <c r="X21" i="21"/>
  <c r="AC114" i="21" l="1"/>
  <c r="AD113" i="21"/>
  <c r="AB112" i="21"/>
  <c r="AF114" i="21" s="1"/>
  <c r="AA114" i="21"/>
  <c r="AA115" i="21" s="1"/>
  <c r="Z114" i="21"/>
  <c r="D126" i="21"/>
  <c r="D129" i="21" s="1"/>
  <c r="CH41" i="1"/>
  <c r="AF115" i="21" l="1"/>
  <c r="Z115" i="21"/>
  <c r="AE115" i="21"/>
  <c r="CH55" i="1"/>
  <c r="CH78" i="1"/>
  <c r="X5" i="21"/>
  <c r="X9" i="21" s="1"/>
  <c r="X3" i="21"/>
  <c r="X7" i="21" s="1"/>
  <c r="V49" i="21"/>
  <c r="V47" i="21"/>
  <c r="V39" i="21"/>
  <c r="V31" i="21"/>
  <c r="V29" i="21"/>
  <c r="V25" i="21"/>
  <c r="V23" i="21"/>
  <c r="V15" i="21"/>
  <c r="CH81" i="1" l="1"/>
  <c r="CH90" i="1" s="1"/>
  <c r="CH80" i="1"/>
  <c r="CH67" i="1"/>
  <c r="CH84" i="1"/>
  <c r="AA24" i="21"/>
  <c r="V30" i="21"/>
  <c r="AA30" i="21"/>
  <c r="AA40" i="21"/>
  <c r="W31" i="21"/>
  <c r="AA48" i="21"/>
  <c r="AA16" i="21"/>
  <c r="AA95" i="21"/>
  <c r="U94" i="21"/>
  <c r="Z95" i="21" s="1"/>
  <c r="T94" i="21"/>
  <c r="S94" i="21"/>
  <c r="Q94" i="21"/>
  <c r="P94" i="21"/>
  <c r="O94" i="21"/>
  <c r="N94" i="21"/>
  <c r="L94" i="21"/>
  <c r="K94" i="21"/>
  <c r="J94" i="21"/>
  <c r="I94" i="21"/>
  <c r="W94" i="21" l="1"/>
  <c r="AB95" i="21" s="1"/>
  <c r="R94" i="21"/>
  <c r="CH82" i="1"/>
  <c r="S95" i="21"/>
  <c r="Y95" i="21"/>
  <c r="T95" i="21"/>
  <c r="U95" i="21"/>
  <c r="V95" i="21"/>
  <c r="CH86" i="1"/>
  <c r="CH87" i="1"/>
  <c r="M94" i="21"/>
  <c r="X95" i="21"/>
  <c r="X99" i="21"/>
  <c r="X88" i="21"/>
  <c r="CG79" i="1"/>
  <c r="CG46" i="1"/>
  <c r="CJ131" i="1" s="1"/>
  <c r="CG44" i="1"/>
  <c r="CG63" i="1"/>
  <c r="CG32" i="1"/>
  <c r="CG98" i="1"/>
  <c r="CE98" i="1"/>
  <c r="CG37" i="1"/>
  <c r="CG29" i="1"/>
  <c r="CG9" i="3"/>
  <c r="CG51" i="2"/>
  <c r="CL52" i="2" s="1"/>
  <c r="AB99" i="21" l="1"/>
  <c r="AC100" i="21"/>
  <c r="CH75" i="1"/>
  <c r="CK75" i="1" s="1"/>
  <c r="E11" i="26" s="1"/>
  <c r="G19" i="12"/>
  <c r="G21" i="12" s="1"/>
  <c r="G22" i="12" s="1"/>
  <c r="W95" i="21"/>
  <c r="G28" i="12"/>
  <c r="CH139" i="1"/>
  <c r="CH140" i="1" s="1"/>
  <c r="CG33" i="1"/>
  <c r="CH88" i="1"/>
  <c r="CH92" i="1"/>
  <c r="K38" i="12"/>
  <c r="CM71" i="1"/>
  <c r="CP70" i="1"/>
  <c r="CP69" i="1"/>
  <c r="CG71" i="1"/>
  <c r="CX37" i="1"/>
  <c r="AG100" i="21" l="1"/>
  <c r="AB103" i="21"/>
  <c r="AG104" i="21" s="1"/>
  <c r="E38" i="12"/>
  <c r="F38" i="12" s="1"/>
  <c r="L38" i="12"/>
  <c r="H38" i="12"/>
  <c r="I38" i="12" s="1"/>
  <c r="CH76" i="1"/>
  <c r="G30" i="12"/>
  <c r="G40" i="12" s="1"/>
  <c r="G42" i="12" s="1"/>
  <c r="G48" i="12" s="1"/>
  <c r="CP71" i="1"/>
  <c r="V109" i="21"/>
  <c r="V99" i="21"/>
  <c r="AA100" i="21" s="1"/>
  <c r="V93" i="21"/>
  <c r="V91" i="21"/>
  <c r="V88" i="21"/>
  <c r="CV8" i="1"/>
  <c r="CV9" i="1" s="1"/>
  <c r="CF23" i="2"/>
  <c r="CF22" i="2"/>
  <c r="CE63" i="1"/>
  <c r="CE79" i="1"/>
  <c r="CE46" i="1"/>
  <c r="CE44" i="1"/>
  <c r="CE32" i="1"/>
  <c r="CE48" i="1"/>
  <c r="CE36" i="1"/>
  <c r="CE28" i="1"/>
  <c r="G31" i="12" l="1"/>
  <c r="CE33" i="1"/>
  <c r="CE37" i="1"/>
  <c r="CE29" i="1"/>
  <c r="AU20" i="18"/>
  <c r="AV20" i="18" s="1"/>
  <c r="AT20" i="18"/>
  <c r="AS20" i="18"/>
  <c r="AR20" i="18"/>
  <c r="AV18" i="18"/>
  <c r="AU18" i="18"/>
  <c r="AT18" i="18"/>
  <c r="AS18" i="18"/>
  <c r="AR18" i="18"/>
  <c r="CK105" i="1"/>
  <c r="O7" i="23" s="1"/>
  <c r="N7" i="23"/>
  <c r="M7" i="23"/>
  <c r="L7" i="23"/>
  <c r="CG105" i="1"/>
  <c r="K7" i="23" s="1"/>
  <c r="CO54" i="3"/>
  <c r="CN54" i="3"/>
  <c r="CM54" i="3"/>
  <c r="CP53" i="3"/>
  <c r="CP52" i="3"/>
  <c r="CP51" i="3"/>
  <c r="CP49" i="3"/>
  <c r="CP48" i="3"/>
  <c r="CP47" i="3"/>
  <c r="CP45" i="3"/>
  <c r="CO38" i="3"/>
  <c r="CN38" i="3"/>
  <c r="CM38" i="3"/>
  <c r="CP37" i="3"/>
  <c r="CP36" i="3"/>
  <c r="CP35" i="3"/>
  <c r="CP34" i="3"/>
  <c r="CP33" i="3"/>
  <c r="CP32" i="3"/>
  <c r="CP31" i="3"/>
  <c r="CP30" i="3"/>
  <c r="CP11" i="3"/>
  <c r="CP28" i="2"/>
  <c r="CP11" i="2"/>
  <c r="M5" i="21"/>
  <c r="M3" i="21"/>
  <c r="AF50" i="21"/>
  <c r="AE50" i="21"/>
  <c r="AD50" i="21"/>
  <c r="AC50" i="21"/>
  <c r="AA50" i="21"/>
  <c r="Z50" i="21"/>
  <c r="X50" i="21"/>
  <c r="AF26" i="21"/>
  <c r="AE26" i="21"/>
  <c r="AD26" i="21"/>
  <c r="AC26" i="21"/>
  <c r="Z26" i="21"/>
  <c r="AA26" i="21"/>
  <c r="X26" i="21"/>
  <c r="O6" i="21"/>
  <c r="N6" i="21"/>
  <c r="O4" i="21"/>
  <c r="N9" i="21"/>
  <c r="L9" i="21"/>
  <c r="K9" i="21"/>
  <c r="J9" i="21"/>
  <c r="I9" i="21"/>
  <c r="L7" i="21"/>
  <c r="K7" i="21"/>
  <c r="J7" i="21"/>
  <c r="I7" i="21"/>
  <c r="K31" i="21"/>
  <c r="P32" i="21" s="1"/>
  <c r="K29" i="21"/>
  <c r="P30" i="21" s="1"/>
  <c r="K25" i="21"/>
  <c r="P26" i="21" s="1"/>
  <c r="K23" i="21"/>
  <c r="P24" i="21" s="1"/>
  <c r="K21" i="21"/>
  <c r="P22" i="21" s="1"/>
  <c r="K19" i="21"/>
  <c r="P20" i="21" s="1"/>
  <c r="L19" i="21"/>
  <c r="J19" i="21"/>
  <c r="J17" i="21" s="1"/>
  <c r="I19" i="21"/>
  <c r="I17" i="21" s="1"/>
  <c r="I65" i="21"/>
  <c r="L17" i="21"/>
  <c r="N43" i="21"/>
  <c r="O9" i="21"/>
  <c r="O7" i="21"/>
  <c r="P3" i="21"/>
  <c r="P7" i="21" s="1"/>
  <c r="P5" i="21"/>
  <c r="P6" i="21" s="1"/>
  <c r="U5" i="21"/>
  <c r="U3" i="21"/>
  <c r="U7" i="21" s="1"/>
  <c r="AJ19" i="21"/>
  <c r="N19" i="21"/>
  <c r="O19" i="21"/>
  <c r="Q19" i="21"/>
  <c r="S19" i="21"/>
  <c r="T19" i="21"/>
  <c r="Y20" i="21" s="1"/>
  <c r="O43" i="21"/>
  <c r="T44" i="21" s="1"/>
  <c r="Q43" i="21"/>
  <c r="S43" i="21"/>
  <c r="X44" i="21" s="1"/>
  <c r="AI43" i="21"/>
  <c r="U99" i="21"/>
  <c r="Z100" i="21" s="1"/>
  <c r="U21" i="21"/>
  <c r="U22" i="21" s="1"/>
  <c r="U45" i="21"/>
  <c r="U46" i="21" s="1"/>
  <c r="CR21" i="1"/>
  <c r="CO14" i="1"/>
  <c r="K8" i="12" s="1"/>
  <c r="CR15" i="1"/>
  <c r="CO11" i="1"/>
  <c r="CR12" i="1"/>
  <c r="CO5" i="1"/>
  <c r="CR6" i="1"/>
  <c r="AG49" i="21"/>
  <c r="AL50" i="21" s="1"/>
  <c r="AG47" i="21"/>
  <c r="AL48" i="21" s="1"/>
  <c r="AG39" i="21"/>
  <c r="AL40" i="21" s="1"/>
  <c r="AG29" i="21"/>
  <c r="AL30" i="21" s="1"/>
  <c r="AG27" i="21"/>
  <c r="AG25" i="21"/>
  <c r="AL26" i="21" s="1"/>
  <c r="AG23" i="21"/>
  <c r="AL24" i="21" s="1"/>
  <c r="AG15" i="21"/>
  <c r="AL16" i="21" s="1"/>
  <c r="K33" i="12"/>
  <c r="CM64" i="1"/>
  <c r="CP63" i="1"/>
  <c r="CP62" i="1"/>
  <c r="CP61" i="1"/>
  <c r="CP60" i="1"/>
  <c r="CP59" i="1"/>
  <c r="CP58" i="1"/>
  <c r="CP50" i="1"/>
  <c r="CP30" i="1"/>
  <c r="AR36" i="18"/>
  <c r="AR26" i="18"/>
  <c r="AT34" i="18"/>
  <c r="AU34" i="18"/>
  <c r="AR34" i="18"/>
  <c r="AV26" i="18"/>
  <c r="AU26" i="18"/>
  <c r="AS34" i="18"/>
  <c r="AV36" i="18"/>
  <c r="AU36" i="18"/>
  <c r="AV28" i="18"/>
  <c r="AV34" i="18"/>
  <c r="AR30" i="18"/>
  <c r="AU30" i="18"/>
  <c r="AT26" i="18"/>
  <c r="AU28" i="18"/>
  <c r="AS30" i="18"/>
  <c r="AT28" i="18"/>
  <c r="AV30" i="18"/>
  <c r="AT36" i="18"/>
  <c r="AS26" i="18"/>
  <c r="AR28" i="18"/>
  <c r="AS28" i="18"/>
  <c r="AT30" i="18"/>
  <c r="AS36" i="18"/>
  <c r="K5" i="12" l="1"/>
  <c r="CO29" i="1"/>
  <c r="K7" i="12"/>
  <c r="E7" i="12" s="1"/>
  <c r="F7" i="12" s="1"/>
  <c r="L8" i="12"/>
  <c r="E8" i="12"/>
  <c r="F8" i="12" s="1"/>
  <c r="H8" i="12"/>
  <c r="I8" i="12" s="1"/>
  <c r="H33" i="12"/>
  <c r="I33" i="12" s="1"/>
  <c r="L33" i="12"/>
  <c r="E33" i="12"/>
  <c r="F33" i="12" s="1"/>
  <c r="L5" i="12"/>
  <c r="E5" i="12"/>
  <c r="F5" i="12" s="1"/>
  <c r="H5" i="12"/>
  <c r="I5" i="12" s="1"/>
  <c r="CS12" i="1"/>
  <c r="CS15" i="1"/>
  <c r="AJ17" i="21"/>
  <c r="AJ21" i="21" s="1"/>
  <c r="CQ13" i="1"/>
  <c r="CT12" i="1"/>
  <c r="CQ6" i="1"/>
  <c r="CQ21" i="1"/>
  <c r="CQ15" i="1"/>
  <c r="CS6" i="1"/>
  <c r="CT15" i="1"/>
  <c r="CQ16" i="1"/>
  <c r="K14" i="12"/>
  <c r="CT6" i="1"/>
  <c r="CQ7" i="1"/>
  <c r="CQ12" i="1"/>
  <c r="Q20" i="21"/>
  <c r="AE36" i="21"/>
  <c r="S20" i="21"/>
  <c r="M7" i="21"/>
  <c r="T20" i="21"/>
  <c r="N17" i="21"/>
  <c r="N41" i="21" s="1"/>
  <c r="N3" i="21" s="1"/>
  <c r="N20" i="21"/>
  <c r="R19" i="21"/>
  <c r="O17" i="21"/>
  <c r="O18" i="21" s="1"/>
  <c r="O20" i="21"/>
  <c r="S44" i="21"/>
  <c r="U8" i="21"/>
  <c r="V19" i="21"/>
  <c r="AH19" i="21"/>
  <c r="AH36" i="21" s="1"/>
  <c r="X20" i="21"/>
  <c r="M9" i="21"/>
  <c r="V43" i="21"/>
  <c r="V44" i="21" s="1"/>
  <c r="P9" i="21"/>
  <c r="P10" i="21" s="1"/>
  <c r="K17" i="21"/>
  <c r="P18" i="21" s="1"/>
  <c r="Q5" i="21"/>
  <c r="Q6" i="21" s="1"/>
  <c r="R43" i="21"/>
  <c r="U4" i="21"/>
  <c r="U6" i="21"/>
  <c r="O41" i="21"/>
  <c r="N10" i="21"/>
  <c r="CP10" i="3"/>
  <c r="CP38" i="3"/>
  <c r="P8" i="21"/>
  <c r="P4" i="21"/>
  <c r="T5" i="21"/>
  <c r="Y6" i="21" s="1"/>
  <c r="U9" i="21"/>
  <c r="CP12" i="3"/>
  <c r="CP54" i="3"/>
  <c r="S5" i="21"/>
  <c r="CP64" i="1"/>
  <c r="O8" i="21"/>
  <c r="O10" i="21"/>
  <c r="Z8" i="21"/>
  <c r="Z45" i="21"/>
  <c r="AG63" i="21"/>
  <c r="AL64" i="21" s="1"/>
  <c r="Z21" i="21"/>
  <c r="Z22" i="21" s="1"/>
  <c r="AE21" i="21"/>
  <c r="CO16" i="1"/>
  <c r="CP14" i="1"/>
  <c r="CM13" i="1"/>
  <c r="AG67" i="21"/>
  <c r="AL68" i="21" s="1"/>
  <c r="CO20" i="1"/>
  <c r="AG69" i="21"/>
  <c r="AL70" i="21" s="1"/>
  <c r="AG73" i="21"/>
  <c r="AL74" i="21" s="1"/>
  <c r="CP11" i="1"/>
  <c r="CM7" i="1"/>
  <c r="CO13" i="1"/>
  <c r="CM22" i="1"/>
  <c r="CP5" i="1"/>
  <c r="CM16" i="1"/>
  <c r="CO7" i="1"/>
  <c r="H7" i="12" l="1"/>
  <c r="I7" i="12" s="1"/>
  <c r="L7" i="12"/>
  <c r="K10" i="12"/>
  <c r="CO37" i="1"/>
  <c r="L14" i="12"/>
  <c r="E14" i="12"/>
  <c r="F14" i="12" s="1"/>
  <c r="H14" i="12"/>
  <c r="I14" i="12" s="1"/>
  <c r="E10" i="12"/>
  <c r="F10" i="12" s="1"/>
  <c r="H10" i="12"/>
  <c r="I10" i="12" s="1"/>
  <c r="L10" i="12"/>
  <c r="AJ41" i="21"/>
  <c r="AJ3" i="21" s="1"/>
  <c r="AJ7" i="21" s="1"/>
  <c r="AE7" i="21"/>
  <c r="Z65" i="21"/>
  <c r="CU15" i="1"/>
  <c r="G6" i="24"/>
  <c r="CU12" i="1"/>
  <c r="G8" i="24"/>
  <c r="CU6" i="1"/>
  <c r="G10" i="24"/>
  <c r="AH5" i="21"/>
  <c r="AE9" i="21"/>
  <c r="AJ43" i="21"/>
  <c r="AJ36" i="21" s="1"/>
  <c r="AJ22" i="21"/>
  <c r="AJ33" i="21"/>
  <c r="AI19" i="21"/>
  <c r="CS21" i="1"/>
  <c r="CQ22" i="1"/>
  <c r="CT21" i="1"/>
  <c r="V20" i="21"/>
  <c r="AA20" i="21"/>
  <c r="Z46" i="21"/>
  <c r="Z57" i="21"/>
  <c r="AE22" i="21"/>
  <c r="AE45" i="21"/>
  <c r="AE65" i="21" s="1"/>
  <c r="W43" i="21"/>
  <c r="W44" i="21" s="1"/>
  <c r="N18" i="21"/>
  <c r="V5" i="21"/>
  <c r="AF19" i="21"/>
  <c r="AK19" i="21" s="1"/>
  <c r="Q9" i="21"/>
  <c r="R5" i="21"/>
  <c r="R6" i="21" s="1"/>
  <c r="W19" i="21"/>
  <c r="W20" i="21" s="1"/>
  <c r="U10" i="21"/>
  <c r="N7" i="21"/>
  <c r="N4" i="21"/>
  <c r="Z4" i="21"/>
  <c r="S6" i="21"/>
  <c r="S9" i="21"/>
  <c r="T6" i="21"/>
  <c r="T9" i="21"/>
  <c r="X6" i="21"/>
  <c r="Z6" i="21"/>
  <c r="Z10" i="21"/>
  <c r="AE6" i="21"/>
  <c r="Z33" i="21"/>
  <c r="AE33" i="21"/>
  <c r="CP20" i="1"/>
  <c r="G12" i="24" s="1"/>
  <c r="K18" i="12"/>
  <c r="CO22" i="1"/>
  <c r="CP28" i="1"/>
  <c r="U109" i="21"/>
  <c r="T99" i="21"/>
  <c r="Y100" i="21" s="1"/>
  <c r="S99" i="21"/>
  <c r="Q99" i="21"/>
  <c r="V100" i="21" s="1"/>
  <c r="P99" i="21"/>
  <c r="U100" i="21" s="1"/>
  <c r="O99" i="21"/>
  <c r="N99" i="21"/>
  <c r="L99" i="21"/>
  <c r="K99" i="21"/>
  <c r="J99" i="21"/>
  <c r="I99" i="21"/>
  <c r="R97" i="21"/>
  <c r="M97" i="21"/>
  <c r="U93" i="21"/>
  <c r="T93" i="21"/>
  <c r="S93" i="21"/>
  <c r="Q93" i="21"/>
  <c r="P93" i="21"/>
  <c r="O93" i="21"/>
  <c r="N93" i="21"/>
  <c r="R92" i="21"/>
  <c r="W93" i="21" s="1"/>
  <c r="M92" i="21"/>
  <c r="U91" i="21"/>
  <c r="T91" i="21"/>
  <c r="S91" i="21"/>
  <c r="Q91" i="21"/>
  <c r="P91" i="21"/>
  <c r="O91" i="21"/>
  <c r="N91" i="21"/>
  <c r="L91" i="21"/>
  <c r="K91" i="21"/>
  <c r="J91" i="21"/>
  <c r="I91" i="21"/>
  <c r="R90" i="21"/>
  <c r="M90" i="21"/>
  <c r="U88" i="21"/>
  <c r="T88" i="21"/>
  <c r="S88" i="21"/>
  <c r="Q88" i="21"/>
  <c r="P88" i="21"/>
  <c r="O88" i="21"/>
  <c r="N88" i="21"/>
  <c r="L88" i="21"/>
  <c r="K88" i="21"/>
  <c r="J88" i="21"/>
  <c r="I88" i="21"/>
  <c r="R87" i="21"/>
  <c r="M87" i="21"/>
  <c r="L18" i="12" l="1"/>
  <c r="H18" i="12"/>
  <c r="I18" i="12" s="1"/>
  <c r="E18" i="12"/>
  <c r="F18" i="12" s="1"/>
  <c r="AJ4" i="21"/>
  <c r="AI5" i="21"/>
  <c r="AI9" i="21" s="1"/>
  <c r="AI10" i="21" s="1"/>
  <c r="AI36" i="21"/>
  <c r="AE46" i="21"/>
  <c r="CU21" i="1"/>
  <c r="CP21" i="1"/>
  <c r="AJ45" i="21"/>
  <c r="AJ65" i="21" s="1"/>
  <c r="AJ5" i="21"/>
  <c r="AJ34" i="21"/>
  <c r="AL19" i="21"/>
  <c r="AH9" i="21"/>
  <c r="AH6" i="21"/>
  <c r="V6" i="21"/>
  <c r="AA6" i="21"/>
  <c r="AC10" i="21"/>
  <c r="AC6" i="21"/>
  <c r="AE57" i="21"/>
  <c r="M99" i="21"/>
  <c r="T10" i="21"/>
  <c r="Y10" i="21"/>
  <c r="R99" i="21"/>
  <c r="R88" i="21"/>
  <c r="W88" i="21"/>
  <c r="R91" i="21"/>
  <c r="W91" i="21"/>
  <c r="X100" i="21"/>
  <c r="W99" i="21"/>
  <c r="AB100" i="21" s="1"/>
  <c r="W5" i="21"/>
  <c r="W6" i="21" s="1"/>
  <c r="AG19" i="21"/>
  <c r="AD10" i="21"/>
  <c r="AB5" i="21"/>
  <c r="AB19" i="21"/>
  <c r="AB20" i="21" s="1"/>
  <c r="AE34" i="21"/>
  <c r="AD6" i="21"/>
  <c r="V9" i="21"/>
  <c r="Q10" i="21"/>
  <c r="R9" i="21"/>
  <c r="R10" i="21" s="1"/>
  <c r="S10" i="21"/>
  <c r="X10" i="21"/>
  <c r="O100" i="21"/>
  <c r="N100" i="21"/>
  <c r="R93" i="21"/>
  <c r="P100" i="21"/>
  <c r="AE8" i="21"/>
  <c r="AE4" i="21"/>
  <c r="S100" i="21"/>
  <c r="Q100" i="21"/>
  <c r="T100" i="21"/>
  <c r="N8" i="21"/>
  <c r="AE10" i="21"/>
  <c r="CP36" i="1"/>
  <c r="CP37" i="1" s="1"/>
  <c r="CP29" i="1"/>
  <c r="CD34" i="2"/>
  <c r="CD98" i="1"/>
  <c r="CD79" i="1"/>
  <c r="CD63" i="1"/>
  <c r="CD46" i="1"/>
  <c r="CD44" i="1"/>
  <c r="CD32" i="1"/>
  <c r="CD69" i="1"/>
  <c r="CD36" i="1"/>
  <c r="CD28" i="1"/>
  <c r="CD48" i="1"/>
  <c r="AI6" i="21" l="1"/>
  <c r="AL20" i="21"/>
  <c r="AE66" i="21"/>
  <c r="AE77" i="21"/>
  <c r="AE82" i="21" s="1"/>
  <c r="AJ8" i="21"/>
  <c r="AJ6" i="21"/>
  <c r="AJ9" i="21"/>
  <c r="AJ10" i="21" s="1"/>
  <c r="AH10" i="21"/>
  <c r="AJ57" i="21"/>
  <c r="AJ58" i="21" s="1"/>
  <c r="AJ46" i="21"/>
  <c r="V10" i="21"/>
  <c r="AA10" i="21"/>
  <c r="CD29" i="1"/>
  <c r="CD37" i="1"/>
  <c r="CD33" i="1"/>
  <c r="W100" i="21"/>
  <c r="CH131" i="1"/>
  <c r="AB6" i="21"/>
  <c r="AG20" i="21"/>
  <c r="AB9" i="21"/>
  <c r="W9" i="21"/>
  <c r="W10" i="21" s="1"/>
  <c r="R100" i="21"/>
  <c r="AJ77" i="21" l="1"/>
  <c r="AJ66" i="21"/>
  <c r="CS8" i="1"/>
  <c r="CS104" i="1" s="1"/>
  <c r="AB10" i="21"/>
  <c r="AT21" i="18"/>
  <c r="CN1" i="1"/>
  <c r="CX17" i="1"/>
  <c r="CY17" i="1" s="1"/>
  <c r="CS32" i="1" l="1"/>
  <c r="CS38" i="1" s="1"/>
  <c r="CS23" i="1"/>
  <c r="CS9" i="1"/>
  <c r="AJ78" i="21"/>
  <c r="AJ82" i="21"/>
  <c r="AJ83" i="21" s="1"/>
  <c r="AT31" i="18"/>
  <c r="AP20" i="18"/>
  <c r="AQ20" i="18" s="1"/>
  <c r="AO20" i="18"/>
  <c r="AN20" i="18"/>
  <c r="AM20" i="18"/>
  <c r="AQ18" i="18"/>
  <c r="AP18" i="18"/>
  <c r="AO18" i="18"/>
  <c r="AN18" i="18"/>
  <c r="AM18" i="18"/>
  <c r="T21" i="21"/>
  <c r="S45" i="21"/>
  <c r="S21" i="21"/>
  <c r="T109" i="21"/>
  <c r="CC37" i="1"/>
  <c r="CC29" i="1"/>
  <c r="CC63" i="1"/>
  <c r="CC10" i="3"/>
  <c r="CC9" i="3" s="1"/>
  <c r="CC62" i="3" s="1"/>
  <c r="CC34" i="2"/>
  <c r="CC98" i="1"/>
  <c r="CB98" i="1"/>
  <c r="CC79" i="1"/>
  <c r="CC46" i="1"/>
  <c r="CG131" i="1" s="1"/>
  <c r="CC44" i="1"/>
  <c r="CC48" i="1"/>
  <c r="CC32" i="1"/>
  <c r="CC38" i="1" s="1"/>
  <c r="AQ36" i="18"/>
  <c r="AN28" i="18"/>
  <c r="AM36" i="18"/>
  <c r="AO36" i="18"/>
  <c r="AM34" i="18"/>
  <c r="AP34" i="18"/>
  <c r="AP26" i="18"/>
  <c r="AN34" i="18"/>
  <c r="AN26" i="18"/>
  <c r="AN30" i="18"/>
  <c r="AP36" i="18"/>
  <c r="AQ30" i="18"/>
  <c r="AN36" i="18"/>
  <c r="AO28" i="18"/>
  <c r="AP28" i="18"/>
  <c r="AQ26" i="18"/>
  <c r="AM26" i="18"/>
  <c r="AO26" i="18"/>
  <c r="AQ34" i="18"/>
  <c r="AO34" i="18"/>
  <c r="AM30" i="18"/>
  <c r="AO30" i="18"/>
  <c r="AQ28" i="18"/>
  <c r="AP30" i="18"/>
  <c r="AM28" i="18"/>
  <c r="CS1" i="1" l="1"/>
  <c r="AY21" i="18"/>
  <c r="CS40" i="1"/>
  <c r="CS14" i="2"/>
  <c r="CS9" i="2"/>
  <c r="CS44" i="1"/>
  <c r="CS27" i="2"/>
  <c r="CS7" i="2"/>
  <c r="CS29" i="2"/>
  <c r="CS46" i="1"/>
  <c r="CS48" i="1"/>
  <c r="CS24" i="1"/>
  <c r="CC33" i="1"/>
  <c r="S17" i="21"/>
  <c r="S18" i="21" s="1"/>
  <c r="S22" i="21"/>
  <c r="X22" i="21"/>
  <c r="S41" i="21"/>
  <c r="S46" i="21"/>
  <c r="T17" i="21"/>
  <c r="T22" i="21"/>
  <c r="S33" i="21"/>
  <c r="S109" i="21"/>
  <c r="V113" i="21"/>
  <c r="Q109" i="21"/>
  <c r="CA19" i="3"/>
  <c r="CB38" i="3"/>
  <c r="CB10" i="3"/>
  <c r="CB9" i="3" s="1"/>
  <c r="CB34" i="2"/>
  <c r="CB63" i="1"/>
  <c r="CB79" i="1"/>
  <c r="BY46" i="1"/>
  <c r="BX46" i="1"/>
  <c r="BW46" i="1"/>
  <c r="BU46" i="1"/>
  <c r="BT46" i="1"/>
  <c r="BS46" i="1"/>
  <c r="BR46" i="1"/>
  <c r="BP46" i="1"/>
  <c r="BO46" i="1"/>
  <c r="BN46" i="1"/>
  <c r="BM46" i="1"/>
  <c r="BM52" i="1" s="1"/>
  <c r="BY44" i="1"/>
  <c r="BX44" i="1"/>
  <c r="BW44" i="1"/>
  <c r="BT44" i="1"/>
  <c r="BS44" i="1"/>
  <c r="BR44" i="1"/>
  <c r="BQ44" i="1"/>
  <c r="CB44" i="1"/>
  <c r="CB46" i="1"/>
  <c r="CB32" i="1"/>
  <c r="CB69" i="1"/>
  <c r="CB48" i="1"/>
  <c r="CB36" i="1"/>
  <c r="CB28" i="1"/>
  <c r="CS41" i="1" l="1"/>
  <c r="CS52" i="1"/>
  <c r="CS54" i="1" s="1"/>
  <c r="Y21" i="21"/>
  <c r="Y22" i="21" s="1"/>
  <c r="Y18" i="21"/>
  <c r="X18" i="21"/>
  <c r="S3" i="21"/>
  <c r="S7" i="21" s="1"/>
  <c r="T18" i="21"/>
  <c r="X42" i="21"/>
  <c r="S42" i="21"/>
  <c r="V17" i="21"/>
  <c r="AA18" i="21" s="1"/>
  <c r="CB29" i="1"/>
  <c r="CB33" i="1"/>
  <c r="CB37" i="1"/>
  <c r="CB52" i="1"/>
  <c r="X46" i="21"/>
  <c r="AH41" i="21"/>
  <c r="BS52" i="1"/>
  <c r="Q31" i="21"/>
  <c r="Q45" i="21"/>
  <c r="Q41" i="21" s="1"/>
  <c r="Q49" i="21"/>
  <c r="V50" i="21" s="1"/>
  <c r="Q47" i="21"/>
  <c r="V48" i="21" s="1"/>
  <c r="Q23" i="21"/>
  <c r="V24" i="21" s="1"/>
  <c r="Q39" i="21"/>
  <c r="V40" i="21" s="1"/>
  <c r="Q27" i="21"/>
  <c r="Q15" i="21"/>
  <c r="V16" i="21" s="1"/>
  <c r="Q25" i="21"/>
  <c r="V26" i="21" s="1"/>
  <c r="Q21" i="21"/>
  <c r="Q17" i="21" s="1"/>
  <c r="AI17" i="21" l="1"/>
  <c r="AI21" i="21" s="1"/>
  <c r="CS66" i="1"/>
  <c r="CS78" i="1"/>
  <c r="CS79" i="1" s="1"/>
  <c r="CS81" i="1" s="1"/>
  <c r="CS55" i="1"/>
  <c r="AY31" i="18" s="1"/>
  <c r="AC21" i="21"/>
  <c r="AC22" i="21" s="1"/>
  <c r="AH17" i="21"/>
  <c r="AH3" i="21" s="1"/>
  <c r="AH45" i="21"/>
  <c r="Y33" i="21"/>
  <c r="S4" i="21"/>
  <c r="V18" i="21"/>
  <c r="R31" i="21"/>
  <c r="W32" i="21" s="1"/>
  <c r="V32" i="21"/>
  <c r="Q18" i="21"/>
  <c r="R17" i="21"/>
  <c r="S8" i="21"/>
  <c r="X8" i="21"/>
  <c r="AD21" i="21"/>
  <c r="X33" i="21"/>
  <c r="X34" i="21" s="1"/>
  <c r="AC45" i="21"/>
  <c r="Q3" i="21"/>
  <c r="R41" i="21"/>
  <c r="X4" i="21"/>
  <c r="X57" i="21"/>
  <c r="X65" i="21"/>
  <c r="CN6" i="3"/>
  <c r="CC54" i="3"/>
  <c r="CF46" i="3"/>
  <c r="CA45" i="3"/>
  <c r="CA46" i="3"/>
  <c r="CB22" i="1"/>
  <c r="CB16" i="1"/>
  <c r="AC33" i="21" l="1"/>
  <c r="AC34" i="21" s="1"/>
  <c r="AH21" i="21"/>
  <c r="AH65" i="21" s="1"/>
  <c r="AI22" i="21"/>
  <c r="AI33" i="21"/>
  <c r="AH46" i="21"/>
  <c r="AH57" i="21"/>
  <c r="CS82" i="1"/>
  <c r="CS67" i="1"/>
  <c r="CS84" i="1"/>
  <c r="CS85" i="1" s="1"/>
  <c r="CS87" i="1" s="1"/>
  <c r="AC66" i="21"/>
  <c r="AC46" i="21"/>
  <c r="AD33" i="21"/>
  <c r="AD34" i="21" s="1"/>
  <c r="AD22" i="21"/>
  <c r="V21" i="21"/>
  <c r="V22" i="21" s="1"/>
  <c r="W17" i="21"/>
  <c r="W18" i="21" s="1"/>
  <c r="Q4" i="21"/>
  <c r="Q7" i="21"/>
  <c r="R3" i="21"/>
  <c r="R4" i="21" s="1"/>
  <c r="AC57" i="21"/>
  <c r="AC58" i="21" s="1"/>
  <c r="AC4" i="21"/>
  <c r="AC8" i="21"/>
  <c r="BZ98" i="1"/>
  <c r="BY98" i="1"/>
  <c r="BX98" i="1"/>
  <c r="BW98" i="1"/>
  <c r="P73" i="21"/>
  <c r="CG54" i="3"/>
  <c r="CK53" i="3"/>
  <c r="CK51" i="3"/>
  <c r="CK49" i="3"/>
  <c r="CK48" i="3"/>
  <c r="CK47" i="3"/>
  <c r="CK45" i="3"/>
  <c r="CG38" i="3"/>
  <c r="CK37" i="3"/>
  <c r="CK36" i="3"/>
  <c r="CK35" i="3"/>
  <c r="CK34" i="3"/>
  <c r="CK33" i="3"/>
  <c r="CK32" i="3"/>
  <c r="CK31" i="3"/>
  <c r="CK30" i="3"/>
  <c r="CK11" i="3"/>
  <c r="CK28" i="2"/>
  <c r="CK11" i="2"/>
  <c r="AF74" i="21"/>
  <c r="Z73" i="21"/>
  <c r="AE74" i="21" s="1"/>
  <c r="AD74" i="21"/>
  <c r="X73" i="21"/>
  <c r="AF70" i="21"/>
  <c r="Z69" i="21"/>
  <c r="X69" i="21"/>
  <c r="AF68" i="21"/>
  <c r="X67" i="21"/>
  <c r="AC68" i="21" s="1"/>
  <c r="AE64" i="21"/>
  <c r="AD64" i="21"/>
  <c r="X63" i="21"/>
  <c r="AB49" i="21"/>
  <c r="AB47" i="21"/>
  <c r="AB39" i="21"/>
  <c r="AB29" i="21"/>
  <c r="AB27" i="21"/>
  <c r="AB25" i="21"/>
  <c r="AB23" i="21"/>
  <c r="AB15" i="21"/>
  <c r="CK70" i="1"/>
  <c r="CK69" i="1"/>
  <c r="CG64" i="1"/>
  <c r="CK63" i="1"/>
  <c r="CK62" i="1"/>
  <c r="CK61" i="1"/>
  <c r="CK60" i="1"/>
  <c r="CK59" i="1"/>
  <c r="CK58" i="1"/>
  <c r="CK50" i="1"/>
  <c r="CK30" i="1"/>
  <c r="BZ10" i="3"/>
  <c r="BZ9" i="3" s="1"/>
  <c r="BZ62" i="3" s="1"/>
  <c r="BZ34" i="2"/>
  <c r="BZ63" i="1"/>
  <c r="BZ79" i="1"/>
  <c r="BZ46" i="1"/>
  <c r="BZ44" i="1"/>
  <c r="BZ32" i="1"/>
  <c r="BU44" i="1"/>
  <c r="BV44" i="1" s="1"/>
  <c r="BZ48" i="1"/>
  <c r="BZ36" i="1"/>
  <c r="BZ34" i="1"/>
  <c r="BZ28" i="1"/>
  <c r="AI34" i="21" l="1"/>
  <c r="CQ8" i="1"/>
  <c r="CQ104" i="1" s="1"/>
  <c r="AH77" i="21"/>
  <c r="AH66" i="21"/>
  <c r="G35" i="12"/>
  <c r="G44" i="12" s="1"/>
  <c r="G46" i="12" s="1"/>
  <c r="G49" i="12" s="1"/>
  <c r="AH4" i="21"/>
  <c r="AH7" i="21"/>
  <c r="AH58" i="21"/>
  <c r="CS88" i="1"/>
  <c r="CS6" i="3"/>
  <c r="AH22" i="21"/>
  <c r="AH33" i="21"/>
  <c r="AH34" i="21" s="1"/>
  <c r="AC74" i="21"/>
  <c r="AB73" i="21"/>
  <c r="AG74" i="21" s="1"/>
  <c r="AG16" i="21"/>
  <c r="AG30" i="21"/>
  <c r="AG40" i="21"/>
  <c r="AG24" i="21"/>
  <c r="AE58" i="21"/>
  <c r="AG48" i="21"/>
  <c r="Q8" i="21"/>
  <c r="R7" i="21"/>
  <c r="BZ29" i="1"/>
  <c r="BZ33" i="1"/>
  <c r="CA44" i="1"/>
  <c r="BZ35" i="1"/>
  <c r="CM21" i="1"/>
  <c r="BZ37" i="1"/>
  <c r="CM6" i="1"/>
  <c r="CK38" i="3"/>
  <c r="BZ38" i="1"/>
  <c r="AA21" i="21"/>
  <c r="AA22" i="21" s="1"/>
  <c r="AF17" i="21"/>
  <c r="AB17" i="21"/>
  <c r="AB18" i="21" s="1"/>
  <c r="BZ52" i="1"/>
  <c r="AE68" i="21"/>
  <c r="CM12" i="1"/>
  <c r="AD68" i="21"/>
  <c r="AG26" i="21"/>
  <c r="AC70" i="21"/>
  <c r="AG50" i="21"/>
  <c r="AC64" i="21"/>
  <c r="X77" i="21"/>
  <c r="AF64" i="21"/>
  <c r="AE70" i="21"/>
  <c r="CM15" i="1"/>
  <c r="AD70" i="21"/>
  <c r="Z77" i="21"/>
  <c r="CK64" i="1"/>
  <c r="CK12" i="3"/>
  <c r="CK10" i="3"/>
  <c r="CK71" i="1"/>
  <c r="CK52" i="3"/>
  <c r="CK54" i="3" s="1"/>
  <c r="AB67" i="21"/>
  <c r="AG68" i="21" s="1"/>
  <c r="AB69" i="21"/>
  <c r="AG70" i="21" s="1"/>
  <c r="AB63" i="21"/>
  <c r="AG64" i="21" s="1"/>
  <c r="AK17" i="21" l="1"/>
  <c r="AK21" i="21" s="1"/>
  <c r="G36" i="12"/>
  <c r="AH78" i="21"/>
  <c r="AH82" i="21"/>
  <c r="AH8" i="21"/>
  <c r="CQ32" i="1"/>
  <c r="CQ23" i="1"/>
  <c r="CQ9" i="1"/>
  <c r="CO21" i="1"/>
  <c r="CO15" i="1"/>
  <c r="AC78" i="21"/>
  <c r="Z82" i="21"/>
  <c r="AE78" i="21"/>
  <c r="X82" i="21"/>
  <c r="R8" i="21"/>
  <c r="CG21" i="1"/>
  <c r="AC82" i="21"/>
  <c r="AF21" i="21"/>
  <c r="AF22" i="21" s="1"/>
  <c r="AG17" i="21"/>
  <c r="AG18" i="21" s="1"/>
  <c r="AB21" i="21"/>
  <c r="AB33" i="21" s="1"/>
  <c r="CK14" i="1"/>
  <c r="CG23" i="1"/>
  <c r="CL24" i="1" s="1"/>
  <c r="CO6" i="1"/>
  <c r="AN21" i="18"/>
  <c r="CO12" i="1"/>
  <c r="CK5" i="1"/>
  <c r="F10" i="24" s="1"/>
  <c r="CK11" i="1"/>
  <c r="F8" i="24" s="1"/>
  <c r="AL17" i="21" l="1"/>
  <c r="AL18" i="21" s="1"/>
  <c r="CQ1" i="1"/>
  <c r="AW21" i="18"/>
  <c r="AK22" i="21"/>
  <c r="AK33" i="21"/>
  <c r="AL21" i="21"/>
  <c r="AH83" i="21"/>
  <c r="CQ27" i="2"/>
  <c r="CQ7" i="2"/>
  <c r="CQ46" i="1"/>
  <c r="CQ29" i="2"/>
  <c r="CQ48" i="1"/>
  <c r="CQ44" i="1"/>
  <c r="CQ9" i="2"/>
  <c r="CQ14" i="2"/>
  <c r="CQ24" i="1"/>
  <c r="CQ38" i="1"/>
  <c r="CQ40" i="1" s="1"/>
  <c r="F12" i="24"/>
  <c r="CP15" i="1"/>
  <c r="F6" i="24"/>
  <c r="CG138" i="1"/>
  <c r="CH25" i="1"/>
  <c r="AE83" i="21"/>
  <c r="AC83" i="21"/>
  <c r="CG47" i="1"/>
  <c r="CG45" i="1"/>
  <c r="CG49" i="1"/>
  <c r="AM21" i="18"/>
  <c r="CG63" i="2"/>
  <c r="CG62" i="2"/>
  <c r="CG60" i="2"/>
  <c r="CG59" i="2"/>
  <c r="CG56" i="2"/>
  <c r="CG55" i="2"/>
  <c r="CK36" i="1"/>
  <c r="CK37" i="1" s="1"/>
  <c r="CG38" i="1"/>
  <c r="CG40" i="1" s="1"/>
  <c r="CG41" i="1" s="1"/>
  <c r="CP6" i="1"/>
  <c r="AG21" i="21"/>
  <c r="AF33" i="21"/>
  <c r="AR21" i="18"/>
  <c r="CL98" i="1"/>
  <c r="CK28" i="1"/>
  <c r="CK29" i="1" s="1"/>
  <c r="CH98" i="1"/>
  <c r="CI98" i="1"/>
  <c r="AO21" i="18"/>
  <c r="CP12" i="1"/>
  <c r="N109" i="21"/>
  <c r="O109" i="21"/>
  <c r="P109" i="21"/>
  <c r="BY34" i="2"/>
  <c r="BZ71" i="1"/>
  <c r="BY63" i="1"/>
  <c r="BY79" i="1"/>
  <c r="BY32" i="1"/>
  <c r="BY69" i="1"/>
  <c r="BY48" i="1"/>
  <c r="BY35" i="1"/>
  <c r="BY36" i="1"/>
  <c r="BY28" i="1"/>
  <c r="O73" i="21"/>
  <c r="N73" i="21"/>
  <c r="J73" i="21"/>
  <c r="J71" i="21"/>
  <c r="J69" i="21"/>
  <c r="J67" i="21"/>
  <c r="J65" i="21"/>
  <c r="J63" i="21"/>
  <c r="J57" i="21"/>
  <c r="J33" i="21"/>
  <c r="N63" i="21"/>
  <c r="I63" i="21"/>
  <c r="O63" i="21"/>
  <c r="P63" i="21"/>
  <c r="Q63" i="21"/>
  <c r="S63" i="21"/>
  <c r="T63" i="21"/>
  <c r="Y64" i="21" s="1"/>
  <c r="U63" i="21"/>
  <c r="Z64" i="21" s="1"/>
  <c r="V63" i="21"/>
  <c r="N65" i="21"/>
  <c r="N66" i="21" s="1"/>
  <c r="O65" i="21"/>
  <c r="P65" i="21"/>
  <c r="Q65" i="21"/>
  <c r="S65" i="21"/>
  <c r="U65" i="21"/>
  <c r="Z66" i="21" s="1"/>
  <c r="I67" i="21"/>
  <c r="N67" i="21"/>
  <c r="O67" i="21"/>
  <c r="P67" i="21"/>
  <c r="Q67" i="21"/>
  <c r="S67" i="21"/>
  <c r="T67" i="21"/>
  <c r="Y68" i="21" s="1"/>
  <c r="U67" i="21"/>
  <c r="Z68" i="21" s="1"/>
  <c r="V67" i="21"/>
  <c r="AA68" i="21" s="1"/>
  <c r="I69" i="21"/>
  <c r="N69" i="21"/>
  <c r="O69" i="21"/>
  <c r="P69" i="21"/>
  <c r="Q69" i="21"/>
  <c r="S69" i="21"/>
  <c r="X70" i="21" s="1"/>
  <c r="T69" i="21"/>
  <c r="Y70" i="21" s="1"/>
  <c r="U69" i="21"/>
  <c r="Z70" i="21" s="1"/>
  <c r="V69" i="21"/>
  <c r="AA70" i="21" s="1"/>
  <c r="I71" i="21"/>
  <c r="N71" i="21"/>
  <c r="O71" i="21"/>
  <c r="P71" i="21"/>
  <c r="Q71" i="21"/>
  <c r="I73" i="21"/>
  <c r="Q73" i="21"/>
  <c r="S73" i="21"/>
  <c r="X74" i="21" s="1"/>
  <c r="T73" i="21"/>
  <c r="Y74" i="21" s="1"/>
  <c r="U73" i="21"/>
  <c r="Z74" i="21" s="1"/>
  <c r="V73" i="21"/>
  <c r="CQ52" i="1" l="1"/>
  <c r="CQ54" i="1" s="1"/>
  <c r="CQ41" i="1"/>
  <c r="AL22" i="21"/>
  <c r="AL33" i="21"/>
  <c r="AK34" i="21"/>
  <c r="X66" i="21"/>
  <c r="N72" i="21"/>
  <c r="AG33" i="21"/>
  <c r="AG22" i="21"/>
  <c r="N77" i="21"/>
  <c r="N82" i="21" s="1"/>
  <c r="N64" i="21"/>
  <c r="O77" i="21"/>
  <c r="O82" i="21" s="1"/>
  <c r="J77" i="21"/>
  <c r="J82" i="21" s="1"/>
  <c r="N70" i="21"/>
  <c r="N68" i="21"/>
  <c r="BY33" i="1"/>
  <c r="BY37" i="1"/>
  <c r="BY52" i="1"/>
  <c r="R63" i="21"/>
  <c r="BY29" i="1"/>
  <c r="CG52" i="1"/>
  <c r="CG54" i="1" s="1"/>
  <c r="CG55" i="1" s="1"/>
  <c r="P77" i="21"/>
  <c r="Q77" i="21"/>
  <c r="Q82" i="21" s="1"/>
  <c r="V70" i="21"/>
  <c r="R69" i="21"/>
  <c r="V74" i="21"/>
  <c r="AA74" i="21"/>
  <c r="V64" i="21"/>
  <c r="AA64" i="21"/>
  <c r="X68" i="21"/>
  <c r="CB13" i="1"/>
  <c r="U66" i="21"/>
  <c r="T64" i="21"/>
  <c r="T70" i="21"/>
  <c r="T74" i="21"/>
  <c r="S64" i="21"/>
  <c r="X64" i="21"/>
  <c r="T68" i="21"/>
  <c r="U77" i="21"/>
  <c r="V68" i="21"/>
  <c r="U68" i="21"/>
  <c r="S68" i="21"/>
  <c r="U74" i="21"/>
  <c r="U70" i="21"/>
  <c r="S66" i="21"/>
  <c r="W69" i="21"/>
  <c r="R65" i="21"/>
  <c r="W67" i="21"/>
  <c r="AB68" i="21" s="1"/>
  <c r="S70" i="21"/>
  <c r="W73" i="21"/>
  <c r="AB74" i="21" s="1"/>
  <c r="R67" i="21"/>
  <c r="R73" i="21"/>
  <c r="R71" i="21"/>
  <c r="S77" i="21"/>
  <c r="S74" i="21"/>
  <c r="U64" i="21"/>
  <c r="W63" i="21"/>
  <c r="H90" i="21"/>
  <c r="M91" i="21" s="1"/>
  <c r="H87" i="21"/>
  <c r="M88" i="21" s="1"/>
  <c r="AL34" i="21" l="1"/>
  <c r="CQ66" i="1"/>
  <c r="CQ55" i="1"/>
  <c r="AW31" i="18" s="1"/>
  <c r="CQ78" i="1"/>
  <c r="O83" i="21"/>
  <c r="U82" i="21"/>
  <c r="U78" i="21"/>
  <c r="Z78" i="21"/>
  <c r="S82" i="21"/>
  <c r="S78" i="21"/>
  <c r="X78" i="21"/>
  <c r="AR31" i="18"/>
  <c r="AM31" i="18"/>
  <c r="K6" i="23"/>
  <c r="K8" i="23" s="1"/>
  <c r="CG78" i="1"/>
  <c r="CG80" i="1" s="1"/>
  <c r="CG66" i="1"/>
  <c r="CG84" i="1" s="1"/>
  <c r="CG86" i="1" s="1"/>
  <c r="W70" i="21"/>
  <c r="AB70" i="21"/>
  <c r="W64" i="21"/>
  <c r="AB64" i="21"/>
  <c r="W74" i="21"/>
  <c r="W68" i="21"/>
  <c r="R77" i="21"/>
  <c r="P82" i="21"/>
  <c r="R82" i="21" s="1"/>
  <c r="BY64" i="1"/>
  <c r="CQ79" i="1" l="1"/>
  <c r="CQ81" i="1" s="1"/>
  <c r="CQ84" i="1"/>
  <c r="CQ67" i="1"/>
  <c r="U83" i="21"/>
  <c r="Z83" i="21"/>
  <c r="S83" i="21"/>
  <c r="X83" i="21"/>
  <c r="CG81" i="1"/>
  <c r="CG82" i="1" s="1"/>
  <c r="CG67" i="1"/>
  <c r="AO31" i="18"/>
  <c r="M6" i="23"/>
  <c r="AN31" i="18"/>
  <c r="L6" i="23"/>
  <c r="L8" i="23" s="1"/>
  <c r="K15" i="12"/>
  <c r="K27" i="12"/>
  <c r="CQ85" i="1" l="1"/>
  <c r="CQ87" i="1" s="1"/>
  <c r="CQ82" i="1"/>
  <c r="CG87" i="1"/>
  <c r="CQ6" i="3" l="1"/>
  <c r="CQ88" i="1"/>
  <c r="CG88" i="1"/>
  <c r="AK20" i="18"/>
  <c r="AL20" i="18" s="1"/>
  <c r="AJ20" i="18"/>
  <c r="AI20" i="18"/>
  <c r="AH20" i="18"/>
  <c r="AL18" i="18"/>
  <c r="AK18" i="18"/>
  <c r="AJ18" i="18"/>
  <c r="AI18" i="18"/>
  <c r="AH18" i="18"/>
  <c r="CF137" i="1"/>
  <c r="CE137" i="1"/>
  <c r="CD137" i="1"/>
  <c r="CC137" i="1"/>
  <c r="CB137" i="1"/>
  <c r="V33" i="21"/>
  <c r="U33" i="21"/>
  <c r="T33" i="21"/>
  <c r="Y34" i="21" s="1"/>
  <c r="Q33" i="21"/>
  <c r="P33" i="21"/>
  <c r="O33" i="21"/>
  <c r="O34" i="21" s="1"/>
  <c r="N33" i="21"/>
  <c r="U57" i="21"/>
  <c r="S57" i="21"/>
  <c r="O57" i="21"/>
  <c r="O58" i="21" s="1"/>
  <c r="P57" i="21"/>
  <c r="P58" i="21" s="1"/>
  <c r="Q57" i="21"/>
  <c r="Q58" i="21" s="1"/>
  <c r="W49" i="21"/>
  <c r="W47" i="21"/>
  <c r="W39" i="21"/>
  <c r="CG15" i="1"/>
  <c r="CG12" i="1"/>
  <c r="BY69" i="9"/>
  <c r="BX34" i="2"/>
  <c r="BX79" i="1"/>
  <c r="BX32" i="1"/>
  <c r="BX33" i="1" s="1"/>
  <c r="BX48" i="1"/>
  <c r="BX52" i="1" s="1"/>
  <c r="BX36" i="1"/>
  <c r="BX37" i="1" s="1"/>
  <c r="BX34" i="1"/>
  <c r="BX35" i="1" s="1"/>
  <c r="BX28" i="1"/>
  <c r="BX29" i="1" s="1"/>
  <c r="R49" i="21"/>
  <c r="R47" i="21"/>
  <c r="R45" i="21"/>
  <c r="R39" i="21"/>
  <c r="W15" i="21"/>
  <c r="W21" i="21"/>
  <c r="W23" i="21"/>
  <c r="W25" i="21"/>
  <c r="W29" i="21"/>
  <c r="R29" i="21"/>
  <c r="R27" i="21"/>
  <c r="R25" i="21"/>
  <c r="R23" i="21"/>
  <c r="R21" i="21"/>
  <c r="R15" i="21"/>
  <c r="BW44" i="9"/>
  <c r="N50" i="21"/>
  <c r="N48" i="21"/>
  <c r="N40" i="21"/>
  <c r="N46" i="21"/>
  <c r="I57" i="21"/>
  <c r="N57" i="21"/>
  <c r="I33" i="21"/>
  <c r="AK34" i="18"/>
  <c r="AH28" i="18"/>
  <c r="AH26" i="18"/>
  <c r="AK26" i="18"/>
  <c r="AK30" i="18"/>
  <c r="AJ28" i="18"/>
  <c r="AL30" i="18"/>
  <c r="AK28" i="18"/>
  <c r="AI30" i="18"/>
  <c r="AJ36" i="18"/>
  <c r="AJ30" i="18"/>
  <c r="AK36" i="18"/>
  <c r="AL28" i="18"/>
  <c r="AI36" i="18"/>
  <c r="AJ26" i="18"/>
  <c r="AI26" i="18"/>
  <c r="AI34" i="18"/>
  <c r="AL36" i="18"/>
  <c r="AH34" i="18"/>
  <c r="AL26" i="18"/>
  <c r="AL34" i="18"/>
  <c r="AH30" i="18"/>
  <c r="AJ34" i="18"/>
  <c r="AH36" i="18"/>
  <c r="AI28" i="18"/>
  <c r="U34" i="21" l="1"/>
  <c r="Z34" i="21"/>
  <c r="N34" i="21"/>
  <c r="S34" i="21"/>
  <c r="W30" i="21"/>
  <c r="AB30" i="21"/>
  <c r="W26" i="21"/>
  <c r="W24" i="21"/>
  <c r="AB24" i="21"/>
  <c r="V34" i="21"/>
  <c r="W48" i="21"/>
  <c r="AB48" i="21"/>
  <c r="W22" i="21"/>
  <c r="AB22" i="21"/>
  <c r="W40" i="21"/>
  <c r="AB40" i="21"/>
  <c r="AB50" i="21"/>
  <c r="W50" i="21"/>
  <c r="W16" i="21"/>
  <c r="AB16" i="21"/>
  <c r="S58" i="21"/>
  <c r="X58" i="21"/>
  <c r="T34" i="21"/>
  <c r="U58" i="21"/>
  <c r="Z58" i="21"/>
  <c r="N58" i="21"/>
  <c r="I77" i="21"/>
  <c r="N78" i="21" s="1"/>
  <c r="AB26" i="21"/>
  <c r="CG16" i="1"/>
  <c r="CD23" i="1"/>
  <c r="U111" i="21" s="1"/>
  <c r="U112" i="21" s="1"/>
  <c r="Y114" i="21" s="1"/>
  <c r="CG10" i="1"/>
  <c r="CB10" i="1"/>
  <c r="CG9" i="1"/>
  <c r="CG22" i="1"/>
  <c r="CG7" i="1"/>
  <c r="CG6" i="1"/>
  <c r="CF5" i="1"/>
  <c r="E10" i="24" s="1"/>
  <c r="CB7" i="1"/>
  <c r="CG13" i="1"/>
  <c r="R57" i="21"/>
  <c r="R33" i="21"/>
  <c r="CB122" i="1"/>
  <c r="CD122" i="1"/>
  <c r="CC122" i="1"/>
  <c r="CE122" i="1"/>
  <c r="CI123" i="1" s="1"/>
  <c r="W33" i="21"/>
  <c r="BW48" i="9"/>
  <c r="BW49" i="9" s="1"/>
  <c r="BW43" i="9"/>
  <c r="BW41" i="9"/>
  <c r="Y115" i="21" l="1"/>
  <c r="AD115" i="21"/>
  <c r="CI24" i="1"/>
  <c r="CI126" i="1"/>
  <c r="CI127" i="1" s="1"/>
  <c r="CH123" i="1"/>
  <c r="CM124" i="1" s="1"/>
  <c r="CG123" i="1"/>
  <c r="CL124" i="1" s="1"/>
  <c r="W34" i="21"/>
  <c r="I82" i="21"/>
  <c r="N83" i="21" s="1"/>
  <c r="CD63" i="2"/>
  <c r="CD55" i="2"/>
  <c r="CD60" i="2"/>
  <c r="CD62" i="2"/>
  <c r="CD56" i="2"/>
  <c r="CD59" i="2"/>
  <c r="CD49" i="1"/>
  <c r="CD45" i="1"/>
  <c r="CD47" i="1"/>
  <c r="CE123" i="1"/>
  <c r="CJ124" i="1" s="1"/>
  <c r="BY71" i="1"/>
  <c r="BX71" i="1"/>
  <c r="BW18" i="3"/>
  <c r="BW10" i="3"/>
  <c r="BW9" i="3" s="1"/>
  <c r="BW34" i="2"/>
  <c r="BW79" i="1"/>
  <c r="BW63" i="1"/>
  <c r="BW71" i="1"/>
  <c r="BU71" i="1"/>
  <c r="BW32" i="1"/>
  <c r="BW33" i="1" s="1"/>
  <c r="BW48" i="1"/>
  <c r="BW52" i="1" s="1"/>
  <c r="BW34" i="1"/>
  <c r="BW35" i="1" s="1"/>
  <c r="BW36" i="1"/>
  <c r="BW37" i="1" s="1"/>
  <c r="BW28" i="1"/>
  <c r="BW29" i="1" s="1"/>
  <c r="BU67" i="9"/>
  <c r="BU66" i="9" s="1"/>
  <c r="BR73" i="9"/>
  <c r="BT66" i="9"/>
  <c r="BT71" i="9" s="1"/>
  <c r="BR66" i="9"/>
  <c r="BR71" i="9" s="1"/>
  <c r="BU75" i="9"/>
  <c r="BT57" i="9"/>
  <c r="BU25" i="9"/>
  <c r="BU31" i="9" s="1"/>
  <c r="BS23" i="9"/>
  <c r="BT23" i="9"/>
  <c r="BT29" i="9" s="1"/>
  <c r="BT27" i="9" s="1"/>
  <c r="BU9" i="9"/>
  <c r="BU7" i="9"/>
  <c r="BV65" i="9"/>
  <c r="BW50" i="9"/>
  <c r="BU61" i="9"/>
  <c r="BX42" i="9"/>
  <c r="BT48" i="9"/>
  <c r="BT49" i="9" s="1"/>
  <c r="BS48" i="9"/>
  <c r="BS49" i="9" s="1"/>
  <c r="BU46" i="9"/>
  <c r="BU48" i="9" s="1"/>
  <c r="BU49" i="9" s="1"/>
  <c r="BV42" i="9"/>
  <c r="BT22" i="9" l="1"/>
  <c r="CL135" i="1"/>
  <c r="CJ135" i="1"/>
  <c r="CG126" i="1"/>
  <c r="CG127" i="1" s="1"/>
  <c r="CL128" i="1" s="1"/>
  <c r="CH126" i="1"/>
  <c r="CH127" i="1" s="1"/>
  <c r="CM128" i="1" s="1"/>
  <c r="CM129" i="1" s="1"/>
  <c r="BU23" i="9"/>
  <c r="BU22" i="9" s="1"/>
  <c r="CE126" i="1"/>
  <c r="CE127" i="1" s="1"/>
  <c r="CJ128" i="1" s="1"/>
  <c r="CL129" i="1" l="1"/>
  <c r="CL133" i="1"/>
  <c r="CJ129" i="1"/>
  <c r="CJ133" i="1"/>
  <c r="BU29" i="9"/>
  <c r="BU30" i="9" s="1"/>
  <c r="BS22" i="9"/>
  <c r="BR22" i="9"/>
  <c r="BX50" i="9"/>
  <c r="BR30" i="9"/>
  <c r="AP36" i="9"/>
  <c r="AM36" i="9"/>
  <c r="AK36" i="9"/>
  <c r="AJ36" i="9"/>
  <c r="AI36" i="9"/>
  <c r="AG36" i="9"/>
  <c r="AC36" i="9"/>
  <c r="AB36" i="9"/>
  <c r="Z36" i="9"/>
  <c r="Y36" i="9"/>
  <c r="X36" i="9"/>
  <c r="W36" i="9"/>
  <c r="V36" i="9"/>
  <c r="U36" i="9"/>
  <c r="T36" i="9"/>
  <c r="S36" i="9"/>
  <c r="R36" i="9"/>
  <c r="Q36" i="9"/>
  <c r="P36" i="9"/>
  <c r="O36" i="9"/>
  <c r="N36" i="9"/>
  <c r="M36" i="9"/>
  <c r="L36" i="9"/>
  <c r="K36" i="9"/>
  <c r="J36" i="9"/>
  <c r="I36" i="9"/>
  <c r="H36" i="9"/>
  <c r="G36" i="9"/>
  <c r="F36" i="9"/>
  <c r="E36" i="9"/>
  <c r="D36" i="9"/>
  <c r="BU44" i="9"/>
  <c r="BT44" i="9"/>
  <c r="BS44" i="9"/>
  <c r="BS35" i="9" s="1"/>
  <c r="BX35" i="9" s="1"/>
  <c r="BR44" i="9"/>
  <c r="BR35" i="9" s="1"/>
  <c r="BW35" i="9" s="1"/>
  <c r="BP44" i="9"/>
  <c r="BO44" i="9"/>
  <c r="BO35" i="9" s="1"/>
  <c r="BN44" i="9"/>
  <c r="BN35" i="9" s="1"/>
  <c r="BM44" i="9"/>
  <c r="BM35" i="9" s="1"/>
  <c r="BR36" i="9" s="1"/>
  <c r="BG44" i="9"/>
  <c r="BB44" i="9"/>
  <c r="BP43" i="9"/>
  <c r="BO43" i="9"/>
  <c r="BN43" i="9"/>
  <c r="BM43" i="9"/>
  <c r="BP41" i="9"/>
  <c r="BO41" i="9"/>
  <c r="BN41" i="9"/>
  <c r="BM41" i="9"/>
  <c r="BT43" i="9"/>
  <c r="BS43" i="9"/>
  <c r="BR43" i="9"/>
  <c r="BU43" i="9"/>
  <c r="BT41" i="9"/>
  <c r="BS41" i="9"/>
  <c r="BR41" i="9"/>
  <c r="BU41" i="9"/>
  <c r="BZ15" i="9"/>
  <c r="BY15" i="9"/>
  <c r="BY9" i="9" s="1"/>
  <c r="CD15" i="9" s="1"/>
  <c r="BX15" i="9"/>
  <c r="BX9" i="9" s="1"/>
  <c r="CC15" i="9" s="1"/>
  <c r="BW15" i="9"/>
  <c r="BW9" i="9" s="1"/>
  <c r="CB15" i="9" s="1"/>
  <c r="CB9" i="9" s="1"/>
  <c r="BY13" i="9"/>
  <c r="BY7" i="9" s="1"/>
  <c r="BS77" i="9"/>
  <c r="BS66" i="9" s="1"/>
  <c r="BS71" i="9" s="1"/>
  <c r="BS57" i="9"/>
  <c r="BU57" i="9" s="1"/>
  <c r="BU55" i="9" s="1"/>
  <c r="BS51" i="9"/>
  <c r="BS50" i="9" s="1"/>
  <c r="BS33" i="9"/>
  <c r="BS29" i="9"/>
  <c r="BS30" i="9" s="1"/>
  <c r="BP69" i="9"/>
  <c r="BP67" i="9"/>
  <c r="BP51" i="9"/>
  <c r="BP53" i="9"/>
  <c r="BP23" i="9"/>
  <c r="BP25" i="9"/>
  <c r="BP7" i="9"/>
  <c r="BP9" i="9"/>
  <c r="BY4" i="9" l="1"/>
  <c r="BP35" i="9"/>
  <c r="BS36" i="9"/>
  <c r="BP66" i="9"/>
  <c r="CC35" i="9"/>
  <c r="BT35" i="9"/>
  <c r="BT89" i="9"/>
  <c r="BU89" i="9"/>
  <c r="BR89" i="9"/>
  <c r="BS82" i="9"/>
  <c r="BT82" i="9"/>
  <c r="BU82" i="9"/>
  <c r="BR82" i="9"/>
  <c r="BT36" i="9" l="1"/>
  <c r="BY35" i="9"/>
  <c r="CD35" i="9" s="1"/>
  <c r="CF61" i="1"/>
  <c r="CA61" i="1"/>
  <c r="CE54" i="3"/>
  <c r="CD54" i="3"/>
  <c r="CB54" i="3"/>
  <c r="CF53" i="3"/>
  <c r="CF52" i="3"/>
  <c r="CF51" i="3"/>
  <c r="CF49" i="3"/>
  <c r="CF48" i="3"/>
  <c r="CF47" i="3"/>
  <c r="CF45" i="3"/>
  <c r="CE38" i="3"/>
  <c r="CD38" i="3"/>
  <c r="CC38" i="3"/>
  <c r="CF37" i="3"/>
  <c r="CF36" i="3"/>
  <c r="CF35" i="3"/>
  <c r="CF34" i="3"/>
  <c r="CF33" i="3"/>
  <c r="CF32" i="3"/>
  <c r="CF31" i="3"/>
  <c r="CF30" i="3"/>
  <c r="CE10" i="3"/>
  <c r="CE9" i="3" s="1"/>
  <c r="CE62" i="3" s="1"/>
  <c r="CD10" i="3"/>
  <c r="CD9" i="3" s="1"/>
  <c r="CD62" i="3" s="1"/>
  <c r="CF28" i="2"/>
  <c r="CF11" i="2"/>
  <c r="CE71" i="1"/>
  <c r="CD71" i="1"/>
  <c r="CC71" i="1"/>
  <c r="CB71" i="1"/>
  <c r="CF70" i="1"/>
  <c r="CF69" i="1"/>
  <c r="CE64" i="1"/>
  <c r="CD64" i="1"/>
  <c r="CC64" i="1"/>
  <c r="CB64" i="1"/>
  <c r="CF63" i="1"/>
  <c r="CF62" i="1"/>
  <c r="CF60" i="1"/>
  <c r="CF59" i="1"/>
  <c r="CF58" i="1"/>
  <c r="CF50" i="1"/>
  <c r="CF30" i="1"/>
  <c r="CB46" i="9"/>
  <c r="BW13" i="9"/>
  <c r="CF98" i="9"/>
  <c r="CE97" i="9"/>
  <c r="CD97" i="9"/>
  <c r="CC97" i="9"/>
  <c r="CB97" i="9"/>
  <c r="CE91" i="9"/>
  <c r="CD91" i="9"/>
  <c r="CC91" i="9"/>
  <c r="CB91" i="9"/>
  <c r="CE90" i="9"/>
  <c r="CD90" i="9"/>
  <c r="CC90" i="9"/>
  <c r="CB90" i="9"/>
  <c r="CF89" i="9"/>
  <c r="CE88" i="9"/>
  <c r="CD88" i="9"/>
  <c r="CC88" i="9"/>
  <c r="CB88" i="9"/>
  <c r="CE87" i="9"/>
  <c r="CC87" i="9"/>
  <c r="CB87" i="9"/>
  <c r="CF82" i="9"/>
  <c r="CF77" i="9"/>
  <c r="CF75" i="9"/>
  <c r="CB70" i="9"/>
  <c r="CE69" i="9"/>
  <c r="CD69" i="9"/>
  <c r="CC69" i="9"/>
  <c r="CF61" i="9"/>
  <c r="CF59" i="9"/>
  <c r="CE58" i="9"/>
  <c r="CD58" i="9"/>
  <c r="CC58" i="9"/>
  <c r="CB58" i="9"/>
  <c r="CF57" i="9"/>
  <c r="CE55" i="9"/>
  <c r="CE56" i="9" s="1"/>
  <c r="CD55" i="9"/>
  <c r="CB55" i="9"/>
  <c r="CE53" i="9"/>
  <c r="CD53" i="9"/>
  <c r="CD50" i="9" s="1"/>
  <c r="CD63" i="9" s="1"/>
  <c r="CC53" i="9"/>
  <c r="CC50" i="9" s="1"/>
  <c r="CC63" i="9" s="1"/>
  <c r="CB53" i="9"/>
  <c r="CB50" i="9" s="1"/>
  <c r="CB63" i="9" s="1"/>
  <c r="CE52" i="9"/>
  <c r="CD52" i="9"/>
  <c r="CC52" i="9"/>
  <c r="CB52" i="9"/>
  <c r="CF51" i="9"/>
  <c r="CF33" i="9"/>
  <c r="CF31" i="9"/>
  <c r="CE25" i="9"/>
  <c r="CD25" i="9"/>
  <c r="CC25" i="9"/>
  <c r="CB25" i="9"/>
  <c r="CF17" i="9"/>
  <c r="CD9" i="9"/>
  <c r="CD10" i="9" s="1"/>
  <c r="CC9" i="9"/>
  <c r="CC10" i="9" s="1"/>
  <c r="CE6" i="9"/>
  <c r="CD6" i="9"/>
  <c r="CC6" i="9"/>
  <c r="CB6" i="9"/>
  <c r="CF5" i="9"/>
  <c r="BY46" i="9"/>
  <c r="BX46" i="9"/>
  <c r="CC46" i="9" s="1"/>
  <c r="BZ42" i="9"/>
  <c r="BY42" i="9"/>
  <c r="BX40" i="9"/>
  <c r="CC40" i="9" s="1"/>
  <c r="BY40" i="9"/>
  <c r="CD40" i="9" s="1"/>
  <c r="BZ40" i="9"/>
  <c r="CE40" i="9" s="1"/>
  <c r="CB40" i="9"/>
  <c r="BV8" i="2"/>
  <c r="BU38" i="3"/>
  <c r="BU10" i="3"/>
  <c r="BU9" i="3" s="1"/>
  <c r="BU62" i="3" s="1"/>
  <c r="BU34" i="2"/>
  <c r="BV22" i="2"/>
  <c r="BU98" i="1"/>
  <c r="BU63" i="1"/>
  <c r="CW46" i="1"/>
  <c r="BU32" i="1"/>
  <c r="BU48" i="1"/>
  <c r="BU52" i="1" s="1"/>
  <c r="BU34" i="1"/>
  <c r="BU35" i="1" s="1"/>
  <c r="BU36" i="1"/>
  <c r="BU37" i="1" s="1"/>
  <c r="BU28" i="1"/>
  <c r="BU29" i="1" s="1"/>
  <c r="BU8" i="1"/>
  <c r="BX13" i="9"/>
  <c r="BX7" i="9" s="1"/>
  <c r="BT97" i="9"/>
  <c r="BT4" i="9"/>
  <c r="BT30" i="9"/>
  <c r="BS8" i="9"/>
  <c r="BS4" i="9"/>
  <c r="BV40" i="9"/>
  <c r="BQ42" i="9"/>
  <c r="BQ40" i="9"/>
  <c r="BL42" i="9"/>
  <c r="BL40" i="9"/>
  <c r="BT14" i="9"/>
  <c r="BT11" i="9"/>
  <c r="BL44" i="9" l="1"/>
  <c r="BV43" i="9"/>
  <c r="BQ44" i="9"/>
  <c r="CF53" i="9"/>
  <c r="BV41" i="9"/>
  <c r="BV44" i="9"/>
  <c r="CF97" i="9"/>
  <c r="BU33" i="1"/>
  <c r="CF38" i="3"/>
  <c r="CF10" i="3"/>
  <c r="CE42" i="9"/>
  <c r="CE44" i="9" s="1"/>
  <c r="BZ44" i="9"/>
  <c r="CD42" i="9"/>
  <c r="CD44" i="9" s="1"/>
  <c r="CD29" i="9" s="1"/>
  <c r="CD23" i="9" s="1"/>
  <c r="CD22" i="9" s="1"/>
  <c r="BY44" i="9"/>
  <c r="BY29" i="9" s="1"/>
  <c r="CC42" i="9"/>
  <c r="CC44" i="9" s="1"/>
  <c r="CC29" i="9" s="1"/>
  <c r="CC27" i="9" s="1"/>
  <c r="BX44" i="9"/>
  <c r="CB42" i="9"/>
  <c r="CB44" i="9" s="1"/>
  <c r="CC13" i="1"/>
  <c r="CF55" i="9"/>
  <c r="BZ46" i="9"/>
  <c r="CE46" i="9" s="1"/>
  <c r="BX4" i="9"/>
  <c r="CC18" i="9" s="1"/>
  <c r="BX8" i="9"/>
  <c r="CC13" i="9"/>
  <c r="CC11" i="9" s="1"/>
  <c r="CF40" i="9"/>
  <c r="CD46" i="9"/>
  <c r="CC22" i="1"/>
  <c r="CE22" i="1"/>
  <c r="CF71" i="1"/>
  <c r="CF20" i="1"/>
  <c r="E12" i="24" s="1"/>
  <c r="CD22" i="1"/>
  <c r="CF12" i="3"/>
  <c r="CF64" i="1"/>
  <c r="CF54" i="3"/>
  <c r="CD56" i="9"/>
  <c r="CB64" i="9"/>
  <c r="CF25" i="9"/>
  <c r="CC64" i="9"/>
  <c r="CE50" i="9"/>
  <c r="CE13" i="1" s="1"/>
  <c r="CD64" i="9"/>
  <c r="CF69" i="9"/>
  <c r="CA42" i="9"/>
  <c r="CA40" i="9"/>
  <c r="CA41" i="9" s="1"/>
  <c r="CC7" i="9" l="1"/>
  <c r="CC8" i="9" s="1"/>
  <c r="BX29" i="9"/>
  <c r="BX23" i="9" s="1"/>
  <c r="CK21" i="1"/>
  <c r="F13" i="24" s="1"/>
  <c r="CF46" i="9"/>
  <c r="CD27" i="9"/>
  <c r="CC23" i="9"/>
  <c r="CC22" i="9" s="1"/>
  <c r="CF42" i="9"/>
  <c r="CF44" i="9" s="1"/>
  <c r="CA43" i="9"/>
  <c r="CA44" i="9"/>
  <c r="CD13" i="1"/>
  <c r="CF11" i="1"/>
  <c r="E8" i="24" s="1"/>
  <c r="CF50" i="9"/>
  <c r="CA46" i="9"/>
  <c r="CA47" i="9" s="1"/>
  <c r="CC12" i="9"/>
  <c r="CF41" i="9"/>
  <c r="CF36" i="1"/>
  <c r="CF37" i="1" s="1"/>
  <c r="CE63" i="9"/>
  <c r="CE64" i="9"/>
  <c r="CC4" i="9" l="1"/>
  <c r="CC19" i="9" s="1"/>
  <c r="BX27" i="9"/>
  <c r="CK12" i="1"/>
  <c r="F9" i="24" s="1"/>
  <c r="CF43" i="9"/>
  <c r="CF47" i="9"/>
  <c r="CD39" i="9"/>
  <c r="CD10" i="1" l="1"/>
  <c r="CA8" i="2"/>
  <c r="BT12" i="3"/>
  <c r="BS8" i="3"/>
  <c r="BV8" i="3" s="1"/>
  <c r="BS12" i="3"/>
  <c r="BS19" i="3"/>
  <c r="BV19" i="3" s="1"/>
  <c r="BS18" i="3"/>
  <c r="BV18" i="3" s="1"/>
  <c r="BT34" i="2"/>
  <c r="BT6" i="2"/>
  <c r="BT79" i="1"/>
  <c r="BT63" i="1"/>
  <c r="BT48" i="1"/>
  <c r="BT52" i="1" s="1"/>
  <c r="BT32" i="1"/>
  <c r="BT36" i="1"/>
  <c r="BT34" i="1"/>
  <c r="BT28" i="1"/>
  <c r="BT8" i="1"/>
  <c r="BV12" i="3" l="1"/>
  <c r="BT37" i="1"/>
  <c r="BT29" i="1"/>
  <c r="BT33" i="1"/>
  <c r="BT35" i="1"/>
  <c r="BS53" i="3"/>
  <c r="BS49" i="3"/>
  <c r="BS47" i="3"/>
  <c r="BS51" i="3"/>
  <c r="BS45" i="3"/>
  <c r="BS37" i="3"/>
  <c r="BS32" i="3"/>
  <c r="BS34" i="3"/>
  <c r="BS30" i="3"/>
  <c r="BS31" i="3"/>
  <c r="BS14" i="3"/>
  <c r="BV14" i="3" s="1"/>
  <c r="BS25" i="3"/>
  <c r="BV25" i="3" s="1"/>
  <c r="BS24" i="3"/>
  <c r="BV24" i="3" s="1"/>
  <c r="BS23" i="3"/>
  <c r="BV23" i="3" s="1"/>
  <c r="BS21" i="3"/>
  <c r="BS20" i="3"/>
  <c r="BV72" i="1"/>
  <c r="BS79" i="1"/>
  <c r="AF20" i="18" l="1"/>
  <c r="AG20" i="18" s="1"/>
  <c r="AE20" i="18"/>
  <c r="AD20" i="18"/>
  <c r="AC20" i="18"/>
  <c r="AG18" i="18"/>
  <c r="AF18" i="18"/>
  <c r="AE18" i="18"/>
  <c r="AD18" i="18"/>
  <c r="AC18" i="18"/>
  <c r="AF34" i="18"/>
  <c r="AC28" i="18"/>
  <c r="AD34" i="18"/>
  <c r="AE34" i="18"/>
  <c r="AC36" i="18"/>
  <c r="AE30" i="18"/>
  <c r="AF30" i="18"/>
  <c r="AD30" i="18"/>
  <c r="AC30" i="18"/>
  <c r="AF26" i="18"/>
  <c r="AD28" i="18"/>
  <c r="AG30" i="18"/>
  <c r="AF28" i="18"/>
  <c r="AE26" i="18"/>
  <c r="AG28" i="18"/>
  <c r="AD26" i="18"/>
  <c r="AG36" i="18"/>
  <c r="AG26" i="18"/>
  <c r="AC34" i="18"/>
  <c r="AC26" i="18"/>
  <c r="AE36" i="18"/>
  <c r="AG34" i="18"/>
  <c r="AF36" i="18"/>
  <c r="AD36" i="18"/>
  <c r="AE28" i="18"/>
  <c r="CK68" i="9" l="1"/>
  <c r="BT53" i="9"/>
  <c r="CB21" i="1"/>
  <c r="CC21" i="1"/>
  <c r="CE21" i="1"/>
  <c r="CD21" i="1"/>
  <c r="BT50" i="9" l="1"/>
  <c r="BU53" i="9"/>
  <c r="BU51" i="9" s="1"/>
  <c r="BU50" i="9" s="1"/>
  <c r="CF8" i="2"/>
  <c r="DB15" i="1"/>
  <c r="BS98" i="1"/>
  <c r="BR98" i="1"/>
  <c r="BS32" i="1" l="1"/>
  <c r="BS11" i="1" l="1"/>
  <c r="BS8" i="1"/>
  <c r="BS63" i="1"/>
  <c r="BS64" i="1" s="1"/>
  <c r="BS10" i="3" l="1"/>
  <c r="BS34" i="2"/>
  <c r="BS100" i="1" s="1"/>
  <c r="BV39" i="2"/>
  <c r="CA39" i="2" s="1"/>
  <c r="CF39" i="2" s="1"/>
  <c r="CK39" i="2" s="1"/>
  <c r="CP39" i="2" s="1"/>
  <c r="CQ39" i="2" s="1"/>
  <c r="CR39" i="2" s="1"/>
  <c r="CS39" i="2" s="1"/>
  <c r="CT39" i="2" s="1"/>
  <c r="CU39" i="2" s="1"/>
  <c r="BS20" i="1"/>
  <c r="BS33" i="1"/>
  <c r="BS29" i="1"/>
  <c r="BS35" i="1"/>
  <c r="CK8" i="2" l="1"/>
  <c r="BS37" i="1"/>
  <c r="BS89" i="9"/>
  <c r="BX90" i="9" s="1"/>
  <c r="BS23" i="1"/>
  <c r="J111" i="21" s="1"/>
  <c r="J112" i="21" s="1"/>
  <c r="BS101" i="1"/>
  <c r="DB9" i="1"/>
  <c r="CA98" i="9"/>
  <c r="BW97" i="9"/>
  <c r="BZ91" i="9"/>
  <c r="BY91" i="9"/>
  <c r="BX91" i="9"/>
  <c r="BW91" i="9"/>
  <c r="BZ90" i="9"/>
  <c r="BY90" i="9"/>
  <c r="BW90" i="9"/>
  <c r="CA89" i="9"/>
  <c r="CF90" i="9" s="1"/>
  <c r="BZ88" i="9"/>
  <c r="BY88" i="9"/>
  <c r="BX88" i="9"/>
  <c r="BW88" i="9"/>
  <c r="BZ87" i="9"/>
  <c r="BX87" i="9"/>
  <c r="BW87" i="9"/>
  <c r="CA82" i="9"/>
  <c r="CA77" i="9"/>
  <c r="CA75" i="9"/>
  <c r="BW70" i="9"/>
  <c r="BZ69" i="9"/>
  <c r="CE70" i="9" s="1"/>
  <c r="CD70" i="9"/>
  <c r="BX69" i="9"/>
  <c r="CC70" i="9" s="1"/>
  <c r="CA61" i="9"/>
  <c r="CA59" i="9"/>
  <c r="CA57" i="9"/>
  <c r="BZ55" i="9"/>
  <c r="BY55" i="9"/>
  <c r="BW55" i="9"/>
  <c r="CE54" i="9"/>
  <c r="CD54" i="9"/>
  <c r="CC54" i="9"/>
  <c r="CB54" i="9"/>
  <c r="BZ97" i="9"/>
  <c r="BY97" i="9"/>
  <c r="BX97" i="9"/>
  <c r="CA31" i="9"/>
  <c r="BZ25" i="9"/>
  <c r="CE26" i="9" s="1"/>
  <c r="BY25" i="9"/>
  <c r="CD26" i="9" s="1"/>
  <c r="BX25" i="9"/>
  <c r="BW25" i="9"/>
  <c r="CA17" i="9"/>
  <c r="BY10" i="9"/>
  <c r="BX10" i="9"/>
  <c r="BW10" i="9"/>
  <c r="BZ6" i="9"/>
  <c r="BY6" i="9"/>
  <c r="BX6" i="9"/>
  <c r="BW6" i="9"/>
  <c r="CA5" i="9"/>
  <c r="CF6" i="9" s="1"/>
  <c r="B2" i="12"/>
  <c r="CC26" i="9" l="1"/>
  <c r="BX22" i="9"/>
  <c r="BS45" i="1"/>
  <c r="CB26" i="9"/>
  <c r="CF87" i="9"/>
  <c r="CA69" i="9"/>
  <c r="CF70" i="9" s="1"/>
  <c r="CA53" i="9"/>
  <c r="CF54" i="9" s="1"/>
  <c r="CD12" i="1"/>
  <c r="CA55" i="9"/>
  <c r="CF56" i="9" s="1"/>
  <c r="CE12" i="1"/>
  <c r="CA51" i="9"/>
  <c r="CA97" i="9"/>
  <c r="CA25" i="9"/>
  <c r="CF26" i="9" s="1"/>
  <c r="CA33" i="9"/>
  <c r="BY54" i="9"/>
  <c r="CB12" i="1"/>
  <c r="CF58" i="9" l="1"/>
  <c r="CF52" i="9"/>
  <c r="BZ64" i="9"/>
  <c r="BY64" i="9"/>
  <c r="CC12" i="1"/>
  <c r="BX64" i="9"/>
  <c r="CA50" i="9"/>
  <c r="CF63" i="9" s="1"/>
  <c r="CP21" i="3" l="1"/>
  <c r="CA33" i="3"/>
  <c r="BR22" i="3"/>
  <c r="B2" i="3"/>
  <c r="BW52" i="3"/>
  <c r="BW54" i="3" s="1"/>
  <c r="BW38" i="3"/>
  <c r="CA53" i="3"/>
  <c r="BZ52" i="3"/>
  <c r="BZ54" i="3" s="1"/>
  <c r="BY52" i="3"/>
  <c r="BY54" i="3" s="1"/>
  <c r="BX52" i="3"/>
  <c r="BX54" i="3" s="1"/>
  <c r="CA51" i="3"/>
  <c r="CA49" i="3"/>
  <c r="CA48" i="3"/>
  <c r="CA47" i="3"/>
  <c r="BZ38" i="3"/>
  <c r="BY38" i="3"/>
  <c r="BX38" i="3"/>
  <c r="CA37" i="3"/>
  <c r="CA36" i="3"/>
  <c r="CA35" i="3"/>
  <c r="CA34" i="3"/>
  <c r="CA32" i="3"/>
  <c r="CA31" i="3"/>
  <c r="CA30" i="3"/>
  <c r="CA15" i="3"/>
  <c r="CA14" i="3"/>
  <c r="CA13" i="3"/>
  <c r="CA11" i="3"/>
  <c r="BY10" i="3"/>
  <c r="BY9" i="3" s="1"/>
  <c r="BY62" i="3" s="1"/>
  <c r="BX10" i="3"/>
  <c r="BX9" i="3" s="1"/>
  <c r="BX62" i="3" s="1"/>
  <c r="B2" i="2"/>
  <c r="CA28" i="2"/>
  <c r="BW64" i="1"/>
  <c r="BW12" i="1"/>
  <c r="BW153" i="1"/>
  <c r="BW148" i="1"/>
  <c r="CA137" i="1"/>
  <c r="BZ137" i="1"/>
  <c r="BY137" i="1"/>
  <c r="BX137" i="1"/>
  <c r="BW137" i="1"/>
  <c r="CA70" i="1"/>
  <c r="CA69" i="1"/>
  <c r="BZ64" i="1"/>
  <c r="BX64" i="1"/>
  <c r="CA63" i="1"/>
  <c r="CA62" i="1"/>
  <c r="CA60" i="1"/>
  <c r="CA59" i="1"/>
  <c r="CA58" i="1"/>
  <c r="CA50" i="1"/>
  <c r="CA30" i="1"/>
  <c r="BS22" i="3" l="1"/>
  <c r="BV22" i="3" s="1"/>
  <c r="CP8" i="2"/>
  <c r="CQ8" i="2" s="1"/>
  <c r="CA64" i="1"/>
  <c r="CA71" i="1"/>
  <c r="CA10" i="3"/>
  <c r="BX13" i="1"/>
  <c r="BW18" i="1"/>
  <c r="CA20" i="1"/>
  <c r="BY22" i="1"/>
  <c r="BZ13" i="1"/>
  <c r="BX19" i="1"/>
  <c r="CA12" i="3"/>
  <c r="CA38" i="3"/>
  <c r="CA52" i="3"/>
  <c r="CA54" i="3" s="1"/>
  <c r="BW21" i="1"/>
  <c r="CA11" i="1"/>
  <c r="BY13" i="1"/>
  <c r="BZ22" i="1"/>
  <c r="BY19" i="1"/>
  <c r="BZ19" i="1"/>
  <c r="BX22" i="1"/>
  <c r="BF153" i="1"/>
  <c r="BK153" i="1"/>
  <c r="BK148" i="1"/>
  <c r="BP153" i="1"/>
  <c r="BO148" i="1"/>
  <c r="BR148" i="1"/>
  <c r="BP148" i="1"/>
  <c r="BN148" i="1"/>
  <c r="BM148" i="1"/>
  <c r="BJ148" i="1"/>
  <c r="BI148" i="1"/>
  <c r="BH148" i="1"/>
  <c r="BC153" i="1"/>
  <c r="BD153" i="1"/>
  <c r="BE153" i="1"/>
  <c r="BH153" i="1"/>
  <c r="BI153" i="1"/>
  <c r="BJ153" i="1"/>
  <c r="BM153" i="1"/>
  <c r="BN153" i="1"/>
  <c r="BO153" i="1"/>
  <c r="BR153" i="1"/>
  <c r="CR8" i="2" l="1"/>
  <c r="CQ21" i="3"/>
  <c r="BI154" i="1"/>
  <c r="BI155" i="1" s="1"/>
  <c r="BH154" i="1"/>
  <c r="BH155" i="1" s="1"/>
  <c r="BJ154" i="1"/>
  <c r="BJ155" i="1" s="1"/>
  <c r="BN154" i="1"/>
  <c r="BM154" i="1"/>
  <c r="BM155" i="1" s="1"/>
  <c r="CA36" i="1"/>
  <c r="CA37" i="1" s="1"/>
  <c r="CF21" i="1"/>
  <c r="E13" i="24" s="1"/>
  <c r="CF12" i="1"/>
  <c r="E9" i="24" s="1"/>
  <c r="BK154" i="1"/>
  <c r="BR154" i="1"/>
  <c r="BR155" i="1" s="1"/>
  <c r="BW154" i="1"/>
  <c r="BO154" i="1"/>
  <c r="BO155" i="1" s="1"/>
  <c r="CA34" i="1"/>
  <c r="CA35" i="1" s="1"/>
  <c r="BP154" i="1"/>
  <c r="BP155" i="1" s="1"/>
  <c r="CN60" i="9"/>
  <c r="CJ64" i="9"/>
  <c r="CL63" i="9"/>
  <c r="CL64" i="9" s="1"/>
  <c r="CO56" i="9"/>
  <c r="CM57" i="9"/>
  <c r="CM63" i="9" s="1"/>
  <c r="CM64" i="9" s="1"/>
  <c r="CL57" i="9"/>
  <c r="CJ57" i="9"/>
  <c r="CN62" i="9"/>
  <c r="CN61" i="9"/>
  <c r="CN54" i="9"/>
  <c r="CK55" i="9"/>
  <c r="CK56" i="9"/>
  <c r="CK57" i="9" s="1"/>
  <c r="CK63" i="9" s="1"/>
  <c r="CK64" i="9" s="1"/>
  <c r="CW32" i="1"/>
  <c r="CW34" i="1"/>
  <c r="CW33" i="1"/>
  <c r="CW29" i="1"/>
  <c r="BM156" i="1" l="1"/>
  <c r="CS8" i="2"/>
  <c r="CR21" i="3"/>
  <c r="BI157" i="1"/>
  <c r="BJ157" i="1"/>
  <c r="BO156" i="1"/>
  <c r="BR156" i="1"/>
  <c r="CP57" i="9"/>
  <c r="BP157" i="1"/>
  <c r="BR157" i="1"/>
  <c r="CN57" i="9"/>
  <c r="CO60" i="9" s="1"/>
  <c r="CJ63" i="9"/>
  <c r="CN63" i="9" s="1"/>
  <c r="CN64" i="9"/>
  <c r="BR33" i="3"/>
  <c r="BR10" i="3"/>
  <c r="BT18" i="2"/>
  <c r="BU18" i="2" s="1"/>
  <c r="BR18" i="2"/>
  <c r="BR63" i="1"/>
  <c r="BR64" i="1" s="1"/>
  <c r="BR79" i="1"/>
  <c r="BR32" i="1"/>
  <c r="BR33" i="1" s="1"/>
  <c r="BR48" i="1"/>
  <c r="BR52" i="1" s="1"/>
  <c r="BR36" i="1"/>
  <c r="BR37" i="1" s="1"/>
  <c r="BR34" i="1"/>
  <c r="BR35" i="1" s="1"/>
  <c r="BR28" i="1"/>
  <c r="BR29" i="1" s="1"/>
  <c r="BR9" i="3" l="1"/>
  <c r="CT8" i="2"/>
  <c r="CS21" i="3"/>
  <c r="BS33" i="3"/>
  <c r="BV33" i="3" s="1"/>
  <c r="CP61" i="9"/>
  <c r="CU8" i="2" l="1"/>
  <c r="CT21" i="3"/>
  <c r="CU21" i="3" s="1"/>
  <c r="L83" i="20"/>
  <c r="L84" i="20" s="1"/>
  <c r="BP14" i="3" l="1"/>
  <c r="BN24" i="3"/>
  <c r="BO24" i="3" s="1"/>
  <c r="BP24" i="3" s="1"/>
  <c r="BN23" i="3"/>
  <c r="BN21" i="3"/>
  <c r="BO21" i="3" s="1"/>
  <c r="BP21" i="3" s="1"/>
  <c r="BN20" i="3"/>
  <c r="BO20" i="3" s="1"/>
  <c r="BP20" i="3" s="1"/>
  <c r="BN18" i="3"/>
  <c r="BO18" i="3" s="1"/>
  <c r="BP18" i="3" s="1"/>
  <c r="BI24" i="3"/>
  <c r="BJ24" i="3" s="1"/>
  <c r="BK24" i="3" s="1"/>
  <c r="BI23" i="3"/>
  <c r="BJ23" i="3" s="1"/>
  <c r="BK23" i="3" s="1"/>
  <c r="BI21" i="3"/>
  <c r="BJ21" i="3" s="1"/>
  <c r="BK21" i="3" s="1"/>
  <c r="BI20" i="3"/>
  <c r="BJ20" i="3" s="1"/>
  <c r="BK20" i="3" s="1"/>
  <c r="BI14" i="3"/>
  <c r="BJ14" i="3" s="1"/>
  <c r="BK14" i="3" s="1"/>
  <c r="BI18" i="3"/>
  <c r="BJ18" i="3" s="1"/>
  <c r="BK18" i="3" s="1"/>
  <c r="BI19" i="3"/>
  <c r="BJ19" i="3" s="1"/>
  <c r="BM22" i="3"/>
  <c r="BN22" i="3" s="1"/>
  <c r="BO22" i="3" s="1"/>
  <c r="BP22" i="3" s="1"/>
  <c r="BH22" i="3"/>
  <c r="BI22" i="3" s="1"/>
  <c r="BJ22" i="3" s="1"/>
  <c r="BK22" i="3" s="1"/>
  <c r="D41" i="20"/>
  <c r="M56" i="20"/>
  <c r="S16" i="20"/>
  <c r="G16" i="20"/>
  <c r="K16" i="20"/>
  <c r="N50" i="20"/>
  <c r="N46" i="20"/>
  <c r="N52" i="20" s="1"/>
  <c r="M53" i="20"/>
  <c r="M50" i="20"/>
  <c r="H89" i="20"/>
  <c r="H88" i="20"/>
  <c r="BL18" i="3" l="1"/>
  <c r="BL23" i="3"/>
  <c r="BL14" i="3"/>
  <c r="BO23" i="3"/>
  <c r="BP23" i="3" s="1"/>
  <c r="N55" i="20"/>
  <c r="H90" i="20"/>
  <c r="N49" i="20"/>
  <c r="BQ23" i="3" l="1"/>
  <c r="V7" i="20"/>
  <c r="G46" i="20" s="1"/>
  <c r="D38" i="20"/>
  <c r="D39" i="20" s="1"/>
  <c r="F29" i="20"/>
  <c r="G29" i="20"/>
  <c r="H29" i="20"/>
  <c r="I29" i="20"/>
  <c r="J29" i="20"/>
  <c r="K29" i="20"/>
  <c r="L29" i="20"/>
  <c r="M29" i="20"/>
  <c r="S10" i="20"/>
  <c r="S11" i="20" s="1"/>
  <c r="K11" i="20"/>
  <c r="G11" i="20"/>
  <c r="V13" i="20"/>
  <c r="G14" i="20"/>
  <c r="G52" i="20" l="1"/>
  <c r="G55" i="20"/>
  <c r="K14" i="20"/>
  <c r="K18" i="20"/>
  <c r="K19" i="20" s="1"/>
  <c r="S14" i="20"/>
  <c r="G18" i="20"/>
  <c r="G19" i="20" s="1"/>
  <c r="V14" i="20"/>
  <c r="G49" i="20"/>
  <c r="DC23" i="1"/>
  <c r="S18" i="20" l="1"/>
  <c r="S19" i="20" s="1"/>
  <c r="BP98" i="1"/>
  <c r="BX54" i="9"/>
  <c r="BW54" i="9"/>
  <c r="BQ19" i="3"/>
  <c r="BO14" i="9"/>
  <c r="BN14" i="9"/>
  <c r="BP89" i="9"/>
  <c r="BO89" i="9"/>
  <c r="BP82" i="9"/>
  <c r="BO82" i="9"/>
  <c r="BZ54" i="9" l="1"/>
  <c r="BR13" i="9"/>
  <c r="BZ58" i="9" l="1"/>
  <c r="BZ52" i="9"/>
  <c r="BQ17" i="3"/>
  <c r="BP63" i="1"/>
  <c r="BP79" i="1"/>
  <c r="BP14" i="1"/>
  <c r="BP32" i="1"/>
  <c r="BP48" i="1" l="1"/>
  <c r="BP52" i="1" s="1"/>
  <c r="BP33" i="1"/>
  <c r="BP36" i="1"/>
  <c r="BP37" i="1" s="1"/>
  <c r="BP34" i="1"/>
  <c r="BP35" i="1" s="1"/>
  <c r="BP28" i="1"/>
  <c r="BP29" i="1" s="1"/>
  <c r="AA20" i="18" l="1"/>
  <c r="AB20" i="18" s="1"/>
  <c r="Z20" i="18"/>
  <c r="Y20" i="18"/>
  <c r="X20" i="18"/>
  <c r="AB18" i="18"/>
  <c r="AA18" i="18"/>
  <c r="Z18" i="18"/>
  <c r="Y18" i="18"/>
  <c r="X18" i="18"/>
  <c r="AB36" i="18"/>
  <c r="Y30" i="18"/>
  <c r="Y26" i="18"/>
  <c r="AB30" i="18"/>
  <c r="X34" i="18"/>
  <c r="AA36" i="18"/>
  <c r="X36" i="18"/>
  <c r="Z34" i="18"/>
  <c r="Y36" i="18"/>
  <c r="AA30" i="18"/>
  <c r="AA26" i="18"/>
  <c r="AA28" i="18"/>
  <c r="X28" i="18"/>
  <c r="Z28" i="18"/>
  <c r="AB34" i="18"/>
  <c r="Y28" i="18"/>
  <c r="AA34" i="18"/>
  <c r="X30" i="18"/>
  <c r="AB28" i="18"/>
  <c r="AB26" i="18"/>
  <c r="Z30" i="18"/>
  <c r="Y34" i="18"/>
  <c r="Z26" i="18"/>
  <c r="Z36" i="18"/>
  <c r="X26" i="18"/>
  <c r="BN161" i="1" l="1"/>
  <c r="BO162" i="1"/>
  <c r="BO11" i="9"/>
  <c r="BO4" i="9"/>
  <c r="BO50" i="9"/>
  <c r="BP50" i="9"/>
  <c r="BO10" i="3"/>
  <c r="BO9" i="3" s="1"/>
  <c r="BO62" i="3" s="1"/>
  <c r="BO18" i="2"/>
  <c r="BO98" i="1"/>
  <c r="BO79" i="1"/>
  <c r="BO63" i="1"/>
  <c r="BO64" i="1" s="1"/>
  <c r="BO48" i="1"/>
  <c r="BO52" i="1" s="1"/>
  <c r="BO32" i="1"/>
  <c r="BO14" i="1"/>
  <c r="BO36" i="1"/>
  <c r="BO37" i="1" s="1"/>
  <c r="BO34" i="1"/>
  <c r="BO35" i="1" s="1"/>
  <c r="BO28" i="1"/>
  <c r="BO29" i="1" s="1"/>
  <c r="BO33" i="1" l="1"/>
  <c r="BN10" i="3" l="1"/>
  <c r="BN9" i="3" s="1"/>
  <c r="BN62" i="3" s="1"/>
  <c r="BN98" i="1"/>
  <c r="BN79" i="1"/>
  <c r="BN60" i="1"/>
  <c r="BN32" i="1"/>
  <c r="BN14" i="1"/>
  <c r="BN85" i="1"/>
  <c r="BN48" i="1"/>
  <c r="BN52" i="1" s="1"/>
  <c r="BM37" i="1"/>
  <c r="BN36" i="1"/>
  <c r="BN34" i="1"/>
  <c r="BN28" i="1"/>
  <c r="BN20" i="1"/>
  <c r="BN17" i="1"/>
  <c r="BN11" i="1"/>
  <c r="BN8" i="1"/>
  <c r="BN5" i="1"/>
  <c r="BN38" i="1" l="1"/>
  <c r="BN37" i="1"/>
  <c r="BN89" i="9"/>
  <c r="BS90" i="9" s="1"/>
  <c r="BN155" i="1"/>
  <c r="BN33" i="1"/>
  <c r="BN35" i="1"/>
  <c r="BN82" i="9"/>
  <c r="BS87" i="9" s="1"/>
  <c r="BN29" i="1"/>
  <c r="BW26" i="9"/>
  <c r="BR11" i="9"/>
  <c r="BS54" i="3"/>
  <c r="BR54" i="3"/>
  <c r="BV53" i="3"/>
  <c r="BU52" i="3"/>
  <c r="BU54" i="3" s="1"/>
  <c r="BT52" i="3"/>
  <c r="BT54" i="3" s="1"/>
  <c r="BV51" i="3"/>
  <c r="BV49" i="3"/>
  <c r="BV48" i="3"/>
  <c r="BV47" i="3"/>
  <c r="BV45" i="3"/>
  <c r="BT38" i="3"/>
  <c r="BS38" i="3"/>
  <c r="BV37" i="3"/>
  <c r="BV36" i="3"/>
  <c r="BV35" i="3"/>
  <c r="BV34" i="3"/>
  <c r="BV32" i="3"/>
  <c r="BV31" i="3"/>
  <c r="BR38" i="3"/>
  <c r="BT10" i="3"/>
  <c r="BV37" i="2"/>
  <c r="CA37" i="2" s="1"/>
  <c r="CF37" i="2" s="1"/>
  <c r="CK37" i="2" s="1"/>
  <c r="CP37" i="2" s="1"/>
  <c r="CQ37" i="2" s="1"/>
  <c r="CR37" i="2" s="1"/>
  <c r="CS37" i="2" s="1"/>
  <c r="CT37" i="2" s="1"/>
  <c r="CU37" i="2" s="1"/>
  <c r="BV28" i="2"/>
  <c r="BV18" i="2"/>
  <c r="BW18" i="2" s="1"/>
  <c r="BX18" i="2" s="1"/>
  <c r="BY18" i="2" s="1"/>
  <c r="BZ18" i="2" s="1"/>
  <c r="CA18" i="2" s="1"/>
  <c r="CB18" i="2" s="1"/>
  <c r="CC18" i="2" s="1"/>
  <c r="CD18" i="2" s="1"/>
  <c r="CE18" i="2" s="1"/>
  <c r="CF18" i="2" s="1"/>
  <c r="CG18" i="2" s="1"/>
  <c r="CK18" i="2" s="1"/>
  <c r="CM18" i="2" s="1"/>
  <c r="CN18" i="2" s="1"/>
  <c r="CO18" i="2" s="1"/>
  <c r="CP18" i="2" s="1"/>
  <c r="CQ18" i="2" s="1"/>
  <c r="CR18" i="2" s="1"/>
  <c r="CS18" i="2" s="1"/>
  <c r="CT18" i="2" s="1"/>
  <c r="CU18" i="2" s="1"/>
  <c r="BV9" i="2"/>
  <c r="BV137" i="1"/>
  <c r="BU137" i="1"/>
  <c r="BT137" i="1"/>
  <c r="BS137" i="1"/>
  <c r="BR137" i="1"/>
  <c r="BT71" i="1"/>
  <c r="BS71" i="1"/>
  <c r="BR71" i="1"/>
  <c r="BV70" i="1"/>
  <c r="BV69" i="1"/>
  <c r="BU64" i="1"/>
  <c r="BT64" i="1"/>
  <c r="BV63" i="1"/>
  <c r="BV62" i="1"/>
  <c r="BV59" i="1"/>
  <c r="BV58" i="1"/>
  <c r="BV50" i="1"/>
  <c r="BV30" i="1"/>
  <c r="BV98" i="9"/>
  <c r="BS97" i="9"/>
  <c r="BR97" i="9"/>
  <c r="BU91" i="9"/>
  <c r="BT91" i="9"/>
  <c r="BU90" i="9"/>
  <c r="BT90" i="9"/>
  <c r="BU88" i="9"/>
  <c r="BT88" i="9"/>
  <c r="BU87" i="9"/>
  <c r="BR70" i="9"/>
  <c r="BX70" i="9"/>
  <c r="BV59" i="9"/>
  <c r="BU58" i="9"/>
  <c r="BT58" i="9"/>
  <c r="BR58" i="9"/>
  <c r="BT55" i="9"/>
  <c r="BR55" i="9"/>
  <c r="BR54" i="9"/>
  <c r="BT54" i="9"/>
  <c r="BU52" i="9"/>
  <c r="BV33" i="9"/>
  <c r="BV31" i="9"/>
  <c r="BX26" i="9"/>
  <c r="BV17" i="9"/>
  <c r="BU16" i="9"/>
  <c r="BT16" i="9"/>
  <c r="BS16" i="9"/>
  <c r="BR16" i="9"/>
  <c r="BV15" i="9"/>
  <c r="BU10" i="9"/>
  <c r="BT10" i="9"/>
  <c r="BS10" i="9"/>
  <c r="BR10" i="9"/>
  <c r="BU6" i="9"/>
  <c r="BT6" i="9"/>
  <c r="BS6" i="9"/>
  <c r="BR6" i="9"/>
  <c r="BV5" i="9"/>
  <c r="CA6" i="9" s="1"/>
  <c r="BT9" i="3" l="1"/>
  <c r="BT62" i="3" s="1"/>
  <c r="BV10" i="3"/>
  <c r="BV55" i="9"/>
  <c r="BS73" i="1"/>
  <c r="BU35" i="9"/>
  <c r="BU36" i="9" s="1"/>
  <c r="BV22" i="9"/>
  <c r="BZ70" i="9"/>
  <c r="BY70" i="9"/>
  <c r="BT94" i="9"/>
  <c r="BU73" i="1"/>
  <c r="BZ26" i="9"/>
  <c r="BR4" i="9"/>
  <c r="BX63" i="9"/>
  <c r="BX52" i="9"/>
  <c r="BX58" i="9"/>
  <c r="BY26" i="9"/>
  <c r="BW73" i="9"/>
  <c r="BT52" i="9"/>
  <c r="BY52" i="9"/>
  <c r="BY58" i="9"/>
  <c r="BR50" i="9"/>
  <c r="BW58" i="9"/>
  <c r="BW52" i="9"/>
  <c r="BZ21" i="1"/>
  <c r="BT73" i="1"/>
  <c r="BV71" i="1"/>
  <c r="BV73" i="1" s="1"/>
  <c r="BO157" i="1"/>
  <c r="BN156" i="1"/>
  <c r="BN157" i="1"/>
  <c r="BS21" i="1"/>
  <c r="BX21" i="1"/>
  <c r="BT21" i="1"/>
  <c r="BY21" i="1"/>
  <c r="BX18" i="1"/>
  <c r="BY18" i="1"/>
  <c r="BZ18" i="1"/>
  <c r="BT18" i="1"/>
  <c r="BR27" i="9"/>
  <c r="CA70" i="9"/>
  <c r="BR52" i="9"/>
  <c r="BU22" i="1"/>
  <c r="BT22" i="1"/>
  <c r="BT19" i="1"/>
  <c r="BR68" i="9"/>
  <c r="CA54" i="9"/>
  <c r="BV51" i="9"/>
  <c r="CA56" i="9"/>
  <c r="BR12" i="1"/>
  <c r="BR26" i="9"/>
  <c r="CA26" i="9"/>
  <c r="BR8" i="9"/>
  <c r="BV30" i="3"/>
  <c r="BV38" i="3" s="1"/>
  <c r="BV52" i="3"/>
  <c r="BV54" i="3" s="1"/>
  <c r="BU19" i="1"/>
  <c r="BV60" i="1"/>
  <c r="BV64" i="1" s="1"/>
  <c r="BS18" i="1"/>
  <c r="BU54" i="9"/>
  <c r="BW63" i="9" l="1"/>
  <c r="BV50" i="9"/>
  <c r="CA63" i="9" s="1"/>
  <c r="BZ35" i="9"/>
  <c r="CE35" i="9" s="1"/>
  <c r="BW67" i="9"/>
  <c r="CB73" i="9" s="1"/>
  <c r="BW7" i="9"/>
  <c r="BW8" i="9" s="1"/>
  <c r="BZ56" i="9"/>
  <c r="BW64" i="9"/>
  <c r="BZ63" i="9"/>
  <c r="CA58" i="9"/>
  <c r="CA52" i="9"/>
  <c r="BY12" i="1"/>
  <c r="BY56" i="9"/>
  <c r="BY63" i="9"/>
  <c r="BU64" i="9"/>
  <c r="BR24" i="9"/>
  <c r="BR6" i="1"/>
  <c r="BV96" i="1"/>
  <c r="BR9" i="1"/>
  <c r="BT64" i="9"/>
  <c r="BS64" i="9"/>
  <c r="BV95" i="1"/>
  <c r="BZ29" i="9" l="1"/>
  <c r="CE29" i="9"/>
  <c r="CB13" i="9"/>
  <c r="CB7" i="9" s="1"/>
  <c r="CB4" i="9" s="1"/>
  <c r="BW4" i="9"/>
  <c r="CB67" i="9"/>
  <c r="BZ12" i="1"/>
  <c r="BW66" i="9"/>
  <c r="BW68" i="9"/>
  <c r="BU13" i="1"/>
  <c r="BV11" i="1"/>
  <c r="BX12" i="1"/>
  <c r="BS12" i="1"/>
  <c r="BT13" i="1"/>
  <c r="BS13" i="1"/>
  <c r="CB68" i="9" l="1"/>
  <c r="CB66" i="9"/>
  <c r="CB8" i="9"/>
  <c r="BW19" i="9"/>
  <c r="BW79" i="9"/>
  <c r="BW71" i="9"/>
  <c r="BW13" i="1"/>
  <c r="CA12" i="1"/>
  <c r="BJ74" i="9"/>
  <c r="BI74" i="9"/>
  <c r="BH74" i="9"/>
  <c r="BJ14" i="9"/>
  <c r="BI14" i="9"/>
  <c r="BJ30" i="9"/>
  <c r="BI30" i="9"/>
  <c r="BK75" i="9"/>
  <c r="BK73" i="9"/>
  <c r="BK59" i="9"/>
  <c r="BK57" i="9"/>
  <c r="BK31" i="9"/>
  <c r="BK29" i="9"/>
  <c r="BP30" i="9" s="1"/>
  <c r="BK15" i="9"/>
  <c r="BK13" i="9"/>
  <c r="BP25" i="8"/>
  <c r="BP19" i="8"/>
  <c r="BP18" i="8"/>
  <c r="BM89" i="9"/>
  <c r="BM82" i="9"/>
  <c r="BI82" i="9"/>
  <c r="BM30" i="9"/>
  <c r="BH30" i="9"/>
  <c r="BM4" i="9"/>
  <c r="BM14" i="9"/>
  <c r="BH14" i="9"/>
  <c r="BM22" i="9"/>
  <c r="BR38" i="9" s="1"/>
  <c r="BM35" i="1"/>
  <c r="BM29" i="1"/>
  <c r="BM31" i="3"/>
  <c r="BM30" i="3"/>
  <c r="BQ37" i="2"/>
  <c r="BL37" i="2"/>
  <c r="BQ31" i="2"/>
  <c r="BV31" i="2" s="1"/>
  <c r="BL31" i="2"/>
  <c r="BM79" i="1"/>
  <c r="BP131" i="1"/>
  <c r="BM63" i="1"/>
  <c r="BM60" i="1"/>
  <c r="BM32" i="1"/>
  <c r="BM14" i="1"/>
  <c r="BR15" i="1" s="1"/>
  <c r="BK14" i="1"/>
  <c r="CB71" i="9" l="1"/>
  <c r="CB79" i="9"/>
  <c r="BW15" i="1"/>
  <c r="CB15" i="1"/>
  <c r="BW38" i="9"/>
  <c r="BW94" i="9"/>
  <c r="BW72" i="9"/>
  <c r="BW6" i="1"/>
  <c r="BM33" i="1"/>
  <c r="BR12" i="9"/>
  <c r="BR19" i="9"/>
  <c r="BI89" i="9"/>
  <c r="CA96" i="1" l="1"/>
  <c r="CB72" i="9"/>
  <c r="BW23" i="1"/>
  <c r="BW9" i="1"/>
  <c r="BW122" i="1"/>
  <c r="BW155" i="1"/>
  <c r="CA95" i="1"/>
  <c r="F47" i="8"/>
  <c r="E47" i="8"/>
  <c r="D47" i="8"/>
  <c r="C47" i="8"/>
  <c r="BC32" i="1"/>
  <c r="BW45" i="1" l="1"/>
  <c r="N111" i="21"/>
  <c r="BW59" i="2"/>
  <c r="BW62" i="2"/>
  <c r="BW56" i="2"/>
  <c r="BW55" i="2"/>
  <c r="BW60" i="2"/>
  <c r="BW63" i="2"/>
  <c r="BW49" i="1"/>
  <c r="BW47" i="1"/>
  <c r="BW38" i="1"/>
  <c r="BW40" i="1" s="1"/>
  <c r="BW41" i="1" s="1"/>
  <c r="BW138" i="1"/>
  <c r="AC21" i="18"/>
  <c r="BW149" i="1"/>
  <c r="BW151" i="1" s="1"/>
  <c r="CE95" i="1"/>
  <c r="BW157" i="1"/>
  <c r="BW156" i="1"/>
  <c r="BL19" i="3"/>
  <c r="BL17" i="3"/>
  <c r="N112" i="21" l="1"/>
  <c r="CF95" i="1"/>
  <c r="BW54" i="1"/>
  <c r="BW55" i="1" s="1"/>
  <c r="AC31" i="18" s="1"/>
  <c r="CE96" i="1"/>
  <c r="CA31" i="2"/>
  <c r="CF31" i="2" s="1"/>
  <c r="BP96" i="1"/>
  <c r="BJ80" i="8"/>
  <c r="BN22" i="8"/>
  <c r="BG21" i="8"/>
  <c r="BN38" i="8"/>
  <c r="BN37" i="8"/>
  <c r="BN31" i="8"/>
  <c r="BN30" i="8"/>
  <c r="BN27" i="8"/>
  <c r="BN26" i="8"/>
  <c r="BN19" i="8"/>
  <c r="BN18" i="8"/>
  <c r="BK79" i="1"/>
  <c r="BK63" i="1"/>
  <c r="BK46" i="1"/>
  <c r="BK32" i="1"/>
  <c r="BK48" i="1"/>
  <c r="BK36" i="1"/>
  <c r="BK34" i="1"/>
  <c r="BK28" i="1"/>
  <c r="BK20" i="1"/>
  <c r="BK89" i="9" s="1"/>
  <c r="BK17" i="1"/>
  <c r="BK82" i="9" s="1"/>
  <c r="BK11" i="1"/>
  <c r="BK8" i="1"/>
  <c r="BK155" i="1" s="1"/>
  <c r="BK5" i="1"/>
  <c r="BH78" i="3"/>
  <c r="BK35" i="1" l="1"/>
  <c r="BK29" i="1"/>
  <c r="CF96" i="1"/>
  <c r="CG90" i="1"/>
  <c r="CL91" i="1" s="1"/>
  <c r="CG92" i="1"/>
  <c r="CL93" i="1" s="1"/>
  <c r="BW66" i="1"/>
  <c r="BW84" i="1" s="1"/>
  <c r="BW78" i="1"/>
  <c r="BW80" i="1" s="1"/>
  <c r="BM157" i="1"/>
  <c r="BK157" i="1"/>
  <c r="BP156" i="1"/>
  <c r="BK33" i="1"/>
  <c r="BK37" i="1"/>
  <c r="AH137" i="1"/>
  <c r="AG137" i="1"/>
  <c r="AF137" i="1"/>
  <c r="AE137" i="1"/>
  <c r="AD137" i="1"/>
  <c r="AM137" i="1"/>
  <c r="AL137" i="1"/>
  <c r="AK137" i="1"/>
  <c r="AJ137" i="1"/>
  <c r="AI137" i="1"/>
  <c r="AR137" i="1"/>
  <c r="AQ137" i="1"/>
  <c r="AP137" i="1"/>
  <c r="AO137" i="1"/>
  <c r="AN137" i="1"/>
  <c r="AM23" i="18" l="1"/>
  <c r="CK95" i="1"/>
  <c r="BW86" i="1"/>
  <c r="BW75" i="1"/>
  <c r="BW87" i="1"/>
  <c r="BW92" i="1" s="1"/>
  <c r="BW81" i="1"/>
  <c r="BW82" i="1" s="1"/>
  <c r="BW67" i="1"/>
  <c r="BL41" i="8"/>
  <c r="BM41" i="8"/>
  <c r="BL42" i="8"/>
  <c r="BM42" i="8"/>
  <c r="BL37" i="8"/>
  <c r="BM37" i="8"/>
  <c r="BL38" i="8"/>
  <c r="BM38" i="8"/>
  <c r="BL30" i="8"/>
  <c r="BM30" i="8"/>
  <c r="BL31" i="8"/>
  <c r="BM31" i="8"/>
  <c r="BL26" i="8"/>
  <c r="BM26" i="8"/>
  <c r="BL27" i="8"/>
  <c r="BM27" i="8"/>
  <c r="BL22" i="8"/>
  <c r="BM22" i="8"/>
  <c r="BL23" i="8"/>
  <c r="BL18" i="8"/>
  <c r="BM18" i="8"/>
  <c r="BL19" i="8"/>
  <c r="BM19" i="8"/>
  <c r="AN23" i="18" l="1"/>
  <c r="CK96" i="1"/>
  <c r="BW6" i="3"/>
  <c r="BW88" i="1"/>
  <c r="BW90" i="1"/>
  <c r="AC23" i="18" s="1"/>
  <c r="BJ98" i="1"/>
  <c r="BJ79" i="1"/>
  <c r="BJ63" i="1"/>
  <c r="BJ59" i="1"/>
  <c r="BJ46" i="1"/>
  <c r="BJ32" i="1"/>
  <c r="BJ14" i="1"/>
  <c r="BJ48" i="1"/>
  <c r="BJ36" i="1"/>
  <c r="BJ34" i="1"/>
  <c r="BJ28" i="1"/>
  <c r="BJ29" i="1" s="1"/>
  <c r="BJ20" i="1"/>
  <c r="BJ17" i="1"/>
  <c r="BJ11" i="1"/>
  <c r="K51" i="12" l="1"/>
  <c r="CP95" i="1"/>
  <c r="CQ95" i="1" s="1"/>
  <c r="BJ37" i="1"/>
  <c r="AO23" i="18"/>
  <c r="CK31" i="2"/>
  <c r="CP31" i="2" s="1"/>
  <c r="CQ31" i="2" s="1"/>
  <c r="CR31" i="2" s="1"/>
  <c r="CS31" i="2" s="1"/>
  <c r="CT31" i="2" s="1"/>
  <c r="CU31" i="2" s="1"/>
  <c r="BJ82" i="9"/>
  <c r="BJ89" i="9"/>
  <c r="BJ33" i="1"/>
  <c r="BJ35" i="1"/>
  <c r="BJ38" i="1"/>
  <c r="BK96" i="1"/>
  <c r="BK95" i="1"/>
  <c r="BI51" i="9"/>
  <c r="BI30" i="3"/>
  <c r="BI98" i="1"/>
  <c r="BI63" i="1"/>
  <c r="BI46" i="1"/>
  <c r="BI79" i="1"/>
  <c r="BI32" i="1"/>
  <c r="BI14" i="1"/>
  <c r="BI48" i="1"/>
  <c r="BI36" i="1"/>
  <c r="BI37" i="1" s="1"/>
  <c r="BI34" i="1"/>
  <c r="BI35" i="1" s="1"/>
  <c r="BI28" i="1"/>
  <c r="BI29" i="1" s="1"/>
  <c r="E51" i="12" l="1"/>
  <c r="H51" i="12"/>
  <c r="CR95" i="1"/>
  <c r="CS95" i="1" s="1"/>
  <c r="CT95" i="1" s="1"/>
  <c r="AR23" i="18"/>
  <c r="BI33" i="1"/>
  <c r="BH89" i="9"/>
  <c r="BH82" i="9"/>
  <c r="BU70" i="9"/>
  <c r="BT70" i="9"/>
  <c r="BS70" i="9"/>
  <c r="BK69" i="9"/>
  <c r="BJ69" i="9"/>
  <c r="BI69" i="9"/>
  <c r="BH69" i="9"/>
  <c r="BS54" i="9"/>
  <c r="BK53" i="9"/>
  <c r="BJ53" i="9"/>
  <c r="BI53" i="9"/>
  <c r="BH53" i="9"/>
  <c r="BM54" i="9" s="1"/>
  <c r="BK51" i="9"/>
  <c r="BJ51" i="9"/>
  <c r="BH51" i="9"/>
  <c r="BU26" i="9"/>
  <c r="BT26" i="9"/>
  <c r="BS26" i="9"/>
  <c r="BK25" i="9"/>
  <c r="BJ25" i="9"/>
  <c r="BI25" i="9"/>
  <c r="BH25" i="9"/>
  <c r="BH9" i="9"/>
  <c r="BF75" i="9"/>
  <c r="BF73" i="9"/>
  <c r="BF59" i="9"/>
  <c r="BF57" i="9"/>
  <c r="BF51" i="9" s="1"/>
  <c r="BF31" i="9"/>
  <c r="BF29" i="9"/>
  <c r="BK30" i="9" s="1"/>
  <c r="BF15" i="9"/>
  <c r="BF13" i="9"/>
  <c r="BK14" i="9" s="1"/>
  <c r="BF89" i="9"/>
  <c r="BE89" i="9"/>
  <c r="BD89" i="9"/>
  <c r="BF82" i="9"/>
  <c r="BE82" i="9"/>
  <c r="BD82" i="9"/>
  <c r="BE51" i="9"/>
  <c r="BD51" i="9"/>
  <c r="BD53" i="9"/>
  <c r="BD54" i="9" s="1"/>
  <c r="BD9" i="9"/>
  <c r="BC9" i="9"/>
  <c r="BC53" i="9"/>
  <c r="BC89" i="9"/>
  <c r="BC82" i="9"/>
  <c r="BC51" i="9"/>
  <c r="BC7" i="9"/>
  <c r="CU95" i="1" l="1"/>
  <c r="BH54" i="9"/>
  <c r="CP96" i="1"/>
  <c r="BC54" i="9"/>
  <c r="BN50" i="9"/>
  <c r="BS58" i="9"/>
  <c r="BS52" i="9"/>
  <c r="BK74" i="9"/>
  <c r="BN54" i="9"/>
  <c r="BI50" i="9"/>
  <c r="BP54" i="9"/>
  <c r="BO54" i="9"/>
  <c r="BI54" i="9"/>
  <c r="CP2" i="1" l="1"/>
  <c r="CO2" i="1"/>
  <c r="CQ96" i="1"/>
  <c r="CR96" i="1" s="1"/>
  <c r="CS96" i="1" s="1"/>
  <c r="CT96" i="1" s="1"/>
  <c r="CQ90" i="1"/>
  <c r="CQ92" i="1"/>
  <c r="CQ93" i="1" s="1"/>
  <c r="AT23" i="18"/>
  <c r="BL20" i="2"/>
  <c r="BQ20" i="2" s="1"/>
  <c r="BV20" i="2" s="1"/>
  <c r="CA20" i="2" s="1"/>
  <c r="CF20" i="2" s="1"/>
  <c r="CK20" i="2" s="1"/>
  <c r="CP20" i="2" s="1"/>
  <c r="CQ20" i="2" s="1"/>
  <c r="CR20" i="2" s="1"/>
  <c r="CS20" i="2" s="1"/>
  <c r="CT20" i="2" s="1"/>
  <c r="CU20" i="2" s="1"/>
  <c r="BM54" i="3"/>
  <c r="BM38" i="3"/>
  <c r="BM10" i="3"/>
  <c r="BM9" i="3" s="1"/>
  <c r="BQ53" i="3"/>
  <c r="BP52" i="3"/>
  <c r="BP54" i="3" s="1"/>
  <c r="BO54" i="3"/>
  <c r="BQ51" i="3"/>
  <c r="BQ49" i="3"/>
  <c r="BQ48" i="3"/>
  <c r="BQ47" i="3"/>
  <c r="BQ45" i="3"/>
  <c r="BP38" i="3"/>
  <c r="BO38" i="3"/>
  <c r="BN38" i="3"/>
  <c r="BQ37" i="3"/>
  <c r="BQ36" i="3"/>
  <c r="BQ35" i="3"/>
  <c r="BQ34" i="3"/>
  <c r="BQ33" i="3"/>
  <c r="BQ32" i="3"/>
  <c r="BQ31" i="3"/>
  <c r="BQ30" i="3"/>
  <c r="BQ15" i="3"/>
  <c r="BQ14" i="3"/>
  <c r="BQ13" i="3"/>
  <c r="BQ11" i="3"/>
  <c r="BP10" i="3"/>
  <c r="BP9" i="3" s="1"/>
  <c r="BP62" i="3" s="1"/>
  <c r="BN34" i="2"/>
  <c r="BQ28" i="2"/>
  <c r="BQ21" i="2"/>
  <c r="BV21" i="2" s="1"/>
  <c r="CA21" i="2" s="1"/>
  <c r="CF21" i="2" s="1"/>
  <c r="CK21" i="2" s="1"/>
  <c r="CP21" i="2" s="1"/>
  <c r="CQ21" i="2" s="1"/>
  <c r="CR21" i="2" s="1"/>
  <c r="CS21" i="2" s="1"/>
  <c r="CT21" i="2" s="1"/>
  <c r="CU21" i="2" s="1"/>
  <c r="BM19" i="2"/>
  <c r="BQ18" i="2"/>
  <c r="BQ17" i="2"/>
  <c r="BV17" i="2" s="1"/>
  <c r="BQ9" i="2"/>
  <c r="BQ137" i="1"/>
  <c r="BP137" i="1"/>
  <c r="BO137" i="1"/>
  <c r="BN137" i="1"/>
  <c r="BM137" i="1"/>
  <c r="BP71" i="1"/>
  <c r="BO71" i="1"/>
  <c r="BN71" i="1"/>
  <c r="BM71" i="1"/>
  <c r="BQ70" i="1"/>
  <c r="BQ69" i="1"/>
  <c r="BP64" i="1"/>
  <c r="BN64" i="1"/>
  <c r="BQ63" i="1"/>
  <c r="BQ62" i="1"/>
  <c r="BQ60" i="1"/>
  <c r="BQ59" i="1"/>
  <c r="CV59" i="1" s="1"/>
  <c r="CW59" i="1" s="1"/>
  <c r="BQ58" i="1"/>
  <c r="BM64" i="1"/>
  <c r="BQ50" i="1"/>
  <c r="BQ30" i="1"/>
  <c r="BU21" i="1"/>
  <c r="BU18" i="1"/>
  <c r="BH50" i="9"/>
  <c r="BQ98" i="9"/>
  <c r="BP97" i="9"/>
  <c r="BO97" i="9"/>
  <c r="BN97" i="9"/>
  <c r="BP91" i="9"/>
  <c r="BO91" i="9"/>
  <c r="BN91" i="9"/>
  <c r="BM91" i="9"/>
  <c r="BP90" i="9"/>
  <c r="BO90" i="9"/>
  <c r="BN90" i="9"/>
  <c r="BM90" i="9"/>
  <c r="BQ89" i="9"/>
  <c r="BP88" i="9"/>
  <c r="BO88" i="9"/>
  <c r="BN88" i="9"/>
  <c r="BM88" i="9"/>
  <c r="BP87" i="9"/>
  <c r="BN87" i="9"/>
  <c r="BM87" i="9"/>
  <c r="BQ82" i="9"/>
  <c r="BQ77" i="9"/>
  <c r="BQ75" i="9"/>
  <c r="BP70" i="9"/>
  <c r="BO70" i="9"/>
  <c r="BN70" i="9"/>
  <c r="BM70" i="9"/>
  <c r="BQ69" i="9"/>
  <c r="BV70" i="9" s="1"/>
  <c r="BQ61" i="9"/>
  <c r="BP58" i="9"/>
  <c r="BO58" i="9"/>
  <c r="BN58" i="9"/>
  <c r="BM58" i="9"/>
  <c r="BP52" i="9"/>
  <c r="BO52" i="9"/>
  <c r="BN52" i="9"/>
  <c r="BM52" i="9"/>
  <c r="BQ51" i="9"/>
  <c r="BQ33" i="9"/>
  <c r="BQ31" i="9"/>
  <c r="BP26" i="9"/>
  <c r="BO26" i="9"/>
  <c r="BN26" i="9"/>
  <c r="BM26" i="9"/>
  <c r="BQ25" i="9"/>
  <c r="BV26" i="9" s="1"/>
  <c r="BQ17" i="9"/>
  <c r="BM16" i="9"/>
  <c r="BQ15" i="9"/>
  <c r="BM10" i="9"/>
  <c r="BQ9" i="9"/>
  <c r="BP6" i="9"/>
  <c r="BO6" i="9"/>
  <c r="BN6" i="9"/>
  <c r="BM6" i="9"/>
  <c r="BQ5" i="9"/>
  <c r="CQ91" i="1" l="1"/>
  <c r="AW23" i="18"/>
  <c r="CU96" i="1"/>
  <c r="CS90" i="1"/>
  <c r="CS92" i="1"/>
  <c r="CS93" i="1" s="1"/>
  <c r="CA17" i="2"/>
  <c r="BO34" i="2"/>
  <c r="BV6" i="9"/>
  <c r="BV10" i="9"/>
  <c r="BV16" i="9"/>
  <c r="BV58" i="9"/>
  <c r="BV52" i="9"/>
  <c r="BO21" i="1"/>
  <c r="BN19" i="1"/>
  <c r="BQ71" i="1"/>
  <c r="BQ52" i="3"/>
  <c r="BQ54" i="3" s="1"/>
  <c r="BN54" i="3"/>
  <c r="BQ10" i="3"/>
  <c r="BQ64" i="1"/>
  <c r="BQ12" i="3"/>
  <c r="BQ38" i="3"/>
  <c r="BM21" i="1"/>
  <c r="BP19" i="1"/>
  <c r="BO19" i="1"/>
  <c r="BM18" i="1"/>
  <c r="BQ20" i="1"/>
  <c r="BO22" i="1"/>
  <c r="BP22" i="1"/>
  <c r="BN21" i="1"/>
  <c r="BQ17" i="1"/>
  <c r="BN22" i="1"/>
  <c r="BM50" i="9"/>
  <c r="BR63" i="9" s="1"/>
  <c r="BM55" i="9"/>
  <c r="BQ57" i="9"/>
  <c r="BM97" i="9"/>
  <c r="BQ97" i="9" s="1"/>
  <c r="BH60" i="1"/>
  <c r="BH63" i="1"/>
  <c r="CT2" i="1" l="1"/>
  <c r="CU2" i="1"/>
  <c r="CS91" i="1"/>
  <c r="AY23" i="18"/>
  <c r="CF17" i="2"/>
  <c r="BP34" i="2"/>
  <c r="BQ36" i="1"/>
  <c r="BQ37" i="1" s="1"/>
  <c r="BQ34" i="1"/>
  <c r="BQ35" i="1" s="1"/>
  <c r="BM63" i="9"/>
  <c r="BL53" i="8"/>
  <c r="BH55" i="8"/>
  <c r="BF52" i="8"/>
  <c r="BK27" i="8"/>
  <c r="BK26" i="8"/>
  <c r="BK31" i="8"/>
  <c r="BK30" i="8"/>
  <c r="BK41" i="8"/>
  <c r="BK42" i="8"/>
  <c r="BK38" i="8"/>
  <c r="BK37" i="8"/>
  <c r="BF37" i="8"/>
  <c r="BH21" i="8"/>
  <c r="BM23" i="8" s="1"/>
  <c r="BK18" i="8"/>
  <c r="BK19" i="8"/>
  <c r="BH40" i="2"/>
  <c r="BH51" i="2"/>
  <c r="BH9" i="1"/>
  <c r="BH37" i="1"/>
  <c r="BH35" i="1"/>
  <c r="BH29" i="1"/>
  <c r="BH79" i="1"/>
  <c r="BC79" i="1"/>
  <c r="BH46" i="1"/>
  <c r="BC38" i="1"/>
  <c r="BH14" i="1"/>
  <c r="BH59" i="1"/>
  <c r="BH62" i="1"/>
  <c r="BH58" i="1"/>
  <c r="BH32" i="1"/>
  <c r="BH48" i="1"/>
  <c r="BH33" i="1" l="1"/>
  <c r="CK17" i="2"/>
  <c r="BH64" i="1"/>
  <c r="BQ34" i="2"/>
  <c r="BM12" i="1"/>
  <c r="BH52" i="1"/>
  <c r="CP17" i="2" l="1"/>
  <c r="CR17" i="2" s="1"/>
  <c r="CT17" i="2" s="1"/>
  <c r="CU17" i="2" s="1"/>
  <c r="CQ17" i="2"/>
  <c r="CS17" i="2" s="1"/>
  <c r="BV34" i="2"/>
  <c r="CA34" i="2" s="1"/>
  <c r="CF34" i="2" s="1"/>
  <c r="BQ15" i="2"/>
  <c r="BR62" i="3" s="1"/>
  <c r="DB8" i="1"/>
  <c r="CK15" i="9"/>
  <c r="CL15" i="9"/>
  <c r="CM15" i="9"/>
  <c r="CK16" i="9"/>
  <c r="CL16" i="9"/>
  <c r="CM16" i="9"/>
  <c r="CK17" i="9"/>
  <c r="CL17" i="9"/>
  <c r="CM17" i="9"/>
  <c r="CK18" i="9"/>
  <c r="CL18" i="9"/>
  <c r="CM18" i="9"/>
  <c r="CJ18" i="9"/>
  <c r="CJ25" i="9" s="1"/>
  <c r="CJ17" i="9"/>
  <c r="CJ24" i="9" s="1"/>
  <c r="CJ16" i="9"/>
  <c r="CJ23" i="9" s="1"/>
  <c r="CJ15" i="9"/>
  <c r="CJ22" i="9" s="1"/>
  <c r="CN14" i="9"/>
  <c r="CN15" i="9" s="1"/>
  <c r="CK19" i="9" l="1"/>
  <c r="CL19" i="9"/>
  <c r="CJ19" i="9"/>
  <c r="CM19" i="9"/>
  <c r="CJ26" i="9"/>
  <c r="CN17" i="9"/>
  <c r="CN18" i="9"/>
  <c r="CN16" i="9"/>
  <c r="BG62" i="1"/>
  <c r="BL62" i="1"/>
  <c r="BI42" i="8"/>
  <c r="BH42" i="8"/>
  <c r="BG42" i="8"/>
  <c r="BI41" i="8"/>
  <c r="BH41" i="8"/>
  <c r="BG41" i="8"/>
  <c r="BI38" i="8"/>
  <c r="BI37" i="8"/>
  <c r="BI31" i="8"/>
  <c r="BI30" i="8"/>
  <c r="BI27" i="8"/>
  <c r="BI26" i="8"/>
  <c r="BI21" i="8"/>
  <c r="BI22" i="8" s="1"/>
  <c r="BI19" i="8"/>
  <c r="BI18" i="8"/>
  <c r="BN23" i="8" l="1"/>
  <c r="BK22" i="8"/>
  <c r="BF98" i="1"/>
  <c r="BF63" i="1"/>
  <c r="BF46" i="1"/>
  <c r="BF8" i="1"/>
  <c r="BF32" i="1"/>
  <c r="BF85" i="1"/>
  <c r="BF79" i="1" s="1"/>
  <c r="BF48" i="1"/>
  <c r="BF36" i="1"/>
  <c r="BF37" i="1" s="1"/>
  <c r="BF34" i="1"/>
  <c r="BF35" i="1" s="1"/>
  <c r="BF28" i="1"/>
  <c r="BF29" i="1" s="1"/>
  <c r="BF23" i="9"/>
  <c r="BF35" i="9" s="1"/>
  <c r="BF7" i="9"/>
  <c r="BE7" i="9"/>
  <c r="BF33" i="1" l="1"/>
  <c r="CK34" i="2" l="1"/>
  <c r="CM34" i="2" s="1"/>
  <c r="AV139" i="1"/>
  <c r="AS139" i="1"/>
  <c r="AT137" i="1"/>
  <c r="AU137" i="1"/>
  <c r="AV137" i="1"/>
  <c r="AW137" i="1"/>
  <c r="AX137" i="1"/>
  <c r="AY137" i="1"/>
  <c r="AZ137" i="1"/>
  <c r="BA137" i="1"/>
  <c r="BB137" i="1"/>
  <c r="BC137" i="1"/>
  <c r="BD137" i="1"/>
  <c r="BE137" i="1"/>
  <c r="BF137" i="1"/>
  <c r="BG137" i="1"/>
  <c r="BH137" i="1"/>
  <c r="BI137" i="1"/>
  <c r="BJ137" i="1"/>
  <c r="BK137" i="1"/>
  <c r="BL137" i="1"/>
  <c r="AS137" i="1"/>
  <c r="CN34" i="2" l="1"/>
  <c r="BH37" i="8"/>
  <c r="BH38" i="8"/>
  <c r="BH30" i="8"/>
  <c r="BH31" i="8"/>
  <c r="BH22" i="8"/>
  <c r="BH26" i="8"/>
  <c r="BH27" i="8"/>
  <c r="BG26" i="8"/>
  <c r="BG27" i="8"/>
  <c r="BH19" i="8"/>
  <c r="BH18" i="8"/>
  <c r="BG30" i="8"/>
  <c r="BG31" i="8"/>
  <c r="BD54" i="3"/>
  <c r="BE38" i="3"/>
  <c r="BE98" i="1"/>
  <c r="BE79" i="1"/>
  <c r="BE60" i="1"/>
  <c r="BE46" i="1"/>
  <c r="BE32" i="1"/>
  <c r="BE8" i="1"/>
  <c r="BE36" i="1"/>
  <c r="BE37" i="1" s="1"/>
  <c r="BE34" i="1"/>
  <c r="BE35" i="1" s="1"/>
  <c r="BE28" i="1"/>
  <c r="BE29" i="1" s="1"/>
  <c r="CO34" i="2" l="1"/>
  <c r="CP34" i="2" s="1"/>
  <c r="CQ34" i="2" s="1"/>
  <c r="CR34" i="2" s="1"/>
  <c r="CS34" i="2" s="1"/>
  <c r="CT34" i="2" s="1"/>
  <c r="CU34" i="2" s="1"/>
  <c r="BE33" i="1"/>
  <c r="BD37" i="1"/>
  <c r="BD35" i="1"/>
  <c r="BD29" i="1"/>
  <c r="BG38" i="8"/>
  <c r="BG37" i="8"/>
  <c r="BG19" i="8"/>
  <c r="BG18" i="8"/>
  <c r="BD46" i="1"/>
  <c r="BD79" i="1"/>
  <c r="BD60" i="1"/>
  <c r="BD32" i="1"/>
  <c r="BD8" i="1"/>
  <c r="BD33" i="1" l="1"/>
  <c r="BC21" i="8"/>
  <c r="BH23" i="8" s="1"/>
  <c r="BB21" i="8"/>
  <c r="BG23" i="8" s="1"/>
  <c r="BD21" i="8"/>
  <c r="BI23" i="8" s="1"/>
  <c r="BA21" i="8"/>
  <c r="BF21" i="8"/>
  <c r="BK23" i="8" l="1"/>
  <c r="BG22" i="8"/>
  <c r="BC46" i="1"/>
  <c r="BC60" i="1"/>
  <c r="BC63" i="1"/>
  <c r="BC14" i="1"/>
  <c r="BA9" i="9"/>
  <c r="BC29" i="1" l="1"/>
  <c r="BC33" i="1"/>
  <c r="BC37" i="1"/>
  <c r="BC35" i="1"/>
  <c r="BF42" i="8" l="1"/>
  <c r="BF41" i="8"/>
  <c r="BF38" i="8"/>
  <c r="BF34" i="8"/>
  <c r="BF33" i="8"/>
  <c r="BF31" i="8"/>
  <c r="BF30" i="8"/>
  <c r="BF27" i="8"/>
  <c r="BF26" i="8"/>
  <c r="BF23" i="8"/>
  <c r="BF22" i="8"/>
  <c r="BF19" i="8"/>
  <c r="BF18" i="8"/>
  <c r="BL98" i="9"/>
  <c r="BK97" i="9"/>
  <c r="BJ97" i="9"/>
  <c r="BI97" i="9"/>
  <c r="BH97" i="9"/>
  <c r="BK91" i="9"/>
  <c r="BJ91" i="9"/>
  <c r="BI91" i="9"/>
  <c r="BH91" i="9"/>
  <c r="BK90" i="9"/>
  <c r="BJ90" i="9"/>
  <c r="BI90" i="9"/>
  <c r="BH90" i="9"/>
  <c r="BL89" i="9"/>
  <c r="BQ90" i="9" s="1"/>
  <c r="BK88" i="9"/>
  <c r="BJ88" i="9"/>
  <c r="BI88" i="9"/>
  <c r="BH88" i="9"/>
  <c r="BK87" i="9"/>
  <c r="BI87" i="9"/>
  <c r="BH87" i="9"/>
  <c r="BL82" i="9"/>
  <c r="BQ87" i="9" s="1"/>
  <c r="BL77" i="9"/>
  <c r="BL75" i="9"/>
  <c r="BL61" i="9"/>
  <c r="BK58" i="9"/>
  <c r="BJ58" i="9"/>
  <c r="BI58" i="9"/>
  <c r="BH58" i="9"/>
  <c r="BK52" i="9"/>
  <c r="BJ52" i="9"/>
  <c r="BI52" i="9"/>
  <c r="BH52" i="9"/>
  <c r="BL51" i="9"/>
  <c r="BL33" i="9"/>
  <c r="BL31" i="9"/>
  <c r="BL25" i="9"/>
  <c r="BQ26" i="9" s="1"/>
  <c r="BL17" i="9"/>
  <c r="BH10" i="9"/>
  <c r="BK6" i="9"/>
  <c r="BJ6" i="9"/>
  <c r="BI6" i="9"/>
  <c r="BH6" i="9"/>
  <c r="BL5" i="9"/>
  <c r="BQ6" i="9" s="1"/>
  <c r="BL53" i="3"/>
  <c r="BK54" i="3"/>
  <c r="BJ54" i="3"/>
  <c r="BI54" i="3"/>
  <c r="BL51" i="3"/>
  <c r="BL49" i="3"/>
  <c r="BL48" i="3"/>
  <c r="BL47" i="3"/>
  <c r="BL45" i="3"/>
  <c r="BK38" i="3"/>
  <c r="BJ38" i="3"/>
  <c r="BI38" i="3"/>
  <c r="BH38" i="3"/>
  <c r="BL37" i="3"/>
  <c r="BL36" i="3"/>
  <c r="BL35" i="3"/>
  <c r="BL34" i="3"/>
  <c r="BL33" i="3"/>
  <c r="BL32" i="3"/>
  <c r="BL31" i="3"/>
  <c r="BL30" i="3"/>
  <c r="BL13" i="3"/>
  <c r="BL11" i="3"/>
  <c r="BK10" i="3"/>
  <c r="BK9" i="3" s="1"/>
  <c r="BK62" i="3" s="1"/>
  <c r="BJ10" i="3"/>
  <c r="BJ9" i="3" s="1"/>
  <c r="BJ62" i="3" s="1"/>
  <c r="BI10" i="3"/>
  <c r="BH10" i="3"/>
  <c r="BH9" i="3" s="1"/>
  <c r="BI34" i="2"/>
  <c r="BL28" i="2"/>
  <c r="BH19" i="2"/>
  <c r="BL18" i="2"/>
  <c r="BL9" i="2"/>
  <c r="BK71" i="1"/>
  <c r="BJ71" i="1"/>
  <c r="BI71" i="1"/>
  <c r="BH71" i="1"/>
  <c r="BL70" i="1"/>
  <c r="BL69" i="1"/>
  <c r="BK64" i="1"/>
  <c r="BJ64" i="1"/>
  <c r="BI64" i="1"/>
  <c r="BL63" i="1"/>
  <c r="BL60" i="1"/>
  <c r="BL59" i="1"/>
  <c r="BL58" i="1"/>
  <c r="BL50" i="1"/>
  <c r="BL30" i="1"/>
  <c r="BH18" i="1"/>
  <c r="BJ34" i="2" l="1"/>
  <c r="BI100" i="1"/>
  <c r="BI101" i="1" s="1"/>
  <c r="BM22" i="1"/>
  <c r="BP21" i="1"/>
  <c r="BM19" i="1"/>
  <c r="BP18" i="1"/>
  <c r="BO18" i="1"/>
  <c r="BN18" i="1"/>
  <c r="BQ52" i="9"/>
  <c r="BQ58" i="9"/>
  <c r="BL38" i="3"/>
  <c r="BL52" i="3"/>
  <c r="BL54" i="3" s="1"/>
  <c r="BH54" i="3"/>
  <c r="BL97" i="9"/>
  <c r="BL71" i="1"/>
  <c r="BL64" i="1"/>
  <c r="BH16" i="9"/>
  <c r="BL12" i="3"/>
  <c r="BL10" i="3"/>
  <c r="BI22" i="1"/>
  <c r="BL57" i="9"/>
  <c r="BL69" i="9"/>
  <c r="BQ70" i="9" s="1"/>
  <c r="BK19" i="1"/>
  <c r="BL96" i="1"/>
  <c r="BL20" i="1"/>
  <c r="BQ21" i="1" s="1"/>
  <c r="BJ22" i="1"/>
  <c r="BI19" i="1"/>
  <c r="BH21" i="1"/>
  <c r="BK22" i="1"/>
  <c r="BL17" i="1"/>
  <c r="BQ18" i="1" s="1"/>
  <c r="BJ19" i="1"/>
  <c r="R16" i="18"/>
  <c r="Q16" i="18"/>
  <c r="P16" i="18"/>
  <c r="O16" i="18"/>
  <c r="N16" i="18"/>
  <c r="M16" i="18"/>
  <c r="L16" i="18"/>
  <c r="K16" i="18"/>
  <c r="J16" i="18"/>
  <c r="I16" i="18"/>
  <c r="H16" i="18"/>
  <c r="G16" i="18"/>
  <c r="F16" i="18"/>
  <c r="E16" i="18"/>
  <c r="D16" i="18"/>
  <c r="R22" i="18" l="1"/>
  <c r="R24" i="18"/>
  <c r="R32" i="18"/>
  <c r="E32" i="18"/>
  <c r="E22" i="18"/>
  <c r="E24" i="18"/>
  <c r="G22" i="18"/>
  <c r="G24" i="18"/>
  <c r="G32" i="18"/>
  <c r="M32" i="18"/>
  <c r="M22" i="18"/>
  <c r="M24" i="18"/>
  <c r="D32" i="18"/>
  <c r="D22" i="18"/>
  <c r="D24" i="18"/>
  <c r="F22" i="18"/>
  <c r="F24" i="18"/>
  <c r="F32" i="18"/>
  <c r="I24" i="18"/>
  <c r="I32" i="18"/>
  <c r="I22" i="18"/>
  <c r="O22" i="18"/>
  <c r="O24" i="18"/>
  <c r="O32" i="18"/>
  <c r="J22" i="18"/>
  <c r="J32" i="18"/>
  <c r="J24" i="18"/>
  <c r="K22" i="18"/>
  <c r="K32" i="18"/>
  <c r="K24" i="18"/>
  <c r="L32" i="18"/>
  <c r="L24" i="18"/>
  <c r="L22" i="18"/>
  <c r="N32" i="18"/>
  <c r="N22" i="18"/>
  <c r="N24" i="18"/>
  <c r="H22" i="18"/>
  <c r="H32" i="18"/>
  <c r="H24" i="18"/>
  <c r="P32" i="18"/>
  <c r="P22" i="18"/>
  <c r="P24" i="18"/>
  <c r="Q24" i="18"/>
  <c r="Q32" i="18"/>
  <c r="Q22" i="18"/>
  <c r="BK34" i="2"/>
  <c r="BL34" i="2" s="1"/>
  <c r="BJ100" i="1"/>
  <c r="BJ101" i="1" s="1"/>
  <c r="BQ96" i="1"/>
  <c r="CV96" i="1" s="1"/>
  <c r="BL34" i="1"/>
  <c r="BL35" i="1" s="1"/>
  <c r="BL36" i="1"/>
  <c r="BL37" i="1" s="1"/>
  <c r="BF69" i="9"/>
  <c r="BK70" i="9" s="1"/>
  <c r="BE69" i="9"/>
  <c r="BJ70" i="9" s="1"/>
  <c r="BD69" i="9"/>
  <c r="BI70" i="9" s="1"/>
  <c r="BC69" i="9"/>
  <c r="BH70" i="9" s="1"/>
  <c r="BF25" i="9"/>
  <c r="BE25" i="9"/>
  <c r="BJ26" i="9" s="1"/>
  <c r="BD25" i="9"/>
  <c r="BI26" i="9" s="1"/>
  <c r="BC25" i="9"/>
  <c r="BH26" i="9" s="1"/>
  <c r="BA89" i="9"/>
  <c r="BA82" i="9"/>
  <c r="AZ82" i="9"/>
  <c r="AY82" i="9"/>
  <c r="AX82" i="9"/>
  <c r="BA69" i="9"/>
  <c r="BA67" i="9"/>
  <c r="BA73" i="9" s="1"/>
  <c r="BF74" i="9" s="1"/>
  <c r="BA53" i="9"/>
  <c r="BA51" i="9"/>
  <c r="BA23" i="9"/>
  <c r="BA29" i="9" s="1"/>
  <c r="BA25" i="9"/>
  <c r="BK26" i="9" l="1"/>
  <c r="BF22" i="9"/>
  <c r="BD22" i="8"/>
  <c r="BD41" i="8"/>
  <c r="BD42" i="8"/>
  <c r="BD37" i="8"/>
  <c r="BD38" i="8"/>
  <c r="BD33" i="8"/>
  <c r="BD34" i="8"/>
  <c r="BD26" i="8"/>
  <c r="BD27" i="8"/>
  <c r="BD30" i="8"/>
  <c r="BD31" i="8"/>
  <c r="BD18" i="8"/>
  <c r="BD19" i="8"/>
  <c r="BA14" i="1" l="1"/>
  <c r="BA66" i="9" s="1"/>
  <c r="BA79" i="1"/>
  <c r="AZ79" i="1"/>
  <c r="BG63" i="1"/>
  <c r="BA63" i="1"/>
  <c r="BA60" i="1"/>
  <c r="BA46" i="1"/>
  <c r="BA32" i="1"/>
  <c r="BA37" i="1"/>
  <c r="BA35" i="1"/>
  <c r="BA29" i="1"/>
  <c r="BA33" i="1" l="1"/>
  <c r="AZ89" i="9" l="1"/>
  <c r="AZ73" i="9"/>
  <c r="BE74" i="9" s="1"/>
  <c r="AZ54" i="9"/>
  <c r="AZ29" i="9"/>
  <c r="AZ30" i="9" s="1"/>
  <c r="AZ7" i="9"/>
  <c r="AZ13" i="9" l="1"/>
  <c r="AZ46" i="1"/>
  <c r="AZ32" i="1"/>
  <c r="AZ14" i="1"/>
  <c r="AZ60" i="1"/>
  <c r="AZ63" i="1"/>
  <c r="AX32" i="1"/>
  <c r="AZ66" i="9" l="1"/>
  <c r="BC41" i="8"/>
  <c r="BC42" i="8"/>
  <c r="BC37" i="8"/>
  <c r="BC33" i="8"/>
  <c r="BC30" i="8"/>
  <c r="BC31" i="8"/>
  <c r="BC26" i="8"/>
  <c r="BC27" i="8"/>
  <c r="BC22" i="8"/>
  <c r="BC19" i="8"/>
  <c r="BC18" i="8"/>
  <c r="AZ29" i="1"/>
  <c r="AZ33" i="1"/>
  <c r="AZ35" i="1"/>
  <c r="AZ37" i="1"/>
  <c r="AW16" i="8" l="1"/>
  <c r="AY89" i="9"/>
  <c r="AY73" i="9"/>
  <c r="BD74" i="9" s="1"/>
  <c r="AY70" i="9"/>
  <c r="AY54" i="9"/>
  <c r="AY29" i="9"/>
  <c r="AY30" i="9" s="1"/>
  <c r="AX22" i="9"/>
  <c r="AY7" i="9"/>
  <c r="BB41" i="8"/>
  <c r="BB38" i="8"/>
  <c r="BB37" i="8"/>
  <c r="BB33" i="8"/>
  <c r="BB31" i="8"/>
  <c r="BB30" i="8"/>
  <c r="BB26" i="8"/>
  <c r="BB22" i="8"/>
  <c r="BB23" i="8"/>
  <c r="BB18" i="8"/>
  <c r="BB19" i="8"/>
  <c r="AY24" i="3"/>
  <c r="AZ24" i="3" s="1"/>
  <c r="BA24" i="3" s="1"/>
  <c r="AY21" i="3"/>
  <c r="AZ21" i="3" s="1"/>
  <c r="BA21" i="3" s="1"/>
  <c r="AY20" i="3"/>
  <c r="AZ20" i="3" s="1"/>
  <c r="BA20" i="3" s="1"/>
  <c r="AY18" i="3"/>
  <c r="AZ18" i="3" s="1"/>
  <c r="BA18" i="3" s="1"/>
  <c r="AX22" i="3"/>
  <c r="AY22" i="3" s="1"/>
  <c r="AZ22" i="3" s="1"/>
  <c r="BA22" i="3" s="1"/>
  <c r="AT20" i="3"/>
  <c r="AY79" i="1"/>
  <c r="AY46" i="1"/>
  <c r="AY60" i="1"/>
  <c r="AY32" i="1"/>
  <c r="AY63" i="1"/>
  <c r="AY14" i="1"/>
  <c r="AY66" i="9" s="1"/>
  <c r="AY13" i="9" l="1"/>
  <c r="AY37" i="1"/>
  <c r="AY35" i="1"/>
  <c r="AY33" i="1"/>
  <c r="AY29" i="1"/>
  <c r="AJ8" i="19" l="1"/>
  <c r="AI8" i="19"/>
  <c r="AH8" i="19"/>
  <c r="AG8" i="19"/>
  <c r="AF8" i="19"/>
  <c r="AD8" i="19"/>
  <c r="AC8" i="19"/>
  <c r="AB8" i="19"/>
  <c r="Z8" i="19"/>
  <c r="Y8" i="19"/>
  <c r="X8" i="19"/>
  <c r="W8" i="19"/>
  <c r="V8" i="19"/>
  <c r="U8" i="19"/>
  <c r="T8" i="19"/>
  <c r="S8" i="19"/>
  <c r="R8" i="19"/>
  <c r="Q8" i="19"/>
  <c r="P8" i="19"/>
  <c r="O8" i="19"/>
  <c r="N8" i="19"/>
  <c r="M8" i="19"/>
  <c r="L8" i="19"/>
  <c r="M6" i="19"/>
  <c r="N6" i="19"/>
  <c r="O6" i="19"/>
  <c r="P6" i="19"/>
  <c r="Q6" i="19"/>
  <c r="R6" i="19"/>
  <c r="S6" i="19"/>
  <c r="T6" i="19"/>
  <c r="U6" i="19"/>
  <c r="V6" i="19"/>
  <c r="W6" i="19"/>
  <c r="X6" i="19"/>
  <c r="Y6" i="19"/>
  <c r="Z6" i="19"/>
  <c r="AA6" i="19"/>
  <c r="AB6" i="19"/>
  <c r="AC6" i="19"/>
  <c r="AD6" i="19"/>
  <c r="AF6" i="19"/>
  <c r="AG6" i="19"/>
  <c r="AH6" i="19"/>
  <c r="AJ6" i="19"/>
  <c r="L6" i="19"/>
  <c r="AA7" i="19"/>
  <c r="AE8" i="19" s="1"/>
  <c r="AE5" i="19"/>
  <c r="AE6" i="19" s="1"/>
  <c r="AX7" i="9"/>
  <c r="AX89" i="9"/>
  <c r="BC90" i="9" s="1"/>
  <c r="AX73" i="9"/>
  <c r="BC74" i="9" s="1"/>
  <c r="AX54" i="9"/>
  <c r="AX29" i="9"/>
  <c r="AL66" i="9"/>
  <c r="AL71" i="9" s="1"/>
  <c r="AP66" i="9"/>
  <c r="AP71" i="9" s="1"/>
  <c r="AV23" i="9"/>
  <c r="AV6" i="9"/>
  <c r="AV82" i="9"/>
  <c r="BA87" i="9" s="1"/>
  <c r="AV89" i="9"/>
  <c r="AV67" i="9"/>
  <c r="AV73" i="9" s="1"/>
  <c r="BA74" i="9" s="1"/>
  <c r="AV69" i="9"/>
  <c r="AV53" i="9"/>
  <c r="AV51" i="9"/>
  <c r="BA52" i="9" s="1"/>
  <c r="AV25" i="9"/>
  <c r="AV9" i="9"/>
  <c r="BA10" i="9" s="1"/>
  <c r="AV40" i="8"/>
  <c r="AV43" i="8" s="1"/>
  <c r="BA45" i="8" s="1"/>
  <c r="AX33" i="2"/>
  <c r="AX40" i="2" s="1"/>
  <c r="AX46" i="1"/>
  <c r="AX52" i="1" s="1"/>
  <c r="AX60" i="1"/>
  <c r="BB60" i="1" s="1"/>
  <c r="AX79" i="1"/>
  <c r="AX14" i="1"/>
  <c r="AX63" i="1"/>
  <c r="AV32" i="1"/>
  <c r="AV14" i="3"/>
  <c r="AV52" i="3" s="1"/>
  <c r="AV54" i="3" s="1"/>
  <c r="BA23" i="8"/>
  <c r="BA44" i="8"/>
  <c r="BA41" i="8"/>
  <c r="BA38" i="8"/>
  <c r="BA37" i="8"/>
  <c r="BA33" i="8"/>
  <c r="BA31" i="8"/>
  <c r="BA30" i="8"/>
  <c r="BA26" i="8"/>
  <c r="BA19" i="8"/>
  <c r="BA18" i="8"/>
  <c r="BE10" i="3"/>
  <c r="BC19" i="2"/>
  <c r="BC19" i="1"/>
  <c r="BF71" i="1"/>
  <c r="BE71" i="1"/>
  <c r="BF64" i="1"/>
  <c r="BE64" i="1"/>
  <c r="BJ21" i="1"/>
  <c r="BE19" i="1"/>
  <c r="BD71" i="1"/>
  <c r="BD64" i="1"/>
  <c r="BD22" i="1"/>
  <c r="BD18" i="1"/>
  <c r="AX37" i="1"/>
  <c r="AX35" i="1"/>
  <c r="AX29" i="1"/>
  <c r="BG98" i="9"/>
  <c r="BF97" i="9"/>
  <c r="BE97" i="9"/>
  <c r="BD97" i="9"/>
  <c r="BC97" i="9"/>
  <c r="BF91" i="9"/>
  <c r="BE91" i="9"/>
  <c r="BD91" i="9"/>
  <c r="BC91" i="9"/>
  <c r="BF90" i="9"/>
  <c r="BE90" i="9"/>
  <c r="BG89" i="9"/>
  <c r="BL90" i="9" s="1"/>
  <c r="BF88" i="9"/>
  <c r="BE88" i="9"/>
  <c r="BD88" i="9"/>
  <c r="BC88" i="9"/>
  <c r="BF87" i="9"/>
  <c r="BD87" i="9"/>
  <c r="BC87" i="9"/>
  <c r="BG82" i="9"/>
  <c r="BL87" i="9" s="1"/>
  <c r="BG77" i="9"/>
  <c r="BF70" i="9"/>
  <c r="BE70" i="9"/>
  <c r="BD70" i="9"/>
  <c r="BC70" i="9"/>
  <c r="BG69" i="9"/>
  <c r="BL70" i="9" s="1"/>
  <c r="BG61" i="9"/>
  <c r="BF58" i="9"/>
  <c r="BE58" i="9"/>
  <c r="BD58" i="9"/>
  <c r="BC58" i="9"/>
  <c r="BF52" i="9"/>
  <c r="BE52" i="9"/>
  <c r="BD52" i="9"/>
  <c r="BC52" i="9"/>
  <c r="BG51" i="9"/>
  <c r="BG33" i="9"/>
  <c r="BF26" i="9"/>
  <c r="BE26" i="9"/>
  <c r="BD26" i="9"/>
  <c r="BC26" i="9"/>
  <c r="BG25" i="9"/>
  <c r="BL26" i="9" s="1"/>
  <c r="BG17" i="9"/>
  <c r="BD16" i="9"/>
  <c r="BD10" i="9"/>
  <c r="BC10" i="9"/>
  <c r="BF6" i="9"/>
  <c r="BE6" i="9"/>
  <c r="BD6" i="9"/>
  <c r="BC6" i="9"/>
  <c r="BG5" i="9"/>
  <c r="BL6" i="9" s="1"/>
  <c r="BE54" i="3"/>
  <c r="BG53" i="3"/>
  <c r="BF52" i="3"/>
  <c r="BF54" i="3" s="1"/>
  <c r="BC54" i="3"/>
  <c r="BG51" i="3"/>
  <c r="BG49" i="3"/>
  <c r="BG48" i="3"/>
  <c r="BG47" i="3"/>
  <c r="BG45" i="3"/>
  <c r="BF38" i="3"/>
  <c r="BD38" i="3"/>
  <c r="BC38" i="3"/>
  <c r="BG37" i="3"/>
  <c r="BG36" i="3"/>
  <c r="BG35" i="3"/>
  <c r="BG34" i="3"/>
  <c r="BG33" i="3"/>
  <c r="BG32" i="3"/>
  <c r="BG31" i="3"/>
  <c r="BG30" i="3"/>
  <c r="BG15" i="3"/>
  <c r="BG14" i="3"/>
  <c r="BG13" i="3"/>
  <c r="BG11" i="3"/>
  <c r="BD10" i="3"/>
  <c r="BD9" i="3" s="1"/>
  <c r="BD62" i="3" s="1"/>
  <c r="BC10" i="3"/>
  <c r="BC9" i="3" s="1"/>
  <c r="BD34" i="2"/>
  <c r="BE34" i="2" s="1"/>
  <c r="BF34" i="2" s="1"/>
  <c r="BG34" i="2" s="1"/>
  <c r="BG28" i="2"/>
  <c r="BG18" i="2"/>
  <c r="BG9" i="2"/>
  <c r="BC71" i="1"/>
  <c r="BG70" i="1"/>
  <c r="BG69" i="1"/>
  <c r="BC64" i="1"/>
  <c r="BG60" i="1"/>
  <c r="BG59" i="1"/>
  <c r="BG58" i="1"/>
  <c r="BG50" i="1"/>
  <c r="BG30" i="1"/>
  <c r="BD23" i="9"/>
  <c r="BD35" i="9" s="1"/>
  <c r="BC67" i="9"/>
  <c r="BD67" i="9"/>
  <c r="AW50" i="1"/>
  <c r="BC21" i="1"/>
  <c r="F18" i="18"/>
  <c r="AY16" i="8"/>
  <c r="AX16" i="8"/>
  <c r="AU79" i="1"/>
  <c r="AV79" i="1"/>
  <c r="AV46" i="1"/>
  <c r="AV63" i="1"/>
  <c r="AV60" i="1"/>
  <c r="AV14" i="1"/>
  <c r="AV66" i="9" s="1"/>
  <c r="AV71" i="9" s="1"/>
  <c r="AW59" i="1"/>
  <c r="AV37" i="1"/>
  <c r="AV35" i="1"/>
  <c r="AV29" i="1"/>
  <c r="AS100" i="1"/>
  <c r="AS101" i="1" s="1"/>
  <c r="AQ100" i="1"/>
  <c r="AQ101" i="1" s="1"/>
  <c r="AT17" i="8"/>
  <c r="AY19" i="8" s="1"/>
  <c r="AX52" i="8"/>
  <c r="AT54" i="8"/>
  <c r="AV54" i="8" s="1"/>
  <c r="AW54" i="8" s="1"/>
  <c r="AX36" i="8"/>
  <c r="BC38" i="8" s="1"/>
  <c r="AG35" i="8"/>
  <c r="AH35" i="8"/>
  <c r="AI35" i="8"/>
  <c r="AL35" i="8"/>
  <c r="AM35" i="8"/>
  <c r="AN35" i="8"/>
  <c r="AQ35" i="8"/>
  <c r="AR35" i="8"/>
  <c r="AS35" i="8"/>
  <c r="AX43" i="8"/>
  <c r="AT40" i="8"/>
  <c r="AU14" i="1"/>
  <c r="AU66" i="9" s="1"/>
  <c r="AU71" i="9" s="1"/>
  <c r="AT14" i="1"/>
  <c r="AT15" i="1" s="1"/>
  <c r="AS14" i="1"/>
  <c r="AQ14" i="1"/>
  <c r="AR14" i="1" s="1"/>
  <c r="AX32" i="8"/>
  <c r="BC34" i="8" s="1"/>
  <c r="AW32" i="8"/>
  <c r="BB34" i="8" s="1"/>
  <c r="AV32" i="8"/>
  <c r="AT29" i="8"/>
  <c r="AR32" i="8"/>
  <c r="AS32" i="8"/>
  <c r="AQ32" i="8"/>
  <c r="AM32" i="8"/>
  <c r="AN32" i="8"/>
  <c r="AO32" i="8"/>
  <c r="AL32" i="8"/>
  <c r="AT36" i="8"/>
  <c r="AT38" i="8" s="1"/>
  <c r="AS28" i="8"/>
  <c r="AR28" i="8"/>
  <c r="AW35" i="8"/>
  <c r="AJ20" i="8"/>
  <c r="AE20" i="8"/>
  <c r="Z20" i="8"/>
  <c r="Z24" i="8"/>
  <c r="AJ35" i="8"/>
  <c r="AO35" i="8"/>
  <c r="AE35" i="8"/>
  <c r="Z35" i="8"/>
  <c r="AO28" i="8"/>
  <c r="AJ28" i="8"/>
  <c r="AE28" i="8"/>
  <c r="Z28" i="8"/>
  <c r="AX21" i="8"/>
  <c r="BC23" i="8" s="1"/>
  <c r="AY30" i="8"/>
  <c r="AV97" i="9"/>
  <c r="AU82" i="9"/>
  <c r="AT97" i="9"/>
  <c r="AU97" i="9"/>
  <c r="AU50" i="9"/>
  <c r="AT50" i="9"/>
  <c r="AU89" i="9"/>
  <c r="AT82" i="9"/>
  <c r="AU73" i="9"/>
  <c r="AU54" i="9"/>
  <c r="AU15" i="9"/>
  <c r="AU16" i="9" s="1"/>
  <c r="AU7" i="9"/>
  <c r="AU4" i="9" s="1"/>
  <c r="AU31" i="9"/>
  <c r="AU29" i="9"/>
  <c r="AX30" i="8"/>
  <c r="AX31" i="8"/>
  <c r="AU8" i="3"/>
  <c r="AW8" i="3" s="1"/>
  <c r="AU20" i="3"/>
  <c r="AW20" i="3" s="1"/>
  <c r="AX18" i="8"/>
  <c r="AX19" i="8"/>
  <c r="AU63" i="1"/>
  <c r="AU60" i="1"/>
  <c r="AU46" i="1"/>
  <c r="AU32" i="1"/>
  <c r="AU21" i="1"/>
  <c r="AU22" i="1"/>
  <c r="AU18" i="1"/>
  <c r="AU19" i="1"/>
  <c r="AU12" i="1"/>
  <c r="AU13" i="1"/>
  <c r="AU9" i="1"/>
  <c r="AU10" i="1"/>
  <c r="AU6" i="1"/>
  <c r="AU7" i="1"/>
  <c r="AU37" i="1"/>
  <c r="AU35" i="1"/>
  <c r="AU29" i="1"/>
  <c r="D6" i="9"/>
  <c r="D8" i="9"/>
  <c r="D10" i="9"/>
  <c r="D14" i="9"/>
  <c r="D16" i="9"/>
  <c r="E6" i="9"/>
  <c r="F6" i="9"/>
  <c r="G6" i="9"/>
  <c r="H6" i="9"/>
  <c r="E8" i="9"/>
  <c r="F8" i="9"/>
  <c r="G8" i="9"/>
  <c r="H8" i="9"/>
  <c r="E10" i="9"/>
  <c r="F10" i="9"/>
  <c r="G10" i="9"/>
  <c r="H10" i="9"/>
  <c r="E14" i="9"/>
  <c r="F14" i="9"/>
  <c r="G14" i="9"/>
  <c r="H14" i="9"/>
  <c r="E16" i="9"/>
  <c r="F16" i="9"/>
  <c r="G16" i="9"/>
  <c r="H16" i="9"/>
  <c r="I6" i="9"/>
  <c r="I8" i="9"/>
  <c r="I10" i="9"/>
  <c r="I14" i="9"/>
  <c r="I16" i="9"/>
  <c r="J14" i="9"/>
  <c r="K14" i="9"/>
  <c r="L14" i="9"/>
  <c r="M14" i="9"/>
  <c r="J16" i="9"/>
  <c r="K16" i="9"/>
  <c r="L16" i="9"/>
  <c r="M16" i="9"/>
  <c r="N14" i="9"/>
  <c r="N16" i="9"/>
  <c r="D24" i="9"/>
  <c r="E24" i="9"/>
  <c r="F24" i="9"/>
  <c r="G24" i="9"/>
  <c r="H24" i="9"/>
  <c r="D26" i="9"/>
  <c r="E26" i="9"/>
  <c r="F26" i="9"/>
  <c r="G26" i="9"/>
  <c r="H26" i="9"/>
  <c r="D30" i="9"/>
  <c r="E30" i="9"/>
  <c r="F30" i="9"/>
  <c r="G30" i="9"/>
  <c r="H30" i="9"/>
  <c r="D32" i="9"/>
  <c r="E32" i="9"/>
  <c r="F32" i="9"/>
  <c r="G32" i="9"/>
  <c r="H32" i="9"/>
  <c r="I24" i="9"/>
  <c r="I26" i="9"/>
  <c r="I30" i="9"/>
  <c r="I32" i="9"/>
  <c r="AS54" i="9"/>
  <c r="AT54" i="9"/>
  <c r="D123" i="1"/>
  <c r="D126" i="1" s="1"/>
  <c r="D127" i="1" s="1"/>
  <c r="D131" i="1"/>
  <c r="AT89" i="9"/>
  <c r="AT73" i="9"/>
  <c r="AY74" i="9" s="1"/>
  <c r="AT29" i="9"/>
  <c r="AY36" i="9" s="1"/>
  <c r="AT7" i="9"/>
  <c r="AS29" i="9"/>
  <c r="AX36" i="9" s="1"/>
  <c r="AW40" i="8"/>
  <c r="BB42" i="8" s="1"/>
  <c r="AW37" i="8"/>
  <c r="AW38" i="8"/>
  <c r="AW30" i="8"/>
  <c r="AW31" i="8"/>
  <c r="AW25" i="8"/>
  <c r="BB27" i="8" s="1"/>
  <c r="AT24" i="3"/>
  <c r="AT139" i="1" s="1"/>
  <c r="AT21" i="3"/>
  <c r="AU21" i="3" s="1"/>
  <c r="AT18" i="3"/>
  <c r="AU18" i="3" s="1"/>
  <c r="AW22" i="8"/>
  <c r="AW18" i="8"/>
  <c r="AW19" i="8"/>
  <c r="AT10" i="3"/>
  <c r="AT9" i="3" s="1"/>
  <c r="AT62" i="3" s="1"/>
  <c r="AT79" i="1"/>
  <c r="AT63" i="1"/>
  <c r="AT60" i="1"/>
  <c r="AT46" i="1"/>
  <c r="AT32" i="1"/>
  <c r="AT38" i="1" s="1"/>
  <c r="AQ60" i="1"/>
  <c r="AT37" i="1"/>
  <c r="AT35" i="1"/>
  <c r="AT29" i="1"/>
  <c r="AT21" i="1"/>
  <c r="AT18" i="1"/>
  <c r="AT12" i="1"/>
  <c r="AT9" i="1"/>
  <c r="AT6" i="1"/>
  <c r="AE51" i="2"/>
  <c r="AF51" i="2"/>
  <c r="AG51" i="2"/>
  <c r="AI51" i="2"/>
  <c r="AJ51" i="2"/>
  <c r="AK51" i="2"/>
  <c r="AL51" i="2"/>
  <c r="AN51" i="2"/>
  <c r="AO51" i="2"/>
  <c r="AP51" i="2"/>
  <c r="AQ51" i="2"/>
  <c r="AS51" i="2"/>
  <c r="AD51" i="2"/>
  <c r="AD139" i="1" s="1"/>
  <c r="AX10" i="3"/>
  <c r="AX9" i="3" s="1"/>
  <c r="BB53" i="3"/>
  <c r="AZ54" i="3"/>
  <c r="AY54" i="3"/>
  <c r="AX54" i="3"/>
  <c r="BB51" i="3"/>
  <c r="BB49" i="3"/>
  <c r="BB48" i="3"/>
  <c r="BB47" i="3"/>
  <c r="BB45" i="3"/>
  <c r="BA38" i="3"/>
  <c r="AZ38" i="3"/>
  <c r="AY38" i="3"/>
  <c r="AX38" i="3"/>
  <c r="BB37" i="3"/>
  <c r="BB36" i="3"/>
  <c r="BB35" i="3"/>
  <c r="BB34" i="3"/>
  <c r="BB33" i="3"/>
  <c r="BB32" i="3"/>
  <c r="BB31" i="3"/>
  <c r="BB30" i="3"/>
  <c r="BB15" i="3"/>
  <c r="BB14" i="3"/>
  <c r="BB13" i="3"/>
  <c r="BB11" i="3"/>
  <c r="BA10" i="3"/>
  <c r="BA9" i="3" s="1"/>
  <c r="BA62" i="3" s="1"/>
  <c r="AZ10" i="3"/>
  <c r="AZ9" i="3" s="1"/>
  <c r="AY10" i="3"/>
  <c r="AY9" i="3" s="1"/>
  <c r="AW21" i="2"/>
  <c r="BB21" i="2"/>
  <c r="BG21" i="2" s="1"/>
  <c r="BL21" i="2" s="1"/>
  <c r="AY34" i="2"/>
  <c r="AZ34" i="2" s="1"/>
  <c r="BA34" i="2" s="1"/>
  <c r="BB34" i="2" s="1"/>
  <c r="BB28" i="2"/>
  <c r="BB18" i="2"/>
  <c r="BB9" i="2"/>
  <c r="BB98" i="9"/>
  <c r="BA97" i="9"/>
  <c r="AZ97" i="9"/>
  <c r="AY97" i="9"/>
  <c r="AX97" i="9"/>
  <c r="BA91" i="9"/>
  <c r="BB77" i="9"/>
  <c r="BA75" i="9"/>
  <c r="AZ75" i="9"/>
  <c r="AY75" i="9"/>
  <c r="AX75" i="9"/>
  <c r="BE67" i="9"/>
  <c r="AZ70" i="9"/>
  <c r="AX70" i="9"/>
  <c r="BB69" i="9"/>
  <c r="BB70" i="9" s="1"/>
  <c r="BB61" i="9"/>
  <c r="BA57" i="9"/>
  <c r="AZ57" i="9"/>
  <c r="AZ58" i="9" s="1"/>
  <c r="AY57" i="9"/>
  <c r="AX57" i="9"/>
  <c r="AX58" i="9" s="1"/>
  <c r="AZ50" i="9"/>
  <c r="AZ52" i="9"/>
  <c r="AY52" i="9"/>
  <c r="AX52" i="9"/>
  <c r="BB51" i="9"/>
  <c r="BB33" i="9"/>
  <c r="BA31" i="9"/>
  <c r="AZ31" i="9"/>
  <c r="AZ27" i="9" s="1"/>
  <c r="AY31" i="9"/>
  <c r="AY27" i="9" s="1"/>
  <c r="AX31" i="9"/>
  <c r="AZ26" i="9"/>
  <c r="AY26" i="9"/>
  <c r="AX26" i="9"/>
  <c r="BB25" i="9"/>
  <c r="BB17" i="9"/>
  <c r="BA15" i="9"/>
  <c r="AZ15" i="9"/>
  <c r="AZ16" i="9" s="1"/>
  <c r="AY15" i="9"/>
  <c r="AY16" i="9" s="1"/>
  <c r="AX15" i="9"/>
  <c r="AX16" i="9" s="1"/>
  <c r="AZ10" i="9"/>
  <c r="AY10" i="9"/>
  <c r="AX10" i="9"/>
  <c r="BB9" i="9"/>
  <c r="BA6" i="9"/>
  <c r="AZ6" i="9"/>
  <c r="AY6" i="9"/>
  <c r="AX6" i="9"/>
  <c r="BB5" i="9"/>
  <c r="BA71" i="1"/>
  <c r="AZ71" i="1"/>
  <c r="AY71" i="1"/>
  <c r="AX71" i="1"/>
  <c r="BB70" i="1"/>
  <c r="BB69" i="1"/>
  <c r="BA64" i="1"/>
  <c r="AZ64" i="1"/>
  <c r="AY64" i="1"/>
  <c r="BB59" i="1"/>
  <c r="BB58" i="1"/>
  <c r="BB50" i="1"/>
  <c r="BB30" i="1"/>
  <c r="AS10" i="3"/>
  <c r="AS9" i="3" s="1"/>
  <c r="AS62" i="3" s="1"/>
  <c r="AQ10" i="3"/>
  <c r="AQ9" i="3" s="1"/>
  <c r="AQ62" i="3" s="1"/>
  <c r="AP10" i="3"/>
  <c r="AO10" i="3"/>
  <c r="AN10" i="3"/>
  <c r="AN9" i="3" s="1"/>
  <c r="AN62" i="3" s="1"/>
  <c r="AS22" i="3"/>
  <c r="AS97" i="9"/>
  <c r="AS82" i="9"/>
  <c r="AX87" i="9" s="1"/>
  <c r="AN82" i="9"/>
  <c r="AS50" i="9"/>
  <c r="AS89" i="9"/>
  <c r="AS73" i="9"/>
  <c r="AS7" i="9"/>
  <c r="AS13" i="9" s="1"/>
  <c r="AN7" i="9"/>
  <c r="AN13" i="9" s="1"/>
  <c r="H27" i="12"/>
  <c r="AS60" i="1"/>
  <c r="AS79" i="1"/>
  <c r="AS63" i="1"/>
  <c r="AS46" i="1"/>
  <c r="AS32" i="1"/>
  <c r="AV25" i="8"/>
  <c r="AV38" i="8"/>
  <c r="AV31" i="8"/>
  <c r="AV19" i="8"/>
  <c r="AA22" i="9"/>
  <c r="AP89" i="9"/>
  <c r="AP22" i="9"/>
  <c r="AS37" i="1"/>
  <c r="AS35" i="1"/>
  <c r="AS29" i="1"/>
  <c r="O122" i="1"/>
  <c r="P122" i="1"/>
  <c r="Q122" i="1"/>
  <c r="R122" i="1"/>
  <c r="T122" i="1"/>
  <c r="U122" i="1"/>
  <c r="V122" i="1"/>
  <c r="W122" i="1"/>
  <c r="Y122" i="1"/>
  <c r="Z122" i="1"/>
  <c r="AA122" i="1"/>
  <c r="AB122" i="1"/>
  <c r="AD122" i="1"/>
  <c r="AE122" i="1"/>
  <c r="AF122" i="1"/>
  <c r="AG122" i="1"/>
  <c r="AI122" i="1"/>
  <c r="AJ122" i="1"/>
  <c r="AK122" i="1"/>
  <c r="AL122" i="1"/>
  <c r="AN122" i="1"/>
  <c r="AO122" i="1"/>
  <c r="AP122" i="1"/>
  <c r="F122" i="1"/>
  <c r="G122" i="1"/>
  <c r="E122" i="1"/>
  <c r="K122" i="1"/>
  <c r="L122" i="1"/>
  <c r="J122" i="1"/>
  <c r="R131" i="1"/>
  <c r="AJ71" i="1"/>
  <c r="AQ82" i="9"/>
  <c r="AR77" i="9"/>
  <c r="AR61" i="9"/>
  <c r="AP73" i="9"/>
  <c r="AQ69" i="9"/>
  <c r="AQ75" i="9" s="1"/>
  <c r="AQ67" i="9"/>
  <c r="AQ73" i="9" s="1"/>
  <c r="AQ53" i="9"/>
  <c r="AP54" i="9"/>
  <c r="AQ51" i="9"/>
  <c r="AQ57" i="9" s="1"/>
  <c r="AQ23" i="9"/>
  <c r="AO4" i="9"/>
  <c r="AP4" i="9"/>
  <c r="AU18" i="9" s="1"/>
  <c r="AQ4" i="9"/>
  <c r="AO22" i="9"/>
  <c r="AQ22" i="9"/>
  <c r="AO50" i="9"/>
  <c r="AP50" i="9"/>
  <c r="AQ50" i="9"/>
  <c r="AQ89" i="9"/>
  <c r="AO66" i="9"/>
  <c r="AO71" i="9" s="1"/>
  <c r="AQ25" i="9"/>
  <c r="AQ31" i="9" s="1"/>
  <c r="AQ9" i="9"/>
  <c r="AP29" i="9"/>
  <c r="AU36" i="9" s="1"/>
  <c r="AT34" i="2"/>
  <c r="AW10" i="2"/>
  <c r="BB10" i="2"/>
  <c r="BG10" i="2" s="1"/>
  <c r="BI10" i="2" s="1"/>
  <c r="BL10" i="2" s="1"/>
  <c r="BQ10" i="2" s="1"/>
  <c r="BV10" i="2" s="1"/>
  <c r="CA10" i="2" s="1"/>
  <c r="CB10" i="2" s="1"/>
  <c r="CC10" i="2" s="1"/>
  <c r="CD10" i="2" s="1"/>
  <c r="CE10" i="2" s="1"/>
  <c r="CF10" i="2" s="1"/>
  <c r="CG10" i="2" s="1"/>
  <c r="AR10" i="2"/>
  <c r="AS52" i="3"/>
  <c r="AS52" i="9"/>
  <c r="AT52" i="9"/>
  <c r="AU52" i="9"/>
  <c r="AW35" i="2"/>
  <c r="AQ46" i="1"/>
  <c r="AQ32" i="1"/>
  <c r="AQ38" i="1" s="1"/>
  <c r="AQ63" i="1"/>
  <c r="AR63" i="1" s="1"/>
  <c r="AT61" i="8"/>
  <c r="AT62" i="8" s="1"/>
  <c r="AR15" i="3"/>
  <c r="AR17" i="3"/>
  <c r="AR34" i="2"/>
  <c r="AR35" i="2"/>
  <c r="AR36" i="2"/>
  <c r="AR21" i="2"/>
  <c r="AQ79" i="1"/>
  <c r="AQ37" i="1"/>
  <c r="AQ35" i="1"/>
  <c r="AQ29" i="1"/>
  <c r="AT15" i="9"/>
  <c r="AS15" i="9"/>
  <c r="AS16" i="9" s="1"/>
  <c r="AO55" i="8"/>
  <c r="AQ55" i="8"/>
  <c r="AR55" i="8"/>
  <c r="AS55" i="8"/>
  <c r="Z16" i="8"/>
  <c r="AA16" i="8" s="1"/>
  <c r="AE16" i="8"/>
  <c r="AJ16" i="8"/>
  <c r="N18" i="18"/>
  <c r="J20" i="18"/>
  <c r="E20" i="18"/>
  <c r="I20" i="18"/>
  <c r="R18" i="18"/>
  <c r="V20" i="18"/>
  <c r="W20" i="18" s="1"/>
  <c r="W18" i="18"/>
  <c r="G20" i="18"/>
  <c r="H20" i="18" s="1"/>
  <c r="K20" i="18"/>
  <c r="O20" i="18"/>
  <c r="S20" i="18"/>
  <c r="AP82" i="9"/>
  <c r="AP57" i="9"/>
  <c r="AP7" i="9"/>
  <c r="AP13" i="9" s="1"/>
  <c r="AS31" i="8"/>
  <c r="AS34" i="8" s="1"/>
  <c r="AS30" i="8"/>
  <c r="AS33" i="8" s="1"/>
  <c r="AS38" i="8"/>
  <c r="AS37" i="8"/>
  <c r="AS19" i="8"/>
  <c r="AS18" i="8"/>
  <c r="AO24" i="3"/>
  <c r="AP24" i="3" s="1"/>
  <c r="AP37" i="1"/>
  <c r="AP35" i="1"/>
  <c r="AP29" i="1"/>
  <c r="AP14" i="3"/>
  <c r="AP12" i="3"/>
  <c r="AP8" i="3"/>
  <c r="AK54" i="3"/>
  <c r="AR19" i="2"/>
  <c r="AP79" i="1"/>
  <c r="AP60" i="1"/>
  <c r="AP64" i="1" s="1"/>
  <c r="AP46" i="1"/>
  <c r="AP52" i="1" s="1"/>
  <c r="AP32" i="1"/>
  <c r="AP33" i="1" s="1"/>
  <c r="AO98" i="1"/>
  <c r="AR37" i="8"/>
  <c r="AR30" i="8"/>
  <c r="AR33" i="8" s="1"/>
  <c r="AR18" i="8"/>
  <c r="AO18" i="8"/>
  <c r="AR63" i="8"/>
  <c r="AR38" i="8"/>
  <c r="AR31" i="8"/>
  <c r="AR34" i="8" s="1"/>
  <c r="AR19" i="8"/>
  <c r="AO46" i="1"/>
  <c r="AO52" i="1" s="1"/>
  <c r="AO89" i="9"/>
  <c r="AO82" i="9"/>
  <c r="AO73" i="9"/>
  <c r="AO57" i="9"/>
  <c r="AO58" i="9" s="1"/>
  <c r="AO54" i="9"/>
  <c r="AO31" i="9"/>
  <c r="AO29" i="9"/>
  <c r="AT36" i="9" s="1"/>
  <c r="AO7" i="9"/>
  <c r="AO21" i="3"/>
  <c r="AP21" i="3" s="1"/>
  <c r="AQ21" i="3" s="1"/>
  <c r="AO52" i="3"/>
  <c r="AR52" i="3" s="1"/>
  <c r="AO49" i="3"/>
  <c r="AO48" i="3"/>
  <c r="AR48" i="3" s="1"/>
  <c r="AO33" i="3"/>
  <c r="AR33" i="3" s="1"/>
  <c r="AO32" i="3"/>
  <c r="AR32" i="3" s="1"/>
  <c r="AO20" i="3"/>
  <c r="AO18" i="3"/>
  <c r="AO14" i="3"/>
  <c r="AO8" i="3"/>
  <c r="AO12" i="3"/>
  <c r="AO29" i="1"/>
  <c r="AO35" i="1"/>
  <c r="AO37" i="1"/>
  <c r="AO32" i="1"/>
  <c r="AO38" i="1" s="1"/>
  <c r="AO79" i="1"/>
  <c r="AO60" i="1"/>
  <c r="AO64" i="1" s="1"/>
  <c r="AN22" i="9"/>
  <c r="AN4" i="9"/>
  <c r="AI46" i="1"/>
  <c r="AI52" i="1" s="1"/>
  <c r="C69" i="7"/>
  <c r="C68" i="7"/>
  <c r="C67" i="7"/>
  <c r="AN22" i="3"/>
  <c r="AO22" i="3" s="1"/>
  <c r="AP22" i="3" s="1"/>
  <c r="AQ22" i="3" s="1"/>
  <c r="AM22" i="3"/>
  <c r="AJ24" i="3"/>
  <c r="AK24" i="3" s="1"/>
  <c r="AL24" i="3" s="1"/>
  <c r="AJ21" i="3"/>
  <c r="AK21" i="3" s="1"/>
  <c r="AL21" i="3" s="1"/>
  <c r="AJ20" i="3"/>
  <c r="AK20" i="3" s="1"/>
  <c r="AL20" i="3" s="1"/>
  <c r="AJ18" i="3"/>
  <c r="AK18" i="3" s="1"/>
  <c r="AL18" i="3" s="1"/>
  <c r="AI22" i="3"/>
  <c r="AJ22" i="3" s="1"/>
  <c r="AK22" i="3" s="1"/>
  <c r="AU54" i="3"/>
  <c r="AT54" i="3"/>
  <c r="AW53" i="3"/>
  <c r="AW51" i="3"/>
  <c r="AW49" i="3"/>
  <c r="AW48" i="3"/>
  <c r="AW47" i="3"/>
  <c r="AW45" i="3"/>
  <c r="AV38" i="3"/>
  <c r="AU38" i="3"/>
  <c r="AT38" i="3"/>
  <c r="AS38" i="3"/>
  <c r="AW37" i="3"/>
  <c r="AW36" i="3"/>
  <c r="AW35" i="3"/>
  <c r="AW34" i="3"/>
  <c r="AW33" i="3"/>
  <c r="AW32" i="3"/>
  <c r="AW31" i="3"/>
  <c r="AW30" i="3"/>
  <c r="AW15" i="3"/>
  <c r="AW13" i="3"/>
  <c r="AW12" i="3"/>
  <c r="AW11" i="3"/>
  <c r="AV10" i="3"/>
  <c r="AV9" i="3" s="1"/>
  <c r="AV62" i="3" s="1"/>
  <c r="AU10" i="3"/>
  <c r="AW28" i="2"/>
  <c r="AW18" i="2"/>
  <c r="AW9" i="2"/>
  <c r="AN98" i="1"/>
  <c r="AS21" i="1"/>
  <c r="AW111" i="1"/>
  <c r="AV110" i="1"/>
  <c r="AU110" i="1"/>
  <c r="AT110" i="1"/>
  <c r="AS110" i="1"/>
  <c r="AV71" i="1"/>
  <c r="AU71" i="1"/>
  <c r="AT71" i="1"/>
  <c r="AS71" i="1"/>
  <c r="AW70" i="1"/>
  <c r="AW69" i="1"/>
  <c r="AW58" i="1"/>
  <c r="AW30" i="1"/>
  <c r="AU57" i="9"/>
  <c r="AU58" i="9" s="1"/>
  <c r="AT57" i="9"/>
  <c r="AT58" i="9" s="1"/>
  <c r="AS57" i="9"/>
  <c r="AS24" i="9"/>
  <c r="AW112" i="9"/>
  <c r="AV112" i="9"/>
  <c r="AU112" i="9"/>
  <c r="AT112" i="9"/>
  <c r="AS112" i="9"/>
  <c r="AW108" i="9"/>
  <c r="AV108" i="9"/>
  <c r="AU108" i="9"/>
  <c r="AT108" i="9"/>
  <c r="AS108" i="9"/>
  <c r="AW98" i="9"/>
  <c r="AW77" i="9"/>
  <c r="AU75" i="9"/>
  <c r="AT75" i="9"/>
  <c r="AS75" i="9"/>
  <c r="AU70" i="9"/>
  <c r="AT70" i="9"/>
  <c r="AS70" i="9"/>
  <c r="AW61" i="9"/>
  <c r="AW33" i="9"/>
  <c r="AT31" i="9"/>
  <c r="AS31" i="9"/>
  <c r="AU26" i="9"/>
  <c r="AT26" i="9"/>
  <c r="AS26" i="9"/>
  <c r="AW17" i="9"/>
  <c r="AU10" i="9"/>
  <c r="AT10" i="9"/>
  <c r="AS10" i="9"/>
  <c r="AW10" i="9"/>
  <c r="AU6" i="9"/>
  <c r="AT6" i="9"/>
  <c r="AS6" i="9"/>
  <c r="AW5" i="9"/>
  <c r="AN37" i="1"/>
  <c r="AN35" i="1"/>
  <c r="AN29" i="1"/>
  <c r="AU59" i="9"/>
  <c r="AT59" i="9"/>
  <c r="AT22" i="1"/>
  <c r="AS22" i="9"/>
  <c r="AX38" i="9" s="1"/>
  <c r="AS6" i="1"/>
  <c r="AV22" i="1"/>
  <c r="AT68" i="9"/>
  <c r="AN75" i="9"/>
  <c r="AN73" i="9"/>
  <c r="AN59" i="9"/>
  <c r="AN57" i="9"/>
  <c r="AP31" i="9"/>
  <c r="AN31" i="9"/>
  <c r="AN29" i="9"/>
  <c r="AS36" i="9" s="1"/>
  <c r="AN89" i="9"/>
  <c r="AN66" i="9"/>
  <c r="AN50" i="9"/>
  <c r="AN15" i="9"/>
  <c r="AR112" i="9"/>
  <c r="AP112" i="9"/>
  <c r="AO112" i="9"/>
  <c r="AN112" i="9"/>
  <c r="AQ112" i="9"/>
  <c r="AR108" i="9"/>
  <c r="AP108" i="9"/>
  <c r="AO108" i="9"/>
  <c r="AN108" i="9"/>
  <c r="AQ108" i="9"/>
  <c r="AL89" i="9"/>
  <c r="AL82" i="9"/>
  <c r="AL50" i="9"/>
  <c r="AK50" i="9"/>
  <c r="AL22" i="9"/>
  <c r="AK22" i="9"/>
  <c r="AK66" i="9"/>
  <c r="AJ7" i="9"/>
  <c r="AL4" i="9"/>
  <c r="AM7" i="9"/>
  <c r="AL111" i="9"/>
  <c r="AL110" i="9"/>
  <c r="AL107" i="9"/>
  <c r="AL106" i="9"/>
  <c r="AQ38" i="8"/>
  <c r="AQ37" i="8"/>
  <c r="AQ31" i="8"/>
  <c r="AQ34" i="8" s="1"/>
  <c r="AQ30" i="8"/>
  <c r="AQ33" i="8" s="1"/>
  <c r="AW95" i="1"/>
  <c r="AW38" i="2"/>
  <c r="BB38" i="2"/>
  <c r="BG38" i="2" s="1"/>
  <c r="BL38" i="2" s="1"/>
  <c r="BQ38" i="2" s="1"/>
  <c r="BV38" i="2" s="1"/>
  <c r="CA38" i="2" s="1"/>
  <c r="CF38" i="2" s="1"/>
  <c r="CK38" i="2" s="1"/>
  <c r="CP38" i="2" s="1"/>
  <c r="CQ38" i="2" s="1"/>
  <c r="CR38" i="2" s="1"/>
  <c r="CS38" i="2" s="1"/>
  <c r="CT38" i="2" s="1"/>
  <c r="CU38" i="2" s="1"/>
  <c r="AS9" i="1"/>
  <c r="AT22" i="9"/>
  <c r="AT24" i="9"/>
  <c r="K65" i="7"/>
  <c r="J65" i="7"/>
  <c r="I62" i="7"/>
  <c r="AT10" i="1"/>
  <c r="AQ19" i="8"/>
  <c r="AQ18" i="8"/>
  <c r="AP61" i="8"/>
  <c r="AR62" i="8" s="1"/>
  <c r="AO63" i="8"/>
  <c r="AO62" i="8"/>
  <c r="AN63" i="8"/>
  <c r="AN62" i="8"/>
  <c r="AQ63" i="8"/>
  <c r="AQ62" i="8"/>
  <c r="AN79" i="1"/>
  <c r="AN60" i="1"/>
  <c r="AN64" i="1" s="1"/>
  <c r="AN46" i="1"/>
  <c r="AN32" i="1"/>
  <c r="AN33" i="1" s="1"/>
  <c r="AN23" i="1"/>
  <c r="AN138" i="1" s="1"/>
  <c r="AN71" i="1"/>
  <c r="AO38" i="8"/>
  <c r="AO37" i="8"/>
  <c r="AM17" i="3"/>
  <c r="AL37" i="1"/>
  <c r="AL35" i="1"/>
  <c r="AL29" i="1"/>
  <c r="AL79" i="1"/>
  <c r="AL60" i="1"/>
  <c r="AL64" i="1" s="1"/>
  <c r="AK60" i="1"/>
  <c r="AL32" i="1"/>
  <c r="AL46" i="1"/>
  <c r="AN108" i="8"/>
  <c r="AO19" i="8"/>
  <c r="AO114" i="8"/>
  <c r="AM114" i="8"/>
  <c r="AJ114" i="8"/>
  <c r="W116" i="8"/>
  <c r="AO109" i="8"/>
  <c r="AO21" i="8"/>
  <c r="AO20" i="8" s="1"/>
  <c r="AL125" i="8"/>
  <c r="AJ125" i="8"/>
  <c r="AI125" i="8"/>
  <c r="AH125" i="8"/>
  <c r="AG125" i="8"/>
  <c r="AE125" i="8"/>
  <c r="AD125" i="8"/>
  <c r="AC125" i="8"/>
  <c r="AB125" i="8"/>
  <c r="AC124" i="8"/>
  <c r="AB124" i="8"/>
  <c r="Z125" i="8"/>
  <c r="Y125" i="8"/>
  <c r="X125" i="8"/>
  <c r="Z124" i="8"/>
  <c r="Y124" i="8"/>
  <c r="X124" i="8"/>
  <c r="W125" i="8"/>
  <c r="W124" i="8"/>
  <c r="AJ121" i="8"/>
  <c r="AI121" i="8"/>
  <c r="AH121" i="8"/>
  <c r="AG121" i="8"/>
  <c r="AE121" i="8"/>
  <c r="AD121" i="8"/>
  <c r="AC121" i="8"/>
  <c r="AB121" i="8"/>
  <c r="Z121" i="8"/>
  <c r="Y121" i="8"/>
  <c r="X121" i="8"/>
  <c r="AN109" i="8"/>
  <c r="AN116" i="8" s="1"/>
  <c r="AM109" i="8"/>
  <c r="AL109" i="8"/>
  <c r="AL116" i="8" s="1"/>
  <c r="AJ110" i="8"/>
  <c r="AJ117" i="8" s="1"/>
  <c r="AI110" i="8"/>
  <c r="AI117" i="8" s="1"/>
  <c r="AH110" i="8"/>
  <c r="AH117" i="8" s="1"/>
  <c r="AG110" i="8"/>
  <c r="AG117" i="8" s="1"/>
  <c r="AJ109" i="8"/>
  <c r="AI109" i="8"/>
  <c r="AI116" i="8" s="1"/>
  <c r="AH109" i="8"/>
  <c r="AH116" i="8" s="1"/>
  <c r="AG109" i="8"/>
  <c r="AG116" i="8" s="1"/>
  <c r="AE110" i="8"/>
  <c r="AE117" i="8" s="1"/>
  <c r="AD110" i="8"/>
  <c r="AD117" i="8" s="1"/>
  <c r="AC110" i="8"/>
  <c r="AC117" i="8" s="1"/>
  <c r="AE109" i="8"/>
  <c r="AD109" i="8"/>
  <c r="AD116" i="8" s="1"/>
  <c r="AC109" i="8"/>
  <c r="AC116" i="8" s="1"/>
  <c r="AB110" i="8"/>
  <c r="AB109" i="8"/>
  <c r="AB116" i="8" s="1"/>
  <c r="Z110" i="8"/>
  <c r="Z117" i="8" s="1"/>
  <c r="Y110" i="8"/>
  <c r="Y117" i="8" s="1"/>
  <c r="Z109" i="8"/>
  <c r="Y109" i="8"/>
  <c r="X109" i="8"/>
  <c r="X116" i="8" s="1"/>
  <c r="X110" i="8"/>
  <c r="X117" i="8" s="1"/>
  <c r="AM38" i="8"/>
  <c r="AM37" i="8"/>
  <c r="AM31" i="8"/>
  <c r="AM34" i="8" s="1"/>
  <c r="AM30" i="8"/>
  <c r="AM33" i="8" s="1"/>
  <c r="AJ38" i="8"/>
  <c r="AJ37" i="8"/>
  <c r="AJ31" i="8"/>
  <c r="AJ30" i="8"/>
  <c r="AK89" i="9"/>
  <c r="AK82" i="9"/>
  <c r="AJ54" i="9"/>
  <c r="AK13" i="9"/>
  <c r="AK7" i="9" s="1"/>
  <c r="AK4" i="9"/>
  <c r="AK5" i="9"/>
  <c r="AP6" i="9" s="1"/>
  <c r="AN38" i="8"/>
  <c r="AN37" i="8"/>
  <c r="AN31" i="8"/>
  <c r="AN34" i="8" s="1"/>
  <c r="AN30" i="8"/>
  <c r="AN33" i="8" s="1"/>
  <c r="AN40" i="8"/>
  <c r="AM40" i="8"/>
  <c r="AL40" i="8"/>
  <c r="AL43" i="8" s="1"/>
  <c r="AJ40" i="8"/>
  <c r="AI40" i="8"/>
  <c r="AH40" i="8"/>
  <c r="AH120" i="8" s="1"/>
  <c r="AG40" i="8"/>
  <c r="AG120" i="8" s="1"/>
  <c r="AE40" i="8"/>
  <c r="AN25" i="8"/>
  <c r="AN22" i="8"/>
  <c r="AN23" i="8"/>
  <c r="AN18" i="8"/>
  <c r="AN19" i="8"/>
  <c r="AK37" i="1"/>
  <c r="AK35" i="1"/>
  <c r="AK29" i="1"/>
  <c r="AK79" i="1"/>
  <c r="AK46" i="1"/>
  <c r="AK52" i="1" s="1"/>
  <c r="AF46" i="1"/>
  <c r="AK32" i="1"/>
  <c r="AK33" i="1" s="1"/>
  <c r="AO15" i="9"/>
  <c r="AO16" i="9" s="1"/>
  <c r="AP15" i="9"/>
  <c r="AP16" i="9" s="1"/>
  <c r="AJ73" i="9"/>
  <c r="AJ74" i="9" s="1"/>
  <c r="AJ57" i="9"/>
  <c r="AJ31" i="9"/>
  <c r="AJ29" i="9"/>
  <c r="AO36" i="9" s="1"/>
  <c r="AI69" i="9"/>
  <c r="AN70" i="9" s="1"/>
  <c r="AI67" i="9"/>
  <c r="AI53" i="9"/>
  <c r="AI51" i="9"/>
  <c r="AI57" i="9" s="1"/>
  <c r="AI25" i="9"/>
  <c r="AI23" i="9"/>
  <c r="AN24" i="9" s="1"/>
  <c r="AI9" i="9"/>
  <c r="AN10" i="9" s="1"/>
  <c r="AJ5" i="9"/>
  <c r="AJ6" i="9" s="1"/>
  <c r="AI5" i="9"/>
  <c r="AN6" i="9" s="1"/>
  <c r="AJ89" i="9"/>
  <c r="AI89" i="9"/>
  <c r="AJ82" i="9"/>
  <c r="AI82" i="9"/>
  <c r="AJ66" i="9"/>
  <c r="AI66" i="9"/>
  <c r="AJ50" i="9"/>
  <c r="AI50" i="9"/>
  <c r="AJ22" i="9"/>
  <c r="AI22" i="9"/>
  <c r="AJ4" i="9"/>
  <c r="AO18" i="9" s="1"/>
  <c r="AI4" i="9"/>
  <c r="AM112" i="9"/>
  <c r="AK112" i="9"/>
  <c r="AJ112" i="9"/>
  <c r="AI112" i="9"/>
  <c r="AM108" i="9"/>
  <c r="AK108" i="9"/>
  <c r="AJ108" i="9"/>
  <c r="AI108" i="9"/>
  <c r="AM25" i="8"/>
  <c r="AM22" i="8"/>
  <c r="AM23" i="8"/>
  <c r="AM18" i="8"/>
  <c r="AM19" i="8"/>
  <c r="AM63" i="8"/>
  <c r="AM62" i="8"/>
  <c r="AJ52" i="3"/>
  <c r="AM52" i="3" s="1"/>
  <c r="AJ49" i="3"/>
  <c r="AM49" i="3" s="1"/>
  <c r="AJ48" i="3"/>
  <c r="AM48" i="3" s="1"/>
  <c r="AJ37" i="3"/>
  <c r="AJ33" i="3"/>
  <c r="AM33" i="3" s="1"/>
  <c r="AJ14" i="3"/>
  <c r="AM14" i="3" s="1"/>
  <c r="AJ12" i="3"/>
  <c r="AM12" i="3" s="1"/>
  <c r="AJ8" i="3"/>
  <c r="AM8" i="3" s="1"/>
  <c r="AJ6" i="2"/>
  <c r="AJ37" i="1"/>
  <c r="AJ35" i="1"/>
  <c r="AJ29" i="1"/>
  <c r="AJ79" i="1"/>
  <c r="AJ46" i="1"/>
  <c r="AJ32" i="1"/>
  <c r="AL30" i="8"/>
  <c r="AL33" i="8" s="1"/>
  <c r="AL25" i="8"/>
  <c r="AQ27" i="8" s="1"/>
  <c r="AL63" i="8"/>
  <c r="AL62" i="8"/>
  <c r="AJ63" i="8"/>
  <c r="AI63" i="8"/>
  <c r="AI62" i="8"/>
  <c r="AJ62" i="8"/>
  <c r="AH62" i="8"/>
  <c r="AL18" i="8"/>
  <c r="AL38" i="8"/>
  <c r="AL37" i="8"/>
  <c r="AL31" i="8"/>
  <c r="AL34" i="8" s="1"/>
  <c r="AL23" i="8"/>
  <c r="AL22" i="8"/>
  <c r="AL19" i="8"/>
  <c r="AI100" i="1"/>
  <c r="AI101" i="1" s="1"/>
  <c r="AI98" i="1"/>
  <c r="AI79" i="1"/>
  <c r="AI60" i="1"/>
  <c r="AI64" i="1" s="1"/>
  <c r="AI37" i="1"/>
  <c r="AI35" i="1"/>
  <c r="AI32" i="1"/>
  <c r="AI33" i="1" s="1"/>
  <c r="AI29" i="1"/>
  <c r="AB106" i="9"/>
  <c r="AB107" i="9"/>
  <c r="AB110" i="9"/>
  <c r="AB111" i="9"/>
  <c r="AG111" i="9"/>
  <c r="AG110" i="9"/>
  <c r="AG107" i="9"/>
  <c r="AG106" i="9"/>
  <c r="AC112" i="9"/>
  <c r="AH112" i="9"/>
  <c r="AC108" i="9"/>
  <c r="AH108" i="9"/>
  <c r="AF30" i="9"/>
  <c r="AG89" i="9"/>
  <c r="AG66" i="9"/>
  <c r="AG69" i="9"/>
  <c r="AG73" i="9"/>
  <c r="AG67" i="9" s="1"/>
  <c r="AG50" i="9"/>
  <c r="AG53" i="9"/>
  <c r="AG59" i="9" s="1"/>
  <c r="AG57" i="9"/>
  <c r="AG51" i="9" s="1"/>
  <c r="AG22" i="9"/>
  <c r="AF23" i="9"/>
  <c r="AG29" i="9"/>
  <c r="AH13" i="9"/>
  <c r="AG4" i="9"/>
  <c r="AF13" i="9"/>
  <c r="AF7" i="9" s="1"/>
  <c r="AF8" i="9" s="1"/>
  <c r="AF66" i="9"/>
  <c r="AF71" i="9" s="1"/>
  <c r="AE54" i="9"/>
  <c r="AD54" i="9"/>
  <c r="AF50" i="9"/>
  <c r="AF22" i="9"/>
  <c r="AD13" i="9"/>
  <c r="AE13" i="9"/>
  <c r="AE14" i="9" s="1"/>
  <c r="AG82" i="9"/>
  <c r="AF82" i="9"/>
  <c r="AE82" i="9"/>
  <c r="AG52" i="2"/>
  <c r="AF52" i="2"/>
  <c r="AJ25" i="8"/>
  <c r="AJ124" i="8" s="1"/>
  <c r="AK61" i="8"/>
  <c r="AJ19" i="8"/>
  <c r="AJ23" i="8"/>
  <c r="AJ22" i="8"/>
  <c r="AJ18" i="8"/>
  <c r="AG10" i="3"/>
  <c r="AG9" i="3" s="1"/>
  <c r="AG62" i="3" s="1"/>
  <c r="AG100" i="1"/>
  <c r="AG101" i="1" s="1"/>
  <c r="AG79" i="1"/>
  <c r="AG46" i="1"/>
  <c r="AG60" i="1"/>
  <c r="AG64" i="1" s="1"/>
  <c r="AG32" i="1"/>
  <c r="AG71" i="1"/>
  <c r="AG37" i="1"/>
  <c r="AG35" i="1"/>
  <c r="AG29" i="1"/>
  <c r="AR9" i="2"/>
  <c r="AR18" i="2"/>
  <c r="AR28" i="2"/>
  <c r="AR11" i="3"/>
  <c r="AR13" i="3"/>
  <c r="AR30" i="3"/>
  <c r="AR31" i="3"/>
  <c r="AR34" i="3"/>
  <c r="AR35" i="3"/>
  <c r="AR36" i="3"/>
  <c r="AR37" i="3"/>
  <c r="AN38" i="3"/>
  <c r="AP38" i="3"/>
  <c r="AQ38" i="3"/>
  <c r="AR45" i="3"/>
  <c r="AR47" i="3"/>
  <c r="AR51" i="3"/>
  <c r="AR53" i="3"/>
  <c r="AN54" i="3"/>
  <c r="AP54" i="3"/>
  <c r="AQ54" i="3"/>
  <c r="AF98" i="1"/>
  <c r="AF100" i="1"/>
  <c r="AF101" i="1" s="1"/>
  <c r="AF89" i="9"/>
  <c r="AF37" i="1"/>
  <c r="AF35" i="1"/>
  <c r="AF29" i="1"/>
  <c r="AF4" i="9"/>
  <c r="AK18" i="9" s="1"/>
  <c r="AQ6" i="9"/>
  <c r="AR5" i="9"/>
  <c r="AR7" i="9" s="1"/>
  <c r="AR4" i="9" s="1"/>
  <c r="AO10" i="9"/>
  <c r="AP10" i="9"/>
  <c r="AO70" i="9"/>
  <c r="AP70" i="9"/>
  <c r="AO75" i="9"/>
  <c r="AP75" i="9"/>
  <c r="AN97" i="9"/>
  <c r="AO97" i="9"/>
  <c r="AP97" i="9"/>
  <c r="AR98" i="9"/>
  <c r="AO22" i="1"/>
  <c r="AR30" i="1"/>
  <c r="AR50" i="1"/>
  <c r="AR58" i="1"/>
  <c r="AR59" i="1"/>
  <c r="AR69" i="1"/>
  <c r="AR70" i="1"/>
  <c r="AO71" i="1"/>
  <c r="AP71" i="1"/>
  <c r="AQ71" i="1"/>
  <c r="AN110" i="1"/>
  <c r="AO110" i="1"/>
  <c r="AP110" i="1"/>
  <c r="AQ110" i="1"/>
  <c r="AR111" i="1"/>
  <c r="AI31" i="8"/>
  <c r="AI30" i="8"/>
  <c r="AI37" i="8"/>
  <c r="AH37" i="8"/>
  <c r="AI38" i="8"/>
  <c r="AI25" i="8"/>
  <c r="AI124" i="8" s="1"/>
  <c r="AI79" i="8"/>
  <c r="AI23" i="8"/>
  <c r="AI22" i="8"/>
  <c r="AI19" i="8"/>
  <c r="AI18" i="8"/>
  <c r="AF30" i="3"/>
  <c r="AH30" i="3" s="1"/>
  <c r="AF10" i="3"/>
  <c r="AF70" i="1"/>
  <c r="AF71" i="1" s="1"/>
  <c r="AF79" i="1"/>
  <c r="AF60" i="1"/>
  <c r="AF64" i="1" s="1"/>
  <c r="AF32" i="1"/>
  <c r="AH38" i="8"/>
  <c r="AH79" i="8"/>
  <c r="P53" i="2"/>
  <c r="Q53" i="2"/>
  <c r="R53" i="2"/>
  <c r="U53" i="2"/>
  <c r="V53" i="2"/>
  <c r="W53" i="2"/>
  <c r="AE52" i="2"/>
  <c r="AD52" i="2"/>
  <c r="AB52" i="2"/>
  <c r="AB51" i="9"/>
  <c r="AA54" i="9"/>
  <c r="AE30" i="9"/>
  <c r="AD30" i="9"/>
  <c r="AH63" i="8"/>
  <c r="AE14" i="3"/>
  <c r="AE24" i="3"/>
  <c r="AF24" i="3" s="1"/>
  <c r="AG24" i="3" s="1"/>
  <c r="AE21" i="3"/>
  <c r="AE20" i="3"/>
  <c r="AF20" i="3" s="1"/>
  <c r="AE18" i="3"/>
  <c r="AF18" i="3" s="1"/>
  <c r="AG18" i="3" s="1"/>
  <c r="AE37" i="1"/>
  <c r="AE35" i="1"/>
  <c r="AE29" i="1"/>
  <c r="AE89" i="9"/>
  <c r="AE66" i="9"/>
  <c r="AE50" i="9"/>
  <c r="AE22" i="9"/>
  <c r="AE4" i="9"/>
  <c r="AB62" i="8"/>
  <c r="AG63" i="8"/>
  <c r="AE63" i="8"/>
  <c r="AD63" i="8"/>
  <c r="AC63" i="8"/>
  <c r="AB63" i="8"/>
  <c r="AG62" i="8"/>
  <c r="AE62" i="8"/>
  <c r="AD62" i="8"/>
  <c r="AC62" i="8"/>
  <c r="AH31" i="8"/>
  <c r="AH30" i="8"/>
  <c r="AH23" i="8"/>
  <c r="AH22" i="8"/>
  <c r="AG19" i="8"/>
  <c r="AH18" i="8"/>
  <c r="AG18" i="8"/>
  <c r="AH19" i="8"/>
  <c r="AH25" i="8"/>
  <c r="AD22" i="3"/>
  <c r="AE22" i="3" s="1"/>
  <c r="AF22" i="3" s="1"/>
  <c r="AG22" i="3" s="1"/>
  <c r="AE52" i="3"/>
  <c r="AE49" i="3"/>
  <c r="AE48" i="3"/>
  <c r="AF48" i="3" s="1"/>
  <c r="AE37" i="3"/>
  <c r="AF37" i="3" s="1"/>
  <c r="AE33" i="3"/>
  <c r="AF33" i="3" s="1"/>
  <c r="AH33" i="3" s="1"/>
  <c r="Z18" i="3"/>
  <c r="Z12" i="3"/>
  <c r="Z8" i="3"/>
  <c r="AA8" i="3" s="1"/>
  <c r="AC8" i="3" s="1"/>
  <c r="AE30" i="1"/>
  <c r="AH30" i="1" s="1"/>
  <c r="AE100" i="1"/>
  <c r="AE101" i="1" s="1"/>
  <c r="AE98" i="1"/>
  <c r="Z71" i="1"/>
  <c r="AE79" i="1"/>
  <c r="AE46" i="1"/>
  <c r="AE52" i="1" s="1"/>
  <c r="Z46" i="1"/>
  <c r="Z64" i="1"/>
  <c r="AE64" i="1"/>
  <c r="AE32" i="1"/>
  <c r="AE33" i="1" s="1"/>
  <c r="AE10" i="3"/>
  <c r="AD10" i="3"/>
  <c r="AB10" i="3"/>
  <c r="AB9" i="3" s="1"/>
  <c r="AB62" i="3" s="1"/>
  <c r="AA10" i="3"/>
  <c r="Z10" i="3"/>
  <c r="Y10" i="3"/>
  <c r="Y9" i="3" s="1"/>
  <c r="Y62" i="3" s="1"/>
  <c r="W10" i="3"/>
  <c r="V10" i="3"/>
  <c r="U10" i="3"/>
  <c r="T10" i="3"/>
  <c r="T9" i="3" s="1"/>
  <c r="T62" i="3" s="1"/>
  <c r="S10" i="3"/>
  <c r="S9" i="3" s="1"/>
  <c r="R10" i="3"/>
  <c r="Q10" i="3"/>
  <c r="P10" i="3"/>
  <c r="O10" i="3"/>
  <c r="O9" i="3" s="1"/>
  <c r="AL10" i="3"/>
  <c r="AL9" i="3" s="1"/>
  <c r="AL62" i="3" s="1"/>
  <c r="AK10" i="3"/>
  <c r="AK9" i="3" s="1"/>
  <c r="AK62" i="3" s="1"/>
  <c r="AJ10" i="3"/>
  <c r="AI10" i="3"/>
  <c r="AI9" i="3" s="1"/>
  <c r="AI62" i="3" s="1"/>
  <c r="AD4" i="9"/>
  <c r="AI18" i="9" s="1"/>
  <c r="AH9" i="9"/>
  <c r="AM10" i="9" s="1"/>
  <c r="AH5" i="9"/>
  <c r="Y4" i="9"/>
  <c r="AD18" i="9" s="1"/>
  <c r="Y20" i="1"/>
  <c r="Y37" i="1" s="1"/>
  <c r="AC5" i="1"/>
  <c r="Z16" i="9"/>
  <c r="AC5" i="9"/>
  <c r="AD89" i="9"/>
  <c r="AD82" i="9"/>
  <c r="AD66" i="9"/>
  <c r="AD50" i="9"/>
  <c r="AD22" i="9"/>
  <c r="AL6" i="9"/>
  <c r="AG6" i="9"/>
  <c r="AF6" i="9"/>
  <c r="AE6" i="9"/>
  <c r="AD6" i="9"/>
  <c r="AB6" i="9"/>
  <c r="AA6" i="9"/>
  <c r="Z6" i="9"/>
  <c r="Y6" i="9"/>
  <c r="X6" i="9"/>
  <c r="W6" i="9"/>
  <c r="V6" i="9"/>
  <c r="U6" i="9"/>
  <c r="T6" i="9"/>
  <c r="S6" i="9"/>
  <c r="R6" i="9"/>
  <c r="Q6" i="9"/>
  <c r="P6" i="9"/>
  <c r="O6" i="9"/>
  <c r="N6" i="9"/>
  <c r="M6" i="9"/>
  <c r="L6" i="9"/>
  <c r="K6" i="9"/>
  <c r="J6" i="9"/>
  <c r="AG38" i="8"/>
  <c r="AG37" i="8"/>
  <c r="AG31" i="8"/>
  <c r="AG30" i="8"/>
  <c r="AD100" i="1"/>
  <c r="AD101" i="1" s="1"/>
  <c r="AD98" i="1"/>
  <c r="AD29" i="1"/>
  <c r="AD37" i="1"/>
  <c r="AD35" i="1"/>
  <c r="AF112" i="9"/>
  <c r="AE112" i="9"/>
  <c r="AD112" i="9"/>
  <c r="AF108" i="9"/>
  <c r="AE108" i="9"/>
  <c r="AD108" i="9"/>
  <c r="AD15" i="9"/>
  <c r="AD16" i="9" s="1"/>
  <c r="AG25" i="8"/>
  <c r="AG124" i="8" s="1"/>
  <c r="AG23" i="8"/>
  <c r="AG22" i="8"/>
  <c r="AD12" i="3"/>
  <c r="AE12" i="3" s="1"/>
  <c r="AF12" i="3" s="1"/>
  <c r="AD8" i="3"/>
  <c r="AD70" i="1"/>
  <c r="AD79" i="1"/>
  <c r="AD46" i="1"/>
  <c r="AD32" i="1"/>
  <c r="AM58" i="1"/>
  <c r="AM59" i="1"/>
  <c r="AH59" i="1"/>
  <c r="AH58" i="1"/>
  <c r="AB46" i="1"/>
  <c r="AA46" i="1"/>
  <c r="Y46" i="1"/>
  <c r="Y52" i="1" s="1"/>
  <c r="W46" i="1"/>
  <c r="W52" i="1" s="1"/>
  <c r="V46" i="1"/>
  <c r="U46" i="1"/>
  <c r="T46" i="1"/>
  <c r="T131" i="1" s="1"/>
  <c r="AB70" i="1"/>
  <c r="AB79" i="1"/>
  <c r="AB114" i="1" s="1"/>
  <c r="AA79" i="1"/>
  <c r="AA114" i="1" s="1"/>
  <c r="Z79" i="1"/>
  <c r="Z114" i="1" s="1"/>
  <c r="Y79" i="1"/>
  <c r="Y114" i="1" s="1"/>
  <c r="AC60" i="1"/>
  <c r="AC59" i="1"/>
  <c r="AC58" i="1"/>
  <c r="W28" i="1"/>
  <c r="W29" i="1" s="1"/>
  <c r="V28" i="1"/>
  <c r="V29" i="1" s="1"/>
  <c r="U28" i="1"/>
  <c r="U29" i="1" s="1"/>
  <c r="T28" i="1"/>
  <c r="T29" i="1" s="1"/>
  <c r="AB32" i="1"/>
  <c r="AA32" i="1"/>
  <c r="Z32" i="1"/>
  <c r="Z38" i="1" s="1"/>
  <c r="Y32" i="1"/>
  <c r="Y33" i="1" s="1"/>
  <c r="W79" i="1"/>
  <c r="W114" i="1" s="1"/>
  <c r="V79" i="1"/>
  <c r="U79" i="1"/>
  <c r="U114" i="1" s="1"/>
  <c r="T79" i="1"/>
  <c r="T114" i="1" s="1"/>
  <c r="AC85" i="1"/>
  <c r="X85" i="1"/>
  <c r="S85" i="1"/>
  <c r="M85" i="1"/>
  <c r="AJ64" i="1"/>
  <c r="AD64" i="1"/>
  <c r="AB64" i="1"/>
  <c r="AA64" i="1"/>
  <c r="Y64" i="1"/>
  <c r="W64" i="1"/>
  <c r="V64" i="1"/>
  <c r="U64" i="1"/>
  <c r="X60" i="1"/>
  <c r="X59" i="1"/>
  <c r="X58" i="1"/>
  <c r="W32" i="1"/>
  <c r="W33" i="1" s="1"/>
  <c r="V32" i="1"/>
  <c r="V33" i="1" s="1"/>
  <c r="U32" i="1"/>
  <c r="T64" i="1"/>
  <c r="R67" i="1"/>
  <c r="Q67" i="1"/>
  <c r="P67" i="1"/>
  <c r="O67" i="1"/>
  <c r="N67" i="1"/>
  <c r="L67" i="1"/>
  <c r="K67" i="1"/>
  <c r="J67" i="1"/>
  <c r="I67" i="1"/>
  <c r="G67" i="1"/>
  <c r="F67" i="1"/>
  <c r="E67" i="1"/>
  <c r="D67" i="1"/>
  <c r="T32" i="1"/>
  <c r="AM28" i="2"/>
  <c r="AM18" i="2"/>
  <c r="AM9" i="2"/>
  <c r="AL54" i="3"/>
  <c r="AI54" i="3"/>
  <c r="AM53" i="3"/>
  <c r="AM51" i="3"/>
  <c r="AM47" i="3"/>
  <c r="AM45" i="3"/>
  <c r="AL38" i="3"/>
  <c r="AK38" i="3"/>
  <c r="AI38" i="3"/>
  <c r="AM36" i="3"/>
  <c r="AM35" i="3"/>
  <c r="AM34" i="3"/>
  <c r="AM32" i="3"/>
  <c r="AM31" i="3"/>
  <c r="AM30" i="3"/>
  <c r="AM15" i="3"/>
  <c r="AM13" i="3"/>
  <c r="AM11" i="3"/>
  <c r="AF61" i="8"/>
  <c r="AM111" i="1"/>
  <c r="AH111" i="1"/>
  <c r="AB37" i="1"/>
  <c r="AB35" i="1"/>
  <c r="AB29" i="1"/>
  <c r="AB22" i="9"/>
  <c r="AB50" i="9"/>
  <c r="AA50" i="9"/>
  <c r="AB89" i="9"/>
  <c r="AA89" i="9"/>
  <c r="AB66" i="9"/>
  <c r="AA66" i="9"/>
  <c r="AB82" i="9"/>
  <c r="AA82" i="9"/>
  <c r="AB4" i="9"/>
  <c r="AG18" i="9" s="1"/>
  <c r="AA4" i="9"/>
  <c r="AM98" i="9"/>
  <c r="AL97" i="9"/>
  <c r="AK97" i="9"/>
  <c r="AJ97" i="9"/>
  <c r="AI97" i="9"/>
  <c r="AM77" i="9"/>
  <c r="AK75" i="9"/>
  <c r="AJ75" i="9"/>
  <c r="AK70" i="9"/>
  <c r="AJ70" i="9"/>
  <c r="AM61" i="9"/>
  <c r="AK51" i="9"/>
  <c r="AM33" i="9"/>
  <c r="AK25" i="9"/>
  <c r="AO26" i="9"/>
  <c r="AM17" i="9"/>
  <c r="AK15" i="9"/>
  <c r="AJ15" i="9"/>
  <c r="AJ16" i="9" s="1"/>
  <c r="AK10" i="9"/>
  <c r="AJ10" i="9"/>
  <c r="AL71" i="1"/>
  <c r="AK71" i="1"/>
  <c r="AI71" i="1"/>
  <c r="AM70" i="1"/>
  <c r="AM69" i="1"/>
  <c r="AM30" i="1"/>
  <c r="AB100" i="1"/>
  <c r="AB101" i="1" s="1"/>
  <c r="AB98" i="1"/>
  <c r="AN22" i="1"/>
  <c r="AN21" i="1"/>
  <c r="AL22" i="1"/>
  <c r="AJ22" i="1"/>
  <c r="AM20" i="1"/>
  <c r="AK22" i="1"/>
  <c r="AE31" i="8"/>
  <c r="AE30" i="8"/>
  <c r="AE38" i="8"/>
  <c r="AE37" i="8"/>
  <c r="AM36" i="1"/>
  <c r="AE22" i="8"/>
  <c r="AE23" i="8"/>
  <c r="AE18" i="8"/>
  <c r="AE19" i="8"/>
  <c r="AE25" i="8"/>
  <c r="AB17" i="9"/>
  <c r="AA29" i="9"/>
  <c r="AF36" i="9" s="1"/>
  <c r="AD38" i="8"/>
  <c r="AD37" i="8"/>
  <c r="AD31" i="8"/>
  <c r="AD30" i="8"/>
  <c r="AD40" i="8"/>
  <c r="AC40" i="8"/>
  <c r="AB40" i="8"/>
  <c r="AB120" i="8" s="1"/>
  <c r="Z40" i="8"/>
  <c r="Z42" i="8" s="1"/>
  <c r="X40" i="8"/>
  <c r="Y40" i="8"/>
  <c r="W42" i="8"/>
  <c r="W41" i="8"/>
  <c r="U41" i="8"/>
  <c r="T41" i="8"/>
  <c r="S41" i="8"/>
  <c r="AA108" i="9"/>
  <c r="AA112" i="9"/>
  <c r="V52" i="2"/>
  <c r="U52" i="2"/>
  <c r="AA52" i="2"/>
  <c r="Z52" i="2"/>
  <c r="AA98" i="1"/>
  <c r="AA100" i="1"/>
  <c r="AA101" i="1" s="1"/>
  <c r="AA37" i="1"/>
  <c r="AA35" i="1"/>
  <c r="AA29" i="1"/>
  <c r="AD25" i="8"/>
  <c r="AD26" i="8" s="1"/>
  <c r="AD23" i="8"/>
  <c r="AD22" i="8"/>
  <c r="AD19" i="8"/>
  <c r="AD18" i="8"/>
  <c r="AA37" i="3"/>
  <c r="AC37" i="3" s="1"/>
  <c r="AA30" i="3"/>
  <c r="AC30" i="3" s="1"/>
  <c r="AA70" i="1"/>
  <c r="AA71" i="1" s="1"/>
  <c r="C76" i="7"/>
  <c r="C77" i="7"/>
  <c r="C78" i="7"/>
  <c r="C79" i="7"/>
  <c r="C80" i="7"/>
  <c r="C75" i="7"/>
  <c r="C71" i="7"/>
  <c r="C66" i="7"/>
  <c r="C65" i="7"/>
  <c r="C64" i="7"/>
  <c r="C63" i="7"/>
  <c r="C62" i="7"/>
  <c r="C61" i="7"/>
  <c r="E111" i="1"/>
  <c r="J111" i="1"/>
  <c r="O111" i="1"/>
  <c r="S111" i="1"/>
  <c r="T111" i="1"/>
  <c r="X111" i="1"/>
  <c r="Y111" i="1"/>
  <c r="D111" i="1"/>
  <c r="E110" i="1"/>
  <c r="E10" i="3" s="1"/>
  <c r="E9" i="3" s="1"/>
  <c r="G110" i="1"/>
  <c r="J110" i="1"/>
  <c r="K110" i="1"/>
  <c r="L110" i="1"/>
  <c r="L10" i="3" s="1"/>
  <c r="N10" i="3"/>
  <c r="N9" i="3" s="1"/>
  <c r="O110" i="1"/>
  <c r="P110" i="1"/>
  <c r="Q110" i="1"/>
  <c r="R110" i="1"/>
  <c r="T110" i="1"/>
  <c r="U110" i="1"/>
  <c r="V110" i="1"/>
  <c r="W110" i="1"/>
  <c r="Y110" i="1"/>
  <c r="Z110" i="1"/>
  <c r="D110" i="1"/>
  <c r="AH18" i="2"/>
  <c r="AC18" i="2"/>
  <c r="AH69" i="1"/>
  <c r="X70" i="1"/>
  <c r="N69" i="1"/>
  <c r="N75" i="1" s="1"/>
  <c r="N70" i="1"/>
  <c r="S70" i="1"/>
  <c r="O69" i="1"/>
  <c r="T69" i="1"/>
  <c r="U71" i="1"/>
  <c r="AE71" i="1"/>
  <c r="Y69" i="1"/>
  <c r="Z21" i="1"/>
  <c r="Z18" i="1"/>
  <c r="Y18" i="1"/>
  <c r="Z15" i="1"/>
  <c r="Y15" i="1"/>
  <c r="Z12" i="1"/>
  <c r="Y12" i="1"/>
  <c r="Z9" i="1"/>
  <c r="Y9" i="1"/>
  <c r="AK21" i="1"/>
  <c r="AB21" i="1"/>
  <c r="AE67" i="9"/>
  <c r="AD67" i="9"/>
  <c r="AD68" i="9" s="1"/>
  <c r="AE58" i="9"/>
  <c r="AD58" i="9"/>
  <c r="AH98" i="9"/>
  <c r="AH77" i="9"/>
  <c r="AM70" i="9"/>
  <c r="AH61" i="9"/>
  <c r="AH33" i="9"/>
  <c r="AH31" i="9"/>
  <c r="AH17" i="9"/>
  <c r="AG97" i="9"/>
  <c r="AF97" i="9"/>
  <c r="AE97" i="9"/>
  <c r="AD97" i="9"/>
  <c r="AF75" i="9"/>
  <c r="AF70" i="9"/>
  <c r="AE70" i="9"/>
  <c r="AD70" i="9"/>
  <c r="AF51" i="9"/>
  <c r="AF52" i="9" s="1"/>
  <c r="AE51" i="9"/>
  <c r="AE52" i="9" s="1"/>
  <c r="AD51" i="9"/>
  <c r="AF25" i="9"/>
  <c r="AE25" i="9"/>
  <c r="AD25" i="9"/>
  <c r="AD26" i="9" s="1"/>
  <c r="AB25" i="9"/>
  <c r="AC25" i="9" s="1"/>
  <c r="AE23" i="9"/>
  <c r="AE24" i="9" s="1"/>
  <c r="AD23" i="9"/>
  <c r="AD24" i="9" s="1"/>
  <c r="AF15" i="9"/>
  <c r="AE15" i="9"/>
  <c r="AG10" i="9"/>
  <c r="AF10" i="9"/>
  <c r="AE10" i="9"/>
  <c r="AD10" i="9"/>
  <c r="AB75" i="9"/>
  <c r="AA75" i="9"/>
  <c r="AC9" i="9"/>
  <c r="AH16" i="9" s="1"/>
  <c r="AC69" i="9"/>
  <c r="AC31" i="9"/>
  <c r="AA10" i="9"/>
  <c r="Y16" i="9"/>
  <c r="W16" i="9"/>
  <c r="V16" i="9"/>
  <c r="U16" i="9"/>
  <c r="T16" i="9"/>
  <c r="AB15" i="9"/>
  <c r="AA15" i="9"/>
  <c r="AA24" i="9"/>
  <c r="M111" i="9"/>
  <c r="M110" i="9"/>
  <c r="M107" i="9"/>
  <c r="M106" i="9"/>
  <c r="M53" i="9"/>
  <c r="M54" i="9" s="1"/>
  <c r="M51" i="9"/>
  <c r="M52" i="9" s="1"/>
  <c r="M25" i="9"/>
  <c r="M26" i="9" s="1"/>
  <c r="M23" i="9"/>
  <c r="M24" i="9" s="1"/>
  <c r="M9" i="9"/>
  <c r="M10" i="9" s="1"/>
  <c r="M7" i="9"/>
  <c r="M8" i="9" s="1"/>
  <c r="R111" i="9"/>
  <c r="R110" i="9"/>
  <c r="R107" i="9"/>
  <c r="R106" i="9"/>
  <c r="R69" i="9"/>
  <c r="R70" i="9" s="1"/>
  <c r="R67" i="9"/>
  <c r="R68" i="9" s="1"/>
  <c r="R53" i="9"/>
  <c r="R51" i="9"/>
  <c r="R25" i="9"/>
  <c r="R23" i="9"/>
  <c r="R9" i="9"/>
  <c r="R7" i="9"/>
  <c r="W111" i="9"/>
  <c r="W110" i="9"/>
  <c r="W107" i="9"/>
  <c r="W106" i="9"/>
  <c r="X68" i="9"/>
  <c r="W69" i="9"/>
  <c r="AB70" i="9" s="1"/>
  <c r="W67" i="9"/>
  <c r="W53" i="9"/>
  <c r="W51" i="9"/>
  <c r="W25" i="9"/>
  <c r="W23" i="9"/>
  <c r="AB30" i="9" s="1"/>
  <c r="W9" i="9"/>
  <c r="W7" i="9"/>
  <c r="I112" i="9"/>
  <c r="J112" i="9"/>
  <c r="K112" i="9"/>
  <c r="L112" i="9"/>
  <c r="N112" i="9"/>
  <c r="O112" i="9"/>
  <c r="P112" i="9"/>
  <c r="Q112" i="9"/>
  <c r="S112" i="9"/>
  <c r="T112" i="9"/>
  <c r="U112" i="9"/>
  <c r="V112" i="9"/>
  <c r="X112" i="9"/>
  <c r="Y112" i="9"/>
  <c r="I108" i="9"/>
  <c r="J108" i="9"/>
  <c r="K108" i="9"/>
  <c r="L108" i="9"/>
  <c r="N108" i="9"/>
  <c r="O108" i="9"/>
  <c r="P108" i="9"/>
  <c r="Q108" i="9"/>
  <c r="S108" i="9"/>
  <c r="T108" i="9"/>
  <c r="U108" i="9"/>
  <c r="V108" i="9"/>
  <c r="X108" i="9"/>
  <c r="Y108" i="9"/>
  <c r="Z112" i="9"/>
  <c r="Z108" i="9"/>
  <c r="Y76" i="9"/>
  <c r="X76" i="9"/>
  <c r="W76" i="9"/>
  <c r="V76" i="9"/>
  <c r="U76" i="9"/>
  <c r="T76" i="9"/>
  <c r="S76" i="9"/>
  <c r="R76" i="9"/>
  <c r="Q76" i="9"/>
  <c r="P76" i="9"/>
  <c r="O76" i="9"/>
  <c r="N76" i="9"/>
  <c r="M76" i="9"/>
  <c r="L76" i="9"/>
  <c r="K76" i="9"/>
  <c r="J76" i="9"/>
  <c r="I76" i="9"/>
  <c r="H76" i="9"/>
  <c r="G76" i="9"/>
  <c r="F76" i="9"/>
  <c r="E76" i="9"/>
  <c r="D76" i="9"/>
  <c r="Z75" i="9"/>
  <c r="Z76" i="9" s="1"/>
  <c r="X74" i="9"/>
  <c r="W74" i="9"/>
  <c r="V74" i="9"/>
  <c r="U74" i="9"/>
  <c r="T74" i="9"/>
  <c r="S74" i="9"/>
  <c r="R74" i="9"/>
  <c r="Q74" i="9"/>
  <c r="P74" i="9"/>
  <c r="O74" i="9"/>
  <c r="N74" i="9"/>
  <c r="M74" i="9"/>
  <c r="L74" i="9"/>
  <c r="K74" i="9"/>
  <c r="J74" i="9"/>
  <c r="I74" i="9"/>
  <c r="H74" i="9"/>
  <c r="G74" i="9"/>
  <c r="F74" i="9"/>
  <c r="E74" i="9"/>
  <c r="D74" i="9"/>
  <c r="Z70" i="9"/>
  <c r="Y70" i="9"/>
  <c r="X70" i="9"/>
  <c r="V70" i="9"/>
  <c r="U70" i="9"/>
  <c r="T70" i="9"/>
  <c r="S70" i="9"/>
  <c r="Q70" i="9"/>
  <c r="P70" i="9"/>
  <c r="O70" i="9"/>
  <c r="N70" i="9"/>
  <c r="M70" i="9"/>
  <c r="L70" i="9"/>
  <c r="K70" i="9"/>
  <c r="J70" i="9"/>
  <c r="I70" i="9"/>
  <c r="H70" i="9"/>
  <c r="G70" i="9"/>
  <c r="F70" i="9"/>
  <c r="E70" i="9"/>
  <c r="D70" i="9"/>
  <c r="Z68" i="9"/>
  <c r="Y68" i="9"/>
  <c r="V68" i="9"/>
  <c r="U68" i="9"/>
  <c r="T68" i="9"/>
  <c r="S68" i="9"/>
  <c r="Q68" i="9"/>
  <c r="P68" i="9"/>
  <c r="O68" i="9"/>
  <c r="N68" i="9"/>
  <c r="M68" i="9"/>
  <c r="L68" i="9"/>
  <c r="K68" i="9"/>
  <c r="J68" i="9"/>
  <c r="I68" i="9"/>
  <c r="H68" i="9"/>
  <c r="G68" i="9"/>
  <c r="F68" i="9"/>
  <c r="E68" i="9"/>
  <c r="D68" i="9"/>
  <c r="Z59" i="9"/>
  <c r="Z60" i="9" s="1"/>
  <c r="Y60" i="9"/>
  <c r="X60" i="9"/>
  <c r="W60" i="9"/>
  <c r="V60" i="9"/>
  <c r="U60" i="9"/>
  <c r="T60" i="9"/>
  <c r="S60" i="9"/>
  <c r="R60" i="9"/>
  <c r="Q60" i="9"/>
  <c r="P60" i="9"/>
  <c r="O60" i="9"/>
  <c r="N60" i="9"/>
  <c r="M60" i="9"/>
  <c r="L60" i="9"/>
  <c r="K60" i="9"/>
  <c r="J60" i="9"/>
  <c r="I60" i="9"/>
  <c r="H60" i="9"/>
  <c r="G60" i="9"/>
  <c r="F60" i="9"/>
  <c r="E60" i="9"/>
  <c r="D60" i="9"/>
  <c r="X58" i="9"/>
  <c r="W58" i="9"/>
  <c r="V58" i="9"/>
  <c r="U58" i="9"/>
  <c r="T58" i="9"/>
  <c r="S58" i="9"/>
  <c r="R58" i="9"/>
  <c r="Q58" i="9"/>
  <c r="P58" i="9"/>
  <c r="O58" i="9"/>
  <c r="N58" i="9"/>
  <c r="M58" i="9"/>
  <c r="L58" i="9"/>
  <c r="K58" i="9"/>
  <c r="J58" i="9"/>
  <c r="I58" i="9"/>
  <c r="H58" i="9"/>
  <c r="G58" i="9"/>
  <c r="F58" i="9"/>
  <c r="E58" i="9"/>
  <c r="D58" i="9"/>
  <c r="Z54" i="9"/>
  <c r="Y54" i="9"/>
  <c r="X54" i="9"/>
  <c r="V54" i="9"/>
  <c r="U54" i="9"/>
  <c r="T54" i="9"/>
  <c r="S54" i="9"/>
  <c r="Q54" i="9"/>
  <c r="P54" i="9"/>
  <c r="O54" i="9"/>
  <c r="N54" i="9"/>
  <c r="L54" i="9"/>
  <c r="K54" i="9"/>
  <c r="J54" i="9"/>
  <c r="I54" i="9"/>
  <c r="H54" i="9"/>
  <c r="G54" i="9"/>
  <c r="F54" i="9"/>
  <c r="E54" i="9"/>
  <c r="D54" i="9"/>
  <c r="Z52" i="9"/>
  <c r="Y52" i="9"/>
  <c r="X52" i="9"/>
  <c r="V52" i="9"/>
  <c r="U52" i="9"/>
  <c r="T52" i="9"/>
  <c r="S52" i="9"/>
  <c r="Q52" i="9"/>
  <c r="P52" i="9"/>
  <c r="O52" i="9"/>
  <c r="N52" i="9"/>
  <c r="L52" i="9"/>
  <c r="K52" i="9"/>
  <c r="J52" i="9"/>
  <c r="I52" i="9"/>
  <c r="H52" i="9"/>
  <c r="G52" i="9"/>
  <c r="F52" i="9"/>
  <c r="E52" i="9"/>
  <c r="D52" i="9"/>
  <c r="Z32" i="9"/>
  <c r="Y32" i="9"/>
  <c r="X32" i="9"/>
  <c r="W32" i="9"/>
  <c r="V32" i="9"/>
  <c r="U32" i="9"/>
  <c r="T32" i="9"/>
  <c r="S32" i="9"/>
  <c r="R32" i="9"/>
  <c r="Q32" i="9"/>
  <c r="P32" i="9"/>
  <c r="O32" i="9"/>
  <c r="N32" i="9"/>
  <c r="M32" i="9"/>
  <c r="L32" i="9"/>
  <c r="K32" i="9"/>
  <c r="J32" i="9"/>
  <c r="X30" i="9"/>
  <c r="W30" i="9"/>
  <c r="V30" i="9"/>
  <c r="U30" i="9"/>
  <c r="T30" i="9"/>
  <c r="S30" i="9"/>
  <c r="R30" i="9"/>
  <c r="Q30" i="9"/>
  <c r="P30" i="9"/>
  <c r="O30" i="9"/>
  <c r="N30" i="9"/>
  <c r="M30" i="9"/>
  <c r="L30" i="9"/>
  <c r="K30" i="9"/>
  <c r="J30" i="9"/>
  <c r="X16" i="9"/>
  <c r="S16" i="9"/>
  <c r="R16" i="9"/>
  <c r="Q16" i="9"/>
  <c r="P16" i="9"/>
  <c r="O16" i="9"/>
  <c r="X14" i="9"/>
  <c r="W14" i="9"/>
  <c r="V14" i="9"/>
  <c r="U14" i="9"/>
  <c r="T14" i="9"/>
  <c r="S14" i="9"/>
  <c r="R14" i="9"/>
  <c r="Q14" i="9"/>
  <c r="P14" i="9"/>
  <c r="O14" i="9"/>
  <c r="Z26" i="9"/>
  <c r="Y26" i="9"/>
  <c r="X26" i="9"/>
  <c r="V26" i="9"/>
  <c r="U26" i="9"/>
  <c r="T26" i="9"/>
  <c r="S26" i="9"/>
  <c r="Q26" i="9"/>
  <c r="P26" i="9"/>
  <c r="O26" i="9"/>
  <c r="N26" i="9"/>
  <c r="L26" i="9"/>
  <c r="K26" i="9"/>
  <c r="J26" i="9"/>
  <c r="Y10" i="9"/>
  <c r="X10" i="9"/>
  <c r="V10" i="9"/>
  <c r="U10" i="9"/>
  <c r="T10" i="9"/>
  <c r="S10" i="9"/>
  <c r="Q10" i="9"/>
  <c r="P10" i="9"/>
  <c r="O10" i="9"/>
  <c r="N10" i="9"/>
  <c r="L10" i="9"/>
  <c r="K10" i="9"/>
  <c r="J10" i="9"/>
  <c r="Z10" i="9"/>
  <c r="Z24" i="9"/>
  <c r="Y24" i="9"/>
  <c r="X24" i="9"/>
  <c r="V24" i="9"/>
  <c r="U24" i="9"/>
  <c r="T24" i="9"/>
  <c r="S24" i="9"/>
  <c r="Q24" i="9"/>
  <c r="P24" i="9"/>
  <c r="O24" i="9"/>
  <c r="N24" i="9"/>
  <c r="L24" i="9"/>
  <c r="K24" i="9"/>
  <c r="J24" i="9"/>
  <c r="Y8" i="9"/>
  <c r="X8" i="9"/>
  <c r="V8" i="9"/>
  <c r="U8" i="9"/>
  <c r="T8" i="9"/>
  <c r="S8" i="9"/>
  <c r="Q8" i="9"/>
  <c r="P8" i="9"/>
  <c r="O8" i="9"/>
  <c r="N8" i="9"/>
  <c r="L8" i="9"/>
  <c r="K8" i="9"/>
  <c r="J8" i="9"/>
  <c r="Z8" i="9"/>
  <c r="E89" i="9"/>
  <c r="F89" i="9"/>
  <c r="G89" i="9"/>
  <c r="G90" i="9" s="1"/>
  <c r="I89" i="9"/>
  <c r="J89" i="9"/>
  <c r="K89" i="9"/>
  <c r="L89" i="9"/>
  <c r="N89" i="9"/>
  <c r="O89" i="9"/>
  <c r="P89" i="9"/>
  <c r="Q89" i="9"/>
  <c r="R89" i="9"/>
  <c r="T89" i="9"/>
  <c r="U89" i="9"/>
  <c r="V89" i="9"/>
  <c r="W89" i="9"/>
  <c r="Z89" i="9"/>
  <c r="E82" i="9"/>
  <c r="F82" i="9"/>
  <c r="G82" i="9"/>
  <c r="I82" i="9"/>
  <c r="J82" i="9"/>
  <c r="K82" i="9"/>
  <c r="L82" i="9"/>
  <c r="N82" i="9"/>
  <c r="O82" i="9"/>
  <c r="P82" i="9"/>
  <c r="Q82" i="9"/>
  <c r="R82" i="9"/>
  <c r="T82" i="9"/>
  <c r="U82" i="9"/>
  <c r="V82" i="9"/>
  <c r="W82" i="9"/>
  <c r="Y82" i="9"/>
  <c r="Z82" i="9"/>
  <c r="E66" i="9"/>
  <c r="F66" i="9"/>
  <c r="G66" i="9"/>
  <c r="I66" i="9"/>
  <c r="J66" i="9"/>
  <c r="K66" i="9"/>
  <c r="L66" i="9"/>
  <c r="N66" i="9"/>
  <c r="O66" i="9"/>
  <c r="P66" i="9"/>
  <c r="Q66" i="9"/>
  <c r="R66" i="9"/>
  <c r="T66" i="9"/>
  <c r="Y71" i="9" s="1"/>
  <c r="U66" i="9"/>
  <c r="Z71" i="9" s="1"/>
  <c r="V66" i="9"/>
  <c r="W66" i="9"/>
  <c r="Y66" i="9"/>
  <c r="Z66" i="9"/>
  <c r="E50" i="9"/>
  <c r="F50" i="9"/>
  <c r="G50" i="9"/>
  <c r="I50" i="9"/>
  <c r="J50" i="9"/>
  <c r="K50" i="9"/>
  <c r="L50" i="9"/>
  <c r="N50" i="9"/>
  <c r="O50" i="9"/>
  <c r="P50" i="9"/>
  <c r="Q50" i="9"/>
  <c r="R50" i="9"/>
  <c r="T50" i="9"/>
  <c r="U50" i="9"/>
  <c r="V50" i="9"/>
  <c r="AA55" i="9" s="1"/>
  <c r="W50" i="9"/>
  <c r="Y50" i="9"/>
  <c r="Z50" i="9"/>
  <c r="E22" i="9"/>
  <c r="F22" i="9"/>
  <c r="G22" i="9"/>
  <c r="I22" i="9"/>
  <c r="J22" i="9"/>
  <c r="K22" i="9"/>
  <c r="L22" i="9"/>
  <c r="N22" i="9"/>
  <c r="O22" i="9"/>
  <c r="P22" i="9"/>
  <c r="Q22" i="9"/>
  <c r="R22" i="9"/>
  <c r="T22" i="9"/>
  <c r="Y27" i="9" s="1"/>
  <c r="U22" i="9"/>
  <c r="V22" i="9"/>
  <c r="W22" i="9"/>
  <c r="Y22" i="9"/>
  <c r="Z22" i="9"/>
  <c r="E4" i="9"/>
  <c r="F4" i="9"/>
  <c r="G4" i="9"/>
  <c r="I4" i="9"/>
  <c r="J4" i="9"/>
  <c r="K4" i="9"/>
  <c r="L4" i="9"/>
  <c r="N4" i="9"/>
  <c r="O4" i="9"/>
  <c r="P4" i="9"/>
  <c r="Q4" i="9"/>
  <c r="R4" i="9"/>
  <c r="T4" i="9"/>
  <c r="U4" i="9"/>
  <c r="V4" i="9"/>
  <c r="W4" i="9"/>
  <c r="Z4" i="9"/>
  <c r="D89" i="9"/>
  <c r="D82" i="9"/>
  <c r="D66" i="9"/>
  <c r="D50" i="9"/>
  <c r="D22" i="9"/>
  <c r="D4" i="9"/>
  <c r="AC38" i="8"/>
  <c r="AB38" i="8"/>
  <c r="Z38" i="8"/>
  <c r="Y38" i="8"/>
  <c r="X38" i="8"/>
  <c r="W38" i="8"/>
  <c r="AC37" i="8"/>
  <c r="AB37" i="8"/>
  <c r="Z37" i="8"/>
  <c r="Y37" i="8"/>
  <c r="X37" i="8"/>
  <c r="W37" i="8"/>
  <c r="U37" i="8"/>
  <c r="T37" i="8"/>
  <c r="S37" i="8"/>
  <c r="AC31" i="8"/>
  <c r="AB31" i="8"/>
  <c r="Z31" i="8"/>
  <c r="Y31" i="8"/>
  <c r="X31" i="8"/>
  <c r="W31" i="8"/>
  <c r="AC30" i="8"/>
  <c r="AB30" i="8"/>
  <c r="Z30" i="8"/>
  <c r="Y30" i="8"/>
  <c r="X30" i="8"/>
  <c r="W30" i="8"/>
  <c r="U30" i="8"/>
  <c r="T30" i="8"/>
  <c r="S30" i="8"/>
  <c r="AC27" i="8"/>
  <c r="AB27" i="8"/>
  <c r="Z27" i="8"/>
  <c r="Y27" i="8"/>
  <c r="X27" i="8"/>
  <c r="W27" i="8"/>
  <c r="AC26" i="8"/>
  <c r="AB26" i="8"/>
  <c r="Z26" i="8"/>
  <c r="Y26" i="8"/>
  <c r="X26" i="8"/>
  <c r="W26" i="8"/>
  <c r="U26" i="8"/>
  <c r="T26" i="8"/>
  <c r="S26" i="8"/>
  <c r="AC23" i="8"/>
  <c r="AB23" i="8"/>
  <c r="Z23" i="8"/>
  <c r="Y23" i="8"/>
  <c r="X23" i="8"/>
  <c r="W23" i="8"/>
  <c r="AC22" i="8"/>
  <c r="AB22" i="8"/>
  <c r="Z22" i="8"/>
  <c r="Y22" i="8"/>
  <c r="X22" i="8"/>
  <c r="W22" i="8"/>
  <c r="U22" i="8"/>
  <c r="T22" i="8"/>
  <c r="S22" i="8"/>
  <c r="AC19" i="8"/>
  <c r="AB19" i="8"/>
  <c r="Z19" i="8"/>
  <c r="Y19" i="8"/>
  <c r="X19" i="8"/>
  <c r="W19" i="8"/>
  <c r="W18" i="8"/>
  <c r="AB18" i="8"/>
  <c r="AC18" i="8"/>
  <c r="Z18" i="8"/>
  <c r="Y18" i="8"/>
  <c r="X18" i="8"/>
  <c r="U18" i="8"/>
  <c r="T18" i="8"/>
  <c r="S18" i="8"/>
  <c r="C28" i="7"/>
  <c r="B28" i="7"/>
  <c r="Z22" i="3"/>
  <c r="AA22" i="3" s="1"/>
  <c r="Z24" i="3"/>
  <c r="Z21" i="3"/>
  <c r="AA21" i="3" s="1"/>
  <c r="Z20" i="3"/>
  <c r="AA20" i="3" s="1"/>
  <c r="Z98" i="1"/>
  <c r="Z37" i="1"/>
  <c r="Z35" i="1"/>
  <c r="Z29" i="1"/>
  <c r="Z6" i="1"/>
  <c r="AD9" i="1"/>
  <c r="AE59" i="9"/>
  <c r="AE55" i="9" s="1"/>
  <c r="AD15" i="1"/>
  <c r="AK27" i="9"/>
  <c r="AK23" i="9"/>
  <c r="AP24" i="9" s="1"/>
  <c r="AI21" i="1"/>
  <c r="AE21" i="1"/>
  <c r="AJ21" i="1"/>
  <c r="AL21" i="1"/>
  <c r="AI22" i="1"/>
  <c r="AA21" i="1"/>
  <c r="AA52" i="9"/>
  <c r="AE27" i="9"/>
  <c r="AG21" i="1"/>
  <c r="AF21" i="1"/>
  <c r="AB18" i="1"/>
  <c r="AA68" i="9"/>
  <c r="AF27" i="9"/>
  <c r="AD27" i="9"/>
  <c r="AA26" i="9"/>
  <c r="AA59" i="9"/>
  <c r="AA8" i="9"/>
  <c r="AB12" i="1"/>
  <c r="Z52" i="3"/>
  <c r="AA52" i="3" s="1"/>
  <c r="Z49" i="3"/>
  <c r="Z48" i="3"/>
  <c r="Z45" i="3"/>
  <c r="AA45" i="3" s="1"/>
  <c r="Z33" i="3"/>
  <c r="Z32" i="3"/>
  <c r="Z14" i="3"/>
  <c r="X18" i="2"/>
  <c r="Z6" i="2"/>
  <c r="AC38" i="2"/>
  <c r="AH38" i="2"/>
  <c r="AC36" i="2"/>
  <c r="AE36" i="2"/>
  <c r="AF36" i="2" s="1"/>
  <c r="AG36" i="2" s="1"/>
  <c r="AH36" i="2" s="1"/>
  <c r="AI36" i="2" s="1"/>
  <c r="AC17" i="2"/>
  <c r="AH17" i="2"/>
  <c r="AM17" i="2"/>
  <c r="AR17" i="2"/>
  <c r="AW17" i="2"/>
  <c r="BB17" i="2"/>
  <c r="BG17" i="2" s="1"/>
  <c r="BL17" i="2" s="1"/>
  <c r="AC58" i="3"/>
  <c r="AH47" i="3"/>
  <c r="AH51" i="3"/>
  <c r="AH53" i="3"/>
  <c r="AH45" i="3"/>
  <c r="AC47" i="3"/>
  <c r="AC51" i="3"/>
  <c r="AC53" i="3"/>
  <c r="AH34" i="3"/>
  <c r="AH35" i="3"/>
  <c r="AH36" i="3"/>
  <c r="AH31" i="3"/>
  <c r="AH32" i="3"/>
  <c r="AC31" i="3"/>
  <c r="AC34" i="3"/>
  <c r="AC35" i="3"/>
  <c r="AC36" i="3"/>
  <c r="Z58" i="3"/>
  <c r="AB54" i="3"/>
  <c r="AD54" i="3"/>
  <c r="AG54" i="3"/>
  <c r="AB38" i="3"/>
  <c r="AD38" i="3"/>
  <c r="AG38" i="3"/>
  <c r="AH11" i="3"/>
  <c r="AH13" i="3"/>
  <c r="AH15" i="3"/>
  <c r="AC13" i="3"/>
  <c r="AC15" i="3"/>
  <c r="AC11" i="3"/>
  <c r="J62" i="3"/>
  <c r="AC28" i="2"/>
  <c r="AH28" i="2"/>
  <c r="AH9" i="2"/>
  <c r="AO59" i="9"/>
  <c r="AN18" i="1"/>
  <c r="AE18" i="1"/>
  <c r="AD6" i="1"/>
  <c r="AG18" i="1"/>
  <c r="AM26" i="9"/>
  <c r="AJ59" i="9"/>
  <c r="AD18" i="1"/>
  <c r="AI18" i="1"/>
  <c r="AE12" i="1"/>
  <c r="AD12" i="1"/>
  <c r="AC96" i="1"/>
  <c r="AC95" i="1"/>
  <c r="AA9" i="1"/>
  <c r="AF9" i="1"/>
  <c r="AF67" i="9"/>
  <c r="AF68" i="9" s="1"/>
  <c r="AD55" i="9"/>
  <c r="AA30" i="2"/>
  <c r="AA33" i="2" s="1"/>
  <c r="AA40" i="2" s="1"/>
  <c r="AC9" i="2"/>
  <c r="AB21" i="3"/>
  <c r="AO24" i="9"/>
  <c r="AR95" i="1"/>
  <c r="AI12" i="1"/>
  <c r="AN12" i="1"/>
  <c r="AI19" i="1"/>
  <c r="AJ19" i="1"/>
  <c r="AJ18" i="1"/>
  <c r="AN19" i="1"/>
  <c r="AF12" i="1"/>
  <c r="AE9" i="1"/>
  <c r="AE15" i="1"/>
  <c r="AJ15" i="1"/>
  <c r="AA12" i="1"/>
  <c r="AB9" i="1"/>
  <c r="AA6" i="1"/>
  <c r="AF6" i="1"/>
  <c r="AR96" i="1"/>
  <c r="AM96" i="1"/>
  <c r="AJ12" i="1"/>
  <c r="AE6" i="1"/>
  <c r="AH95" i="1"/>
  <c r="AL18" i="1"/>
  <c r="AI6" i="1"/>
  <c r="AK9" i="1"/>
  <c r="AJ13" i="1"/>
  <c r="AH96" i="1"/>
  <c r="AB6" i="1"/>
  <c r="AN15" i="1"/>
  <c r="AK16" i="1"/>
  <c r="AM38" i="2"/>
  <c r="AK7" i="1"/>
  <c r="AK6" i="1"/>
  <c r="AI16" i="1"/>
  <c r="AI15" i="1"/>
  <c r="AJ16" i="1"/>
  <c r="AJ23" i="1"/>
  <c r="AJ62" i="2" s="1"/>
  <c r="AJ7" i="1"/>
  <c r="AJ6" i="1"/>
  <c r="AI23" i="1"/>
  <c r="AI138" i="1" s="1"/>
  <c r="AM95" i="1"/>
  <c r="AJ10" i="1"/>
  <c r="AJ9" i="1"/>
  <c r="AK10" i="1"/>
  <c r="AK15" i="1"/>
  <c r="AI9" i="1"/>
  <c r="AC16" i="2"/>
  <c r="AL121" i="8"/>
  <c r="AL110" i="8"/>
  <c r="AL117" i="8" s="1"/>
  <c r="AR38" i="2"/>
  <c r="AN6" i="1"/>
  <c r="AN9" i="1"/>
  <c r="AN16" i="1"/>
  <c r="AJ98" i="1"/>
  <c r="AJ110" i="1"/>
  <c r="AI110" i="1"/>
  <c r="AL16" i="1"/>
  <c r="AL15" i="1"/>
  <c r="AM14" i="1"/>
  <c r="E100" i="1"/>
  <c r="E101" i="1" s="1"/>
  <c r="F100" i="1"/>
  <c r="F101" i="1" s="1"/>
  <c r="G100" i="1"/>
  <c r="G101" i="1" s="1"/>
  <c r="H100" i="1"/>
  <c r="J100" i="1"/>
  <c r="J101" i="1" s="1"/>
  <c r="K100" i="1"/>
  <c r="K101" i="1" s="1"/>
  <c r="L100" i="1"/>
  <c r="L101" i="1" s="1"/>
  <c r="M100" i="1"/>
  <c r="O100" i="1"/>
  <c r="O101" i="1" s="1"/>
  <c r="P100" i="1"/>
  <c r="P101" i="1" s="1"/>
  <c r="Q100" i="1"/>
  <c r="Q101" i="1" s="1"/>
  <c r="R100" i="1"/>
  <c r="R101" i="1" s="1"/>
  <c r="T100" i="1"/>
  <c r="T101" i="1" s="1"/>
  <c r="U100" i="1"/>
  <c r="U101" i="1" s="1"/>
  <c r="V100" i="1"/>
  <c r="V101" i="1" s="1"/>
  <c r="W100" i="1"/>
  <c r="W101" i="1" s="1"/>
  <c r="Y100" i="1"/>
  <c r="Y101" i="1" s="1"/>
  <c r="D100" i="1"/>
  <c r="D101" i="1" s="1"/>
  <c r="E98" i="1"/>
  <c r="F98" i="1"/>
  <c r="G98" i="1"/>
  <c r="H98" i="1"/>
  <c r="J98" i="1"/>
  <c r="K98" i="1"/>
  <c r="L98" i="1"/>
  <c r="M98" i="1"/>
  <c r="O98" i="1"/>
  <c r="P98" i="1"/>
  <c r="Q98" i="1"/>
  <c r="R98" i="1"/>
  <c r="T98" i="1"/>
  <c r="U98" i="1"/>
  <c r="V98" i="1"/>
  <c r="W98" i="1"/>
  <c r="Y98" i="1"/>
  <c r="D98" i="1"/>
  <c r="AC30" i="1"/>
  <c r="I33" i="1"/>
  <c r="J33" i="1"/>
  <c r="K33" i="1"/>
  <c r="L33" i="1"/>
  <c r="N33" i="1"/>
  <c r="O33" i="1"/>
  <c r="P33" i="1"/>
  <c r="Q33" i="1"/>
  <c r="R33" i="1"/>
  <c r="D33" i="1"/>
  <c r="G33" i="1"/>
  <c r="F33" i="1"/>
  <c r="E33" i="1"/>
  <c r="AD22" i="1"/>
  <c r="AA7" i="1"/>
  <c r="Z10" i="1"/>
  <c r="Z7" i="1"/>
  <c r="AG22" i="1"/>
  <c r="AD19" i="1"/>
  <c r="AE19" i="1"/>
  <c r="Z16" i="1"/>
  <c r="AF13" i="1"/>
  <c r="AE13" i="1"/>
  <c r="AA10" i="1"/>
  <c r="W32" i="3"/>
  <c r="W31" i="3"/>
  <c r="R15" i="3"/>
  <c r="R13" i="3"/>
  <c r="Q51" i="3"/>
  <c r="R51" i="3" s="1"/>
  <c r="U52" i="3"/>
  <c r="V52" i="3" s="1"/>
  <c r="W52" i="3" s="1"/>
  <c r="U49" i="3"/>
  <c r="V49" i="3" s="1"/>
  <c r="U48" i="3"/>
  <c r="V48" i="3" s="1"/>
  <c r="W48" i="3" s="1"/>
  <c r="U47" i="3"/>
  <c r="V47" i="3" s="1"/>
  <c r="W47" i="3" s="1"/>
  <c r="U45" i="3"/>
  <c r="U37" i="3"/>
  <c r="U33" i="3"/>
  <c r="V33" i="3" s="1"/>
  <c r="W33" i="3" s="1"/>
  <c r="U30" i="3"/>
  <c r="V30" i="3" s="1"/>
  <c r="W30" i="3" s="1"/>
  <c r="U24" i="3"/>
  <c r="V24" i="3" s="1"/>
  <c r="W24" i="3" s="1"/>
  <c r="U21" i="3"/>
  <c r="V21" i="3" s="1"/>
  <c r="W21" i="3" s="1"/>
  <c r="U20" i="3"/>
  <c r="V20" i="3" s="1"/>
  <c r="W20" i="3" s="1"/>
  <c r="U18" i="3"/>
  <c r="V18" i="3" s="1"/>
  <c r="W18" i="3" s="1"/>
  <c r="U14" i="3"/>
  <c r="V14" i="3" s="1"/>
  <c r="W14" i="3" s="1"/>
  <c r="U12" i="3"/>
  <c r="U8" i="3"/>
  <c r="V8" i="3" s="1"/>
  <c r="W8" i="3" s="1"/>
  <c r="P52" i="3"/>
  <c r="Q52" i="3" s="1"/>
  <c r="R52" i="3" s="1"/>
  <c r="P49" i="3"/>
  <c r="Q49" i="3" s="1"/>
  <c r="R49" i="3" s="1"/>
  <c r="P48" i="3"/>
  <c r="Q48" i="3" s="1"/>
  <c r="P47" i="3"/>
  <c r="Q47" i="3" s="1"/>
  <c r="R47" i="3" s="1"/>
  <c r="P45" i="3"/>
  <c r="Q45" i="3" s="1"/>
  <c r="R45" i="3" s="1"/>
  <c r="P37" i="3"/>
  <c r="Q37" i="3" s="1"/>
  <c r="P36" i="3"/>
  <c r="Q36" i="3" s="1"/>
  <c r="R36" i="3" s="1"/>
  <c r="P33" i="3"/>
  <c r="P32" i="3"/>
  <c r="Q32" i="3" s="1"/>
  <c r="R32" i="3" s="1"/>
  <c r="P30" i="3"/>
  <c r="Q30" i="3" s="1"/>
  <c r="R30" i="3" s="1"/>
  <c r="P24" i="3"/>
  <c r="Q24" i="3" s="1"/>
  <c r="R24" i="3" s="1"/>
  <c r="P21" i="3"/>
  <c r="Q21" i="3" s="1"/>
  <c r="R21" i="3" s="1"/>
  <c r="P20" i="3"/>
  <c r="Q20" i="3" s="1"/>
  <c r="R20" i="3" s="1"/>
  <c r="P18" i="3"/>
  <c r="Q18" i="3" s="1"/>
  <c r="R18" i="3" s="1"/>
  <c r="P14" i="3"/>
  <c r="Q14" i="3" s="1"/>
  <c r="R14" i="3" s="1"/>
  <c r="P12" i="3"/>
  <c r="P111" i="1" s="1"/>
  <c r="P8" i="3"/>
  <c r="M53" i="3"/>
  <c r="M35" i="3"/>
  <c r="M34" i="3"/>
  <c r="M31" i="3"/>
  <c r="M15" i="3"/>
  <c r="M13" i="3"/>
  <c r="M11" i="3"/>
  <c r="H45" i="3"/>
  <c r="H34" i="3"/>
  <c r="H15" i="3"/>
  <c r="H13" i="3"/>
  <c r="G53" i="3"/>
  <c r="H53" i="3" s="1"/>
  <c r="G35" i="3"/>
  <c r="H35" i="3" s="1"/>
  <c r="K52" i="3"/>
  <c r="L52" i="3" s="1"/>
  <c r="M52" i="3" s="1"/>
  <c r="K49" i="3"/>
  <c r="L49" i="3" s="1"/>
  <c r="M49" i="3" s="1"/>
  <c r="K48" i="3"/>
  <c r="L48" i="3" s="1"/>
  <c r="M48" i="3" s="1"/>
  <c r="K47" i="3"/>
  <c r="K45" i="3"/>
  <c r="L45" i="3" s="1"/>
  <c r="M45" i="3" s="1"/>
  <c r="K37" i="3"/>
  <c r="L37" i="3" s="1"/>
  <c r="M37" i="3" s="1"/>
  <c r="K36" i="3"/>
  <c r="L36" i="3" s="1"/>
  <c r="M36" i="3" s="1"/>
  <c r="K33" i="3"/>
  <c r="K32" i="3"/>
  <c r="L32" i="3" s="1"/>
  <c r="M32" i="3" s="1"/>
  <c r="K30" i="3"/>
  <c r="L30" i="3" s="1"/>
  <c r="M30" i="3" s="1"/>
  <c r="K24" i="3"/>
  <c r="L24" i="3" s="1"/>
  <c r="M24" i="3" s="1"/>
  <c r="K21" i="3"/>
  <c r="L21" i="3" s="1"/>
  <c r="M21" i="3" s="1"/>
  <c r="K20" i="3"/>
  <c r="L20" i="3" s="1"/>
  <c r="M20" i="3" s="1"/>
  <c r="K18" i="3"/>
  <c r="L18" i="3" s="1"/>
  <c r="M18" i="3" s="1"/>
  <c r="K14" i="3"/>
  <c r="L14" i="3" s="1"/>
  <c r="M14" i="3" s="1"/>
  <c r="K12" i="3"/>
  <c r="K8" i="3"/>
  <c r="F52" i="3"/>
  <c r="G52" i="3" s="1"/>
  <c r="H52" i="3" s="1"/>
  <c r="F49" i="3"/>
  <c r="F48" i="3"/>
  <c r="G48" i="3" s="1"/>
  <c r="H48" i="3" s="1"/>
  <c r="F47" i="3"/>
  <c r="G47" i="3" s="1"/>
  <c r="F37" i="3"/>
  <c r="G37" i="3" s="1"/>
  <c r="H37" i="3" s="1"/>
  <c r="F36" i="3"/>
  <c r="G36" i="3" s="1"/>
  <c r="H36" i="3" s="1"/>
  <c r="F33" i="3"/>
  <c r="G33" i="3" s="1"/>
  <c r="H33" i="3" s="1"/>
  <c r="F32" i="3"/>
  <c r="G32" i="3" s="1"/>
  <c r="H32" i="3" s="1"/>
  <c r="F31" i="3"/>
  <c r="G31" i="3" s="1"/>
  <c r="H31" i="3" s="1"/>
  <c r="F30" i="3"/>
  <c r="G30" i="3" s="1"/>
  <c r="F24" i="3"/>
  <c r="G24" i="3" s="1"/>
  <c r="H24" i="3" s="1"/>
  <c r="F21" i="3"/>
  <c r="G21" i="3" s="1"/>
  <c r="H21" i="3" s="1"/>
  <c r="F20" i="3"/>
  <c r="G20" i="3" s="1"/>
  <c r="H20" i="3" s="1"/>
  <c r="F18" i="3"/>
  <c r="G18" i="3" s="1"/>
  <c r="H18" i="3" s="1"/>
  <c r="F14" i="3"/>
  <c r="G14" i="3" s="1"/>
  <c r="H14" i="3" s="1"/>
  <c r="F12" i="3"/>
  <c r="G12" i="3" s="1"/>
  <c r="G111" i="1" s="1"/>
  <c r="F11" i="3"/>
  <c r="G11" i="3" s="1"/>
  <c r="H11" i="3" s="1"/>
  <c r="F8" i="3"/>
  <c r="AG16" i="1"/>
  <c r="AH16" i="2"/>
  <c r="AK16" i="2"/>
  <c r="AL16" i="2" s="1"/>
  <c r="AM16" i="2" s="1"/>
  <c r="AN16" i="2" s="1"/>
  <c r="AO16" i="2" s="1"/>
  <c r="AP16" i="2" s="1"/>
  <c r="AA13" i="1"/>
  <c r="AD10" i="1"/>
  <c r="AF22" i="1"/>
  <c r="Z13" i="1"/>
  <c r="AB7" i="1"/>
  <c r="AB13" i="1"/>
  <c r="AD7" i="1"/>
  <c r="AA22" i="1"/>
  <c r="AE22" i="1"/>
  <c r="Z19" i="1"/>
  <c r="AB10" i="1"/>
  <c r="AB22" i="1"/>
  <c r="AD13" i="1"/>
  <c r="AH20" i="1"/>
  <c r="AC11" i="1"/>
  <c r="AC8" i="1"/>
  <c r="AF7" i="1"/>
  <c r="AH36" i="1"/>
  <c r="AC36" i="1"/>
  <c r="AC28" i="1"/>
  <c r="AE10" i="1"/>
  <c r="AH14" i="1"/>
  <c r="AF16" i="1"/>
  <c r="AE16" i="1"/>
  <c r="AF10" i="1"/>
  <c r="AE7" i="1"/>
  <c r="AN33" i="2"/>
  <c r="AP30" i="2"/>
  <c r="F56" i="3"/>
  <c r="G56" i="3"/>
  <c r="H56" i="3"/>
  <c r="I56" i="3"/>
  <c r="J56" i="3"/>
  <c r="K56" i="3"/>
  <c r="L56" i="3"/>
  <c r="M56" i="3"/>
  <c r="N56" i="3"/>
  <c r="O56" i="3"/>
  <c r="P56" i="3"/>
  <c r="Q56" i="3"/>
  <c r="R56" i="3"/>
  <c r="S56" i="3"/>
  <c r="T56" i="3"/>
  <c r="U56" i="3"/>
  <c r="V56" i="3"/>
  <c r="W56" i="3"/>
  <c r="X56" i="3"/>
  <c r="Y56" i="3"/>
  <c r="E56" i="3"/>
  <c r="D56" i="3"/>
  <c r="E54" i="3"/>
  <c r="I54" i="3"/>
  <c r="J54" i="3"/>
  <c r="N54" i="3"/>
  <c r="O54" i="3"/>
  <c r="S54" i="3"/>
  <c r="T54" i="3"/>
  <c r="X54" i="3"/>
  <c r="Y54" i="3"/>
  <c r="D54" i="3"/>
  <c r="E38" i="3"/>
  <c r="I38" i="3"/>
  <c r="J38" i="3"/>
  <c r="N38" i="3"/>
  <c r="O38" i="3"/>
  <c r="S38" i="3"/>
  <c r="T38" i="3"/>
  <c r="X38" i="3"/>
  <c r="Y38" i="3"/>
  <c r="D38" i="3"/>
  <c r="F13" i="2"/>
  <c r="F24" i="2" s="1"/>
  <c r="X43" i="2"/>
  <c r="X38" i="2"/>
  <c r="X36" i="2"/>
  <c r="X30" i="2"/>
  <c r="X29" i="2"/>
  <c r="X98" i="1" s="1"/>
  <c r="X28" i="2"/>
  <c r="X27" i="2"/>
  <c r="X17" i="2"/>
  <c r="X16" i="2"/>
  <c r="X15" i="2"/>
  <c r="X14" i="2"/>
  <c r="X12" i="2"/>
  <c r="X11" i="2"/>
  <c r="X9" i="2"/>
  <c r="X7" i="2"/>
  <c r="X6" i="2"/>
  <c r="S43" i="2"/>
  <c r="S38" i="2"/>
  <c r="S36" i="2"/>
  <c r="S30" i="2"/>
  <c r="S29" i="2"/>
  <c r="S28" i="2"/>
  <c r="S27" i="2"/>
  <c r="S17" i="2"/>
  <c r="S16" i="2"/>
  <c r="S15" i="2"/>
  <c r="S14" i="2"/>
  <c r="S12" i="2"/>
  <c r="S11" i="2"/>
  <c r="S9" i="2"/>
  <c r="S7" i="2"/>
  <c r="S6" i="2"/>
  <c r="N43" i="2"/>
  <c r="N38" i="2"/>
  <c r="N30" i="2"/>
  <c r="N29" i="2"/>
  <c r="N28" i="2"/>
  <c r="N27" i="2"/>
  <c r="N17" i="2"/>
  <c r="N16" i="2"/>
  <c r="N15" i="2"/>
  <c r="N14" i="2"/>
  <c r="N12" i="2"/>
  <c r="N11" i="2"/>
  <c r="N9" i="2"/>
  <c r="N7" i="2"/>
  <c r="N6" i="2"/>
  <c r="N100" i="1" s="1"/>
  <c r="N101" i="1" s="1"/>
  <c r="I43" i="2"/>
  <c r="I38" i="2"/>
  <c r="I30" i="2"/>
  <c r="I29" i="2"/>
  <c r="I98" i="1" s="1"/>
  <c r="I28" i="2"/>
  <c r="I27" i="2"/>
  <c r="I17" i="2"/>
  <c r="I16" i="2"/>
  <c r="I15" i="2"/>
  <c r="I14" i="2"/>
  <c r="I12" i="2"/>
  <c r="I11" i="2"/>
  <c r="I9" i="2"/>
  <c r="I7" i="2"/>
  <c r="I6" i="2"/>
  <c r="I100" i="1" s="1"/>
  <c r="I101" i="1" s="1"/>
  <c r="O33" i="2"/>
  <c r="O40" i="2" s="1"/>
  <c r="O44" i="2" s="1"/>
  <c r="P33" i="2"/>
  <c r="P40" i="2" s="1"/>
  <c r="P44" i="2" s="1"/>
  <c r="Q33" i="2"/>
  <c r="Q40" i="2" s="1"/>
  <c r="Q44" i="2" s="1"/>
  <c r="R33" i="2"/>
  <c r="R40" i="2" s="1"/>
  <c r="R44" i="2" s="1"/>
  <c r="T33" i="2"/>
  <c r="T40" i="2" s="1"/>
  <c r="T44" i="2" s="1"/>
  <c r="U33" i="2"/>
  <c r="U40" i="2" s="1"/>
  <c r="U44" i="2" s="1"/>
  <c r="V33" i="2"/>
  <c r="V40" i="2" s="1"/>
  <c r="V44" i="2" s="1"/>
  <c r="W33" i="2"/>
  <c r="W40" i="2" s="1"/>
  <c r="W44" i="2" s="1"/>
  <c r="Y33" i="2"/>
  <c r="Y40" i="2" s="1"/>
  <c r="Y44" i="2" s="1"/>
  <c r="O13" i="2"/>
  <c r="O24" i="2" s="1"/>
  <c r="P13" i="2"/>
  <c r="P24" i="2" s="1"/>
  <c r="Q13" i="2"/>
  <c r="Q24" i="2" s="1"/>
  <c r="R13" i="2"/>
  <c r="R24" i="2" s="1"/>
  <c r="T13" i="2"/>
  <c r="T24" i="2" s="1"/>
  <c r="U13" i="2"/>
  <c r="U24" i="2" s="1"/>
  <c r="V13" i="2"/>
  <c r="V24" i="2" s="1"/>
  <c r="W13" i="2"/>
  <c r="W24" i="2" s="1"/>
  <c r="Y13" i="2"/>
  <c r="Y24" i="2" s="1"/>
  <c r="D33" i="2"/>
  <c r="D40" i="2" s="1"/>
  <c r="D44" i="2" s="1"/>
  <c r="E33" i="2"/>
  <c r="E40" i="2" s="1"/>
  <c r="E44" i="2" s="1"/>
  <c r="F33" i="2"/>
  <c r="F40" i="2" s="1"/>
  <c r="F44" i="2" s="1"/>
  <c r="G33" i="2"/>
  <c r="G40" i="2" s="1"/>
  <c r="G44" i="2" s="1"/>
  <c r="H33" i="2"/>
  <c r="H40" i="2" s="1"/>
  <c r="H44" i="2" s="1"/>
  <c r="J33" i="2"/>
  <c r="J40" i="2" s="1"/>
  <c r="J44" i="2" s="1"/>
  <c r="K33" i="2"/>
  <c r="K40" i="2" s="1"/>
  <c r="K44" i="2" s="1"/>
  <c r="L33" i="2"/>
  <c r="L40" i="2" s="1"/>
  <c r="L44" i="2" s="1"/>
  <c r="D13" i="2"/>
  <c r="D24" i="2" s="1"/>
  <c r="E13" i="2"/>
  <c r="E24" i="2" s="1"/>
  <c r="G13" i="2"/>
  <c r="G24" i="2" s="1"/>
  <c r="H13" i="2"/>
  <c r="H24" i="2" s="1"/>
  <c r="J13" i="2"/>
  <c r="J24" i="2" s="1"/>
  <c r="K13" i="2"/>
  <c r="K24" i="2" s="1"/>
  <c r="L13" i="2"/>
  <c r="L24" i="2" s="1"/>
  <c r="M33" i="2"/>
  <c r="M40" i="2" s="1"/>
  <c r="M44" i="2" s="1"/>
  <c r="M13" i="2"/>
  <c r="M24" i="2" s="1"/>
  <c r="Y19" i="1"/>
  <c r="Y16" i="1"/>
  <c r="Y13" i="1"/>
  <c r="Y10" i="1"/>
  <c r="Y7" i="1"/>
  <c r="V22" i="1"/>
  <c r="W22" i="1"/>
  <c r="V19" i="1"/>
  <c r="W19" i="1"/>
  <c r="V16" i="1"/>
  <c r="W16" i="1"/>
  <c r="V13" i="1"/>
  <c r="W13" i="1"/>
  <c r="V10" i="1"/>
  <c r="W10" i="1"/>
  <c r="V7" i="1"/>
  <c r="W7" i="1"/>
  <c r="U22" i="1"/>
  <c r="U19" i="1"/>
  <c r="U16" i="1"/>
  <c r="U13" i="1"/>
  <c r="U10" i="1"/>
  <c r="U7" i="1"/>
  <c r="T22" i="1"/>
  <c r="T19" i="1"/>
  <c r="T16" i="1"/>
  <c r="T13" i="1"/>
  <c r="T10" i="1"/>
  <c r="T7" i="1"/>
  <c r="Q22" i="1"/>
  <c r="R22" i="1"/>
  <c r="Q19" i="1"/>
  <c r="R19" i="1"/>
  <c r="Q16" i="1"/>
  <c r="R16" i="1"/>
  <c r="Q13" i="1"/>
  <c r="R13" i="1"/>
  <c r="Q10" i="1"/>
  <c r="R10" i="1"/>
  <c r="Q7" i="1"/>
  <c r="R7" i="1"/>
  <c r="P22" i="1"/>
  <c r="P19" i="1"/>
  <c r="P16" i="1"/>
  <c r="P13" i="1"/>
  <c r="P10" i="1"/>
  <c r="P7" i="1"/>
  <c r="L22" i="1"/>
  <c r="L19" i="1"/>
  <c r="L16" i="1"/>
  <c r="L13" i="1"/>
  <c r="L10" i="1"/>
  <c r="L7" i="1"/>
  <c r="K22" i="1"/>
  <c r="K19" i="1"/>
  <c r="K16" i="1"/>
  <c r="K13" i="1"/>
  <c r="K10" i="1"/>
  <c r="K7" i="1"/>
  <c r="G21" i="1"/>
  <c r="F21" i="1"/>
  <c r="G19" i="1"/>
  <c r="F19" i="1"/>
  <c r="G16" i="1"/>
  <c r="F16" i="1"/>
  <c r="G13" i="1"/>
  <c r="F13" i="1"/>
  <c r="G10" i="1"/>
  <c r="F10" i="1"/>
  <c r="G7" i="1"/>
  <c r="F7" i="1"/>
  <c r="J21" i="1"/>
  <c r="K21" i="1"/>
  <c r="L21" i="1"/>
  <c r="N21" i="1"/>
  <c r="O21" i="1"/>
  <c r="P21" i="1"/>
  <c r="Q21" i="1"/>
  <c r="T21" i="1"/>
  <c r="U21" i="1"/>
  <c r="V21" i="1"/>
  <c r="W21" i="1"/>
  <c r="J18" i="1"/>
  <c r="K18" i="1"/>
  <c r="L18" i="1"/>
  <c r="N18" i="1"/>
  <c r="O18" i="1"/>
  <c r="P18" i="1"/>
  <c r="Q18" i="1"/>
  <c r="T18" i="1"/>
  <c r="U18" i="1"/>
  <c r="V18" i="1"/>
  <c r="W18" i="1"/>
  <c r="J15" i="1"/>
  <c r="K15" i="1"/>
  <c r="L15" i="1"/>
  <c r="N15" i="1"/>
  <c r="O15" i="1"/>
  <c r="P15" i="1"/>
  <c r="Q15" i="1"/>
  <c r="T15" i="1"/>
  <c r="U15" i="1"/>
  <c r="V15" i="1"/>
  <c r="W15" i="1"/>
  <c r="J12" i="1"/>
  <c r="K12" i="1"/>
  <c r="L12" i="1"/>
  <c r="N12" i="1"/>
  <c r="O12" i="1"/>
  <c r="P12" i="1"/>
  <c r="Q12" i="1"/>
  <c r="T12" i="1"/>
  <c r="U12" i="1"/>
  <c r="V12" i="1"/>
  <c r="W12" i="1"/>
  <c r="J9" i="1"/>
  <c r="K9" i="1"/>
  <c r="L9" i="1"/>
  <c r="N9" i="1"/>
  <c r="O9" i="1"/>
  <c r="P9" i="1"/>
  <c r="Q9" i="1"/>
  <c r="T9" i="1"/>
  <c r="U9" i="1"/>
  <c r="V9" i="1"/>
  <c r="W9" i="1"/>
  <c r="K6" i="1"/>
  <c r="L6" i="1"/>
  <c r="N6" i="1"/>
  <c r="O6" i="1"/>
  <c r="P6" i="1"/>
  <c r="Q6" i="1"/>
  <c r="T6" i="1"/>
  <c r="U6" i="1"/>
  <c r="V6" i="1"/>
  <c r="W6" i="1"/>
  <c r="Y6" i="1"/>
  <c r="J6" i="1"/>
  <c r="I21" i="1"/>
  <c r="I18" i="1"/>
  <c r="I15" i="1"/>
  <c r="I12" i="1"/>
  <c r="I9" i="1"/>
  <c r="I6" i="1"/>
  <c r="E37" i="1"/>
  <c r="F37" i="1"/>
  <c r="G37" i="1"/>
  <c r="I37" i="1"/>
  <c r="J37" i="1"/>
  <c r="K37" i="1"/>
  <c r="L37" i="1"/>
  <c r="N37" i="1"/>
  <c r="O37" i="1"/>
  <c r="P37" i="1"/>
  <c r="Q37" i="1"/>
  <c r="R37" i="1"/>
  <c r="T37" i="1"/>
  <c r="U37" i="1"/>
  <c r="V37" i="1"/>
  <c r="W37" i="1"/>
  <c r="E35" i="1"/>
  <c r="F35" i="1"/>
  <c r="G35" i="1"/>
  <c r="I35" i="1"/>
  <c r="J35" i="1"/>
  <c r="K35" i="1"/>
  <c r="L35" i="1"/>
  <c r="N35" i="1"/>
  <c r="O35" i="1"/>
  <c r="P35" i="1"/>
  <c r="Q35" i="1"/>
  <c r="R35" i="1"/>
  <c r="T35" i="1"/>
  <c r="U35" i="1"/>
  <c r="V35" i="1"/>
  <c r="W35" i="1"/>
  <c r="Y35" i="1"/>
  <c r="E29" i="1"/>
  <c r="F29" i="1"/>
  <c r="G29" i="1"/>
  <c r="I29" i="1"/>
  <c r="J29" i="1"/>
  <c r="K29" i="1"/>
  <c r="L29" i="1"/>
  <c r="N29" i="1"/>
  <c r="O29" i="1"/>
  <c r="P29" i="1"/>
  <c r="Q29" i="1"/>
  <c r="R29" i="1"/>
  <c r="Y29" i="1"/>
  <c r="D37" i="1"/>
  <c r="D35" i="1"/>
  <c r="D29" i="1"/>
  <c r="M95" i="1"/>
  <c r="M90" i="1" s="1"/>
  <c r="M96" i="1"/>
  <c r="H96" i="1"/>
  <c r="H95" i="1"/>
  <c r="H90" i="1" s="1"/>
  <c r="H71" i="1"/>
  <c r="H48" i="1"/>
  <c r="H46" i="1"/>
  <c r="J131" i="1" s="1"/>
  <c r="H36" i="1"/>
  <c r="H34" i="1"/>
  <c r="H32" i="1"/>
  <c r="H30" i="1"/>
  <c r="H28" i="1"/>
  <c r="H20" i="1"/>
  <c r="J22" i="1" s="1"/>
  <c r="H17" i="1"/>
  <c r="H14" i="1"/>
  <c r="H16" i="1" s="1"/>
  <c r="H11" i="1"/>
  <c r="J13" i="1" s="1"/>
  <c r="H8" i="1"/>
  <c r="H5" i="1"/>
  <c r="M71" i="1"/>
  <c r="M50" i="1"/>
  <c r="M48" i="1"/>
  <c r="M46" i="1"/>
  <c r="M36" i="1"/>
  <c r="M34" i="1"/>
  <c r="M32" i="1"/>
  <c r="M67" i="1" s="1"/>
  <c r="M30" i="1"/>
  <c r="M28" i="1"/>
  <c r="M20" i="1"/>
  <c r="R21" i="1" s="1"/>
  <c r="M17" i="1"/>
  <c r="O19" i="1" s="1"/>
  <c r="M14" i="1"/>
  <c r="M11" i="1"/>
  <c r="M50" i="9" s="1"/>
  <c r="M8" i="1"/>
  <c r="R9" i="1" s="1"/>
  <c r="M5" i="1"/>
  <c r="M7" i="1" s="1"/>
  <c r="G52" i="1"/>
  <c r="F50" i="1"/>
  <c r="F52" i="1" s="1"/>
  <c r="I50" i="1"/>
  <c r="S71" i="1"/>
  <c r="S50" i="1"/>
  <c r="S48" i="1"/>
  <c r="S46" i="1"/>
  <c r="S36" i="1"/>
  <c r="S34" i="1"/>
  <c r="S32" i="1"/>
  <c r="S30" i="1"/>
  <c r="S28" i="1"/>
  <c r="S20" i="1"/>
  <c r="S17" i="1"/>
  <c r="S18" i="1" s="1"/>
  <c r="S14" i="1"/>
  <c r="S15" i="1" s="1"/>
  <c r="S11" i="1"/>
  <c r="S8" i="1"/>
  <c r="S5" i="1"/>
  <c r="X50" i="1"/>
  <c r="X48" i="1"/>
  <c r="X36" i="1"/>
  <c r="X34" i="1"/>
  <c r="X30" i="1"/>
  <c r="X20" i="1"/>
  <c r="X17" i="1"/>
  <c r="X14" i="1"/>
  <c r="X66" i="9" s="1"/>
  <c r="X11" i="1"/>
  <c r="X8" i="1"/>
  <c r="X22" i="9" s="1"/>
  <c r="X5" i="1"/>
  <c r="D52" i="1"/>
  <c r="E52" i="1"/>
  <c r="J52" i="1"/>
  <c r="K52" i="1"/>
  <c r="L52" i="1"/>
  <c r="N52" i="1"/>
  <c r="O52" i="1"/>
  <c r="P52" i="1"/>
  <c r="Q52" i="1"/>
  <c r="R52" i="1"/>
  <c r="D38" i="1"/>
  <c r="E38" i="1"/>
  <c r="F38" i="1"/>
  <c r="G38" i="1"/>
  <c r="I38" i="1"/>
  <c r="J38" i="1"/>
  <c r="K38" i="1"/>
  <c r="L38" i="1"/>
  <c r="N38" i="1"/>
  <c r="O38" i="1"/>
  <c r="P38" i="1"/>
  <c r="Q38" i="1"/>
  <c r="R38" i="1"/>
  <c r="Z23" i="1"/>
  <c r="AD23" i="1"/>
  <c r="AE23" i="1"/>
  <c r="AE94" i="9" s="1"/>
  <c r="D23" i="1"/>
  <c r="D51" i="1" s="1"/>
  <c r="E23" i="1"/>
  <c r="F23" i="1"/>
  <c r="G23" i="1"/>
  <c r="I23" i="1"/>
  <c r="I94" i="9" s="1"/>
  <c r="J23" i="1"/>
  <c r="J60" i="2" s="1"/>
  <c r="K23" i="1"/>
  <c r="L23" i="1"/>
  <c r="L59" i="2" s="1"/>
  <c r="N23" i="1"/>
  <c r="N49" i="1" s="1"/>
  <c r="O23" i="1"/>
  <c r="O59" i="2" s="1"/>
  <c r="P23" i="1"/>
  <c r="P63" i="2" s="1"/>
  <c r="Q23" i="1"/>
  <c r="Q56" i="2" s="1"/>
  <c r="R23" i="1"/>
  <c r="R63" i="2" s="1"/>
  <c r="T23" i="1"/>
  <c r="U23" i="1"/>
  <c r="U62" i="2" s="1"/>
  <c r="V23" i="1"/>
  <c r="V49" i="1" s="1"/>
  <c r="W23" i="1"/>
  <c r="W63" i="2" s="1"/>
  <c r="AC12" i="2"/>
  <c r="AH12" i="2"/>
  <c r="AM12" i="2"/>
  <c r="AP12" i="2"/>
  <c r="AP13" i="2" s="1"/>
  <c r="AR12" i="2"/>
  <c r="AS12" i="2" s="1"/>
  <c r="AT12" i="2" s="1"/>
  <c r="AD110" i="1"/>
  <c r="E107" i="1"/>
  <c r="P107" i="1"/>
  <c r="P6" i="3"/>
  <c r="E6" i="3"/>
  <c r="E75" i="1"/>
  <c r="S107" i="1"/>
  <c r="R107" i="1"/>
  <c r="P90" i="1"/>
  <c r="E90" i="1"/>
  <c r="L107" i="1"/>
  <c r="F107" i="1"/>
  <c r="D75" i="1"/>
  <c r="D107" i="1"/>
  <c r="I6" i="3"/>
  <c r="I75" i="1"/>
  <c r="L6" i="3"/>
  <c r="R6" i="3"/>
  <c r="S6" i="3"/>
  <c r="F6" i="3"/>
  <c r="D6" i="3"/>
  <c r="D90" i="1"/>
  <c r="F90" i="1"/>
  <c r="J107" i="1"/>
  <c r="I90" i="1"/>
  <c r="H107" i="1"/>
  <c r="R90" i="1"/>
  <c r="M107" i="1"/>
  <c r="O107" i="1"/>
  <c r="K107" i="1"/>
  <c r="S90" i="1"/>
  <c r="Q107" i="1"/>
  <c r="L90" i="1"/>
  <c r="G107" i="1"/>
  <c r="K6" i="3"/>
  <c r="M6" i="3"/>
  <c r="G6" i="3"/>
  <c r="J6" i="3"/>
  <c r="J75" i="1"/>
  <c r="O6" i="3"/>
  <c r="H6" i="3"/>
  <c r="N6" i="3"/>
  <c r="Q6" i="3"/>
  <c r="G90" i="1"/>
  <c r="K90" i="1"/>
  <c r="Q90" i="1"/>
  <c r="J90" i="1"/>
  <c r="N90" i="1"/>
  <c r="O90" i="1"/>
  <c r="Z33" i="2"/>
  <c r="Z40" i="2" s="1"/>
  <c r="AA70" i="9"/>
  <c r="AA15" i="1"/>
  <c r="AF15" i="1"/>
  <c r="AA16" i="1"/>
  <c r="AB15" i="1"/>
  <c r="AG15" i="1"/>
  <c r="AD16" i="1"/>
  <c r="AB16" i="1"/>
  <c r="AB23" i="1"/>
  <c r="AB51" i="1" s="1"/>
  <c r="AC14" i="1"/>
  <c r="AC11" i="2"/>
  <c r="AC14" i="2"/>
  <c r="AB110" i="1"/>
  <c r="AC7" i="2"/>
  <c r="AC27" i="2"/>
  <c r="AC29" i="2"/>
  <c r="AC51" i="2" s="1"/>
  <c r="AA18" i="1"/>
  <c r="AA19" i="1"/>
  <c r="AC17" i="1"/>
  <c r="AB19" i="1"/>
  <c r="AA23" i="1"/>
  <c r="AA49" i="1" s="1"/>
  <c r="AK18" i="1"/>
  <c r="AK19" i="1"/>
  <c r="AM17" i="1"/>
  <c r="AL19" i="1"/>
  <c r="AF18" i="1"/>
  <c r="AH17" i="1"/>
  <c r="AF19" i="1"/>
  <c r="AG19" i="1"/>
  <c r="AF23" i="1"/>
  <c r="AF59" i="2" s="1"/>
  <c r="AC34" i="1"/>
  <c r="AK110" i="1"/>
  <c r="AM34" i="1"/>
  <c r="AC48" i="1"/>
  <c r="AA110" i="1"/>
  <c r="AC50" i="1"/>
  <c r="AF110" i="1"/>
  <c r="AH34" i="1"/>
  <c r="AA13" i="2"/>
  <c r="AA24" i="2" s="1"/>
  <c r="AC15" i="2"/>
  <c r="AB13" i="2"/>
  <c r="AC6" i="2"/>
  <c r="AD13" i="2"/>
  <c r="AD24" i="2" s="1"/>
  <c r="AH5" i="1"/>
  <c r="AG6" i="1"/>
  <c r="AG7" i="1"/>
  <c r="AI7" i="1"/>
  <c r="AH28" i="1"/>
  <c r="AM5" i="1"/>
  <c r="AN7" i="1"/>
  <c r="AL6" i="1"/>
  <c r="AL7" i="1"/>
  <c r="AH50" i="1"/>
  <c r="AG110" i="1"/>
  <c r="AM28" i="1"/>
  <c r="AM50" i="1"/>
  <c r="AL110" i="1"/>
  <c r="AE13" i="2"/>
  <c r="AE24" i="2" s="1"/>
  <c r="AF13" i="2"/>
  <c r="AF24" i="2" s="1"/>
  <c r="AH15" i="2"/>
  <c r="AM15" i="2"/>
  <c r="AI10" i="1"/>
  <c r="AG10" i="1"/>
  <c r="AG9" i="1"/>
  <c r="AH8" i="1"/>
  <c r="AN10" i="1"/>
  <c r="AL9" i="1"/>
  <c r="AL10" i="1"/>
  <c r="AM8" i="1"/>
  <c r="AC52" i="9"/>
  <c r="AH58" i="9"/>
  <c r="AC54" i="9"/>
  <c r="AG13" i="1"/>
  <c r="AG12" i="1"/>
  <c r="AI13" i="1"/>
  <c r="AH11" i="1"/>
  <c r="AG23" i="1"/>
  <c r="AH11" i="2"/>
  <c r="AH14" i="2"/>
  <c r="AG98" i="1"/>
  <c r="AH48" i="1"/>
  <c r="AH7" i="2"/>
  <c r="AH27" i="2"/>
  <c r="AH29" i="2"/>
  <c r="AH51" i="2" s="1"/>
  <c r="AH85" i="1"/>
  <c r="AG13" i="2"/>
  <c r="AH13" i="2" s="1"/>
  <c r="AH6" i="2"/>
  <c r="AI13" i="2"/>
  <c r="AI24" i="2" s="1"/>
  <c r="AF59" i="9"/>
  <c r="AF55" i="9" s="1"/>
  <c r="AF54" i="9"/>
  <c r="AK13" i="1"/>
  <c r="AK12" i="1"/>
  <c r="AK23" i="1"/>
  <c r="AK138" i="1" s="1"/>
  <c r="AK98" i="1"/>
  <c r="AK100" i="1"/>
  <c r="AK101" i="1" s="1"/>
  <c r="AK13" i="2"/>
  <c r="AH54" i="9"/>
  <c r="AL13" i="1"/>
  <c r="AL12" i="1"/>
  <c r="AN13" i="1"/>
  <c r="AL23" i="1"/>
  <c r="AL138" i="1" s="1"/>
  <c r="AM11" i="1"/>
  <c r="AM11" i="2"/>
  <c r="AM14" i="2"/>
  <c r="AL98" i="1"/>
  <c r="AM48" i="1"/>
  <c r="AM29" i="2"/>
  <c r="AM7" i="2"/>
  <c r="AM27" i="2"/>
  <c r="AM85" i="1"/>
  <c r="AL100" i="1"/>
  <c r="AL101" i="1" s="1"/>
  <c r="AL13" i="2"/>
  <c r="AM6" i="2"/>
  <c r="AN13" i="2"/>
  <c r="AM54" i="9"/>
  <c r="AK59" i="9"/>
  <c r="AK55" i="9" s="1"/>
  <c r="AK54" i="9"/>
  <c r="AP59" i="9"/>
  <c r="AO31" i="8"/>
  <c r="AO108" i="8"/>
  <c r="AO30" i="8"/>
  <c r="AO33" i="8" s="1"/>
  <c r="I10" i="3"/>
  <c r="I9" i="3" s="1"/>
  <c r="AR26" i="9"/>
  <c r="AQ18" i="1"/>
  <c r="AS22" i="1"/>
  <c r="AV21" i="1"/>
  <c r="AR70" i="9"/>
  <c r="AR10" i="9"/>
  <c r="AQ21" i="1"/>
  <c r="AQ22" i="1"/>
  <c r="AP21" i="1"/>
  <c r="AP22" i="1"/>
  <c r="AR20" i="1"/>
  <c r="AO21" i="1"/>
  <c r="AP18" i="1"/>
  <c r="AN125" i="8"/>
  <c r="AO18" i="1"/>
  <c r="AP19" i="1"/>
  <c r="AM125" i="8"/>
  <c r="AO19" i="1"/>
  <c r="AO68" i="9"/>
  <c r="AO52" i="9"/>
  <c r="AR11" i="1"/>
  <c r="AO9" i="1"/>
  <c r="AO125" i="8"/>
  <c r="AQ19" i="1"/>
  <c r="AR17" i="1"/>
  <c r="AR68" i="9"/>
  <c r="AQ12" i="1"/>
  <c r="AQ13" i="1"/>
  <c r="BA88" i="9"/>
  <c r="AW16" i="2"/>
  <c r="AX16" i="2" s="1"/>
  <c r="AY16" i="2" s="1"/>
  <c r="AZ16" i="2" s="1"/>
  <c r="AR24" i="9"/>
  <c r="AP12" i="1"/>
  <c r="AU68" i="9"/>
  <c r="AR52" i="9"/>
  <c r="AW52" i="9"/>
  <c r="AR36" i="1"/>
  <c r="AR34" i="1"/>
  <c r="AO12" i="1"/>
  <c r="AO13" i="1"/>
  <c r="AP13" i="1"/>
  <c r="AM110" i="8"/>
  <c r="AM117" i="8" s="1"/>
  <c r="AO10" i="1"/>
  <c r="AO6" i="1"/>
  <c r="AM121" i="8"/>
  <c r="AO7" i="1"/>
  <c r="AQ9" i="1"/>
  <c r="AS10" i="1"/>
  <c r="AS7" i="1"/>
  <c r="AP15" i="1"/>
  <c r="AO23" i="1"/>
  <c r="AO49" i="2" s="1"/>
  <c r="AP16" i="1"/>
  <c r="AO15" i="1"/>
  <c r="AO16" i="1"/>
  <c r="AQ6" i="1"/>
  <c r="AR15" i="2"/>
  <c r="AU24" i="9"/>
  <c r="AU22" i="9"/>
  <c r="AR5" i="1"/>
  <c r="AW36" i="2"/>
  <c r="AY36" i="2"/>
  <c r="AZ36" i="2" s="1"/>
  <c r="BA36" i="2" s="1"/>
  <c r="BB36" i="2" s="1"/>
  <c r="BC36" i="2" s="1"/>
  <c r="BD36" i="2" s="1"/>
  <c r="BE36" i="2" s="1"/>
  <c r="AQ7" i="1"/>
  <c r="AP9" i="1"/>
  <c r="AP10" i="1"/>
  <c r="AN110" i="8"/>
  <c r="AQ10" i="1"/>
  <c r="AO110" i="8"/>
  <c r="AO117" i="8" s="1"/>
  <c r="AR8" i="1"/>
  <c r="AP6" i="1"/>
  <c r="AP23" i="1"/>
  <c r="AP138" i="1" s="1"/>
  <c r="AN121" i="8"/>
  <c r="AP7" i="1"/>
  <c r="AO121" i="8"/>
  <c r="AR14" i="2"/>
  <c r="AQ98" i="1"/>
  <c r="AR11" i="2"/>
  <c r="AO33" i="2"/>
  <c r="AP98" i="1"/>
  <c r="AR7" i="2"/>
  <c r="AR27" i="2"/>
  <c r="AR29" i="2"/>
  <c r="AR48" i="1"/>
  <c r="AU51" i="2"/>
  <c r="AU98" i="1"/>
  <c r="AW15" i="2"/>
  <c r="AS12" i="1"/>
  <c r="AT13" i="1"/>
  <c r="AS13" i="1"/>
  <c r="AS59" i="9"/>
  <c r="AS68" i="9"/>
  <c r="AS19" i="1"/>
  <c r="AS18" i="1"/>
  <c r="AT19" i="1"/>
  <c r="AS98" i="1"/>
  <c r="AR28" i="1"/>
  <c r="AR85" i="1"/>
  <c r="AO13" i="2"/>
  <c r="AQ13" i="2"/>
  <c r="AR13" i="2" s="1"/>
  <c r="AR6" i="2"/>
  <c r="AT7" i="1"/>
  <c r="AW5" i="1"/>
  <c r="AT51" i="2"/>
  <c r="AT98" i="1"/>
  <c r="AR54" i="9"/>
  <c r="AV12" i="1"/>
  <c r="AV13" i="1"/>
  <c r="AW11" i="1"/>
  <c r="AR17" i="9"/>
  <c r="AY88" i="9"/>
  <c r="AY50" i="9"/>
  <c r="AY12" i="1"/>
  <c r="AX50" i="9"/>
  <c r="AY59" i="9"/>
  <c r="BC22" i="1"/>
  <c r="AW24" i="9"/>
  <c r="AX59" i="9"/>
  <c r="AW54" i="9"/>
  <c r="AZ59" i="9"/>
  <c r="AX68" i="9"/>
  <c r="AY18" i="1"/>
  <c r="AY24" i="9"/>
  <c r="D18" i="18"/>
  <c r="G18" i="18"/>
  <c r="L20" i="18"/>
  <c r="M20" i="18" s="1"/>
  <c r="H18" i="18"/>
  <c r="Q20" i="18"/>
  <c r="R20" i="18" s="1"/>
  <c r="Q18" i="18"/>
  <c r="D20" i="18"/>
  <c r="E18" i="18"/>
  <c r="AW96" i="1"/>
  <c r="AV7" i="1"/>
  <c r="AV6" i="1"/>
  <c r="AW20" i="1"/>
  <c r="BA21" i="1"/>
  <c r="AX18" i="1"/>
  <c r="AY19" i="1"/>
  <c r="BA22" i="1"/>
  <c r="AZ21" i="1"/>
  <c r="AX21" i="1"/>
  <c r="AX12" i="1"/>
  <c r="AY13" i="1"/>
  <c r="AX13" i="1"/>
  <c r="AY68" i="9"/>
  <c r="AX24" i="9"/>
  <c r="AY4" i="9"/>
  <c r="AW8" i="1"/>
  <c r="AX22" i="1"/>
  <c r="BA19" i="1"/>
  <c r="AZ19" i="1"/>
  <c r="BB17" i="1"/>
  <c r="AZ18" i="1"/>
  <c r="BB82" i="9"/>
  <c r="AZ88" i="9"/>
  <c r="AW70" i="9"/>
  <c r="BB53" i="9"/>
  <c r="BB54" i="9" s="1"/>
  <c r="AW26" i="9"/>
  <c r="AZ24" i="9"/>
  <c r="AY22" i="9"/>
  <c r="AY39" i="9" s="1"/>
  <c r="AW36" i="1"/>
  <c r="AW28" i="1"/>
  <c r="AV10" i="1"/>
  <c r="AV9" i="1"/>
  <c r="AZ12" i="1"/>
  <c r="BC68" i="9"/>
  <c r="AW68" i="9"/>
  <c r="AX10" i="1"/>
  <c r="AX9" i="1"/>
  <c r="AX6" i="1"/>
  <c r="AX7" i="1"/>
  <c r="AY6" i="1"/>
  <c r="AY7" i="1"/>
  <c r="AY10" i="1"/>
  <c r="AY9" i="1"/>
  <c r="AY122" i="1"/>
  <c r="AX51" i="2"/>
  <c r="AX98" i="1"/>
  <c r="AZ30" i="2"/>
  <c r="BA30" i="2" s="1"/>
  <c r="AQ21" i="8"/>
  <c r="AQ23" i="8" s="1"/>
  <c r="AR21" i="8"/>
  <c r="AR23" i="8" s="1"/>
  <c r="AR26" i="8"/>
  <c r="AR27" i="8"/>
  <c r="AS21" i="8"/>
  <c r="AS40" i="8" s="1"/>
  <c r="AS26" i="8"/>
  <c r="AX27" i="8"/>
  <c r="AY41" i="8"/>
  <c r="AT24" i="8"/>
  <c r="AT26" i="8"/>
  <c r="AY26" i="8"/>
  <c r="AY27" i="8"/>
  <c r="AW17" i="1"/>
  <c r="AV18" i="1"/>
  <c r="BA18" i="1"/>
  <c r="AV19" i="1"/>
  <c r="AX19" i="1"/>
  <c r="AV38" i="1"/>
  <c r="AW34" i="1"/>
  <c r="AW48" i="1"/>
  <c r="AW14" i="2"/>
  <c r="AV98" i="1"/>
  <c r="AW29" i="2"/>
  <c r="AV51" i="2"/>
  <c r="AW27" i="2"/>
  <c r="AW11" i="2"/>
  <c r="AW7" i="2"/>
  <c r="AW85" i="1"/>
  <c r="AW6" i="2"/>
  <c r="AY18" i="8"/>
  <c r="AY21" i="8"/>
  <c r="AX38" i="1"/>
  <c r="AX100" i="1"/>
  <c r="AX101" i="1" s="1"/>
  <c r="BD90" i="9"/>
  <c r="BB20" i="1"/>
  <c r="AY23" i="1"/>
  <c r="AY38" i="1"/>
  <c r="BD21" i="1"/>
  <c r="AZ91" i="9"/>
  <c r="AY21" i="1"/>
  <c r="AZ22" i="1"/>
  <c r="AY22" i="1"/>
  <c r="V36" i="18"/>
  <c r="M28" i="18"/>
  <c r="T30" i="18"/>
  <c r="G36" i="18"/>
  <c r="Q34" i="18"/>
  <c r="U30" i="18"/>
  <c r="U26" i="18"/>
  <c r="D30" i="18"/>
  <c r="L36" i="18"/>
  <c r="F28" i="18"/>
  <c r="G34" i="18"/>
  <c r="K30" i="18"/>
  <c r="F26" i="18"/>
  <c r="O28" i="18"/>
  <c r="S36" i="18"/>
  <c r="E28" i="18"/>
  <c r="Q26" i="18"/>
  <c r="R28" i="18"/>
  <c r="P26" i="18"/>
  <c r="O26" i="18"/>
  <c r="N28" i="18"/>
  <c r="W26" i="18"/>
  <c r="K36" i="18"/>
  <c r="W34" i="18"/>
  <c r="D36" i="18"/>
  <c r="R26" i="18"/>
  <c r="S30" i="18"/>
  <c r="V34" i="18"/>
  <c r="H34" i="18"/>
  <c r="E26" i="18"/>
  <c r="T28" i="18"/>
  <c r="P36" i="18"/>
  <c r="E34" i="18"/>
  <c r="F36" i="18"/>
  <c r="R34" i="18"/>
  <c r="Q30" i="18"/>
  <c r="Q36" i="18"/>
  <c r="G30" i="18"/>
  <c r="G26" i="18"/>
  <c r="G28" i="18"/>
  <c r="O30" i="18"/>
  <c r="M26" i="18"/>
  <c r="P28" i="18"/>
  <c r="S34" i="18"/>
  <c r="V30" i="18"/>
  <c r="U28" i="18"/>
  <c r="H28" i="18"/>
  <c r="N36" i="18"/>
  <c r="H26" i="18"/>
  <c r="P34" i="18"/>
  <c r="W28" i="18"/>
  <c r="S26" i="18"/>
  <c r="W30" i="18"/>
  <c r="M30" i="18"/>
  <c r="W36" i="18"/>
  <c r="E36" i="18"/>
  <c r="D34" i="18"/>
  <c r="O34" i="18"/>
  <c r="F34" i="18"/>
  <c r="N30" i="18"/>
  <c r="M36" i="18"/>
  <c r="V26" i="18"/>
  <c r="Q28" i="18"/>
  <c r="O36" i="18"/>
  <c r="E30" i="18"/>
  <c r="K34" i="18"/>
  <c r="M34" i="18"/>
  <c r="S28" i="18"/>
  <c r="U34" i="18"/>
  <c r="T36" i="18"/>
  <c r="L26" i="18"/>
  <c r="U36" i="18"/>
  <c r="R36" i="18"/>
  <c r="K26" i="18"/>
  <c r="AB16" i="9" l="1"/>
  <c r="AI139" i="1"/>
  <c r="AI140" i="1" s="1"/>
  <c r="AK38" i="1"/>
  <c r="R52" i="9"/>
  <c r="AB49" i="2"/>
  <c r="AW27" i="8"/>
  <c r="AD21" i="1"/>
  <c r="AC22" i="3"/>
  <c r="AP63" i="2"/>
  <c r="AW21" i="3"/>
  <c r="AZ55" i="9"/>
  <c r="AZ56" i="9" s="1"/>
  <c r="Q94" i="9"/>
  <c r="AH18" i="3"/>
  <c r="AS11" i="9"/>
  <c r="AS12" i="9" s="1"/>
  <c r="AG27" i="8"/>
  <c r="Q116" i="1"/>
  <c r="Q49" i="1"/>
  <c r="Q60" i="2"/>
  <c r="AU23" i="1"/>
  <c r="AU138" i="1" s="1"/>
  <c r="AI38" i="1"/>
  <c r="AI40" i="1" s="1"/>
  <c r="AI41" i="1" s="1"/>
  <c r="AU122" i="1"/>
  <c r="M22" i="9"/>
  <c r="O39" i="9" s="1"/>
  <c r="AE49" i="1"/>
  <c r="AI75" i="9"/>
  <c r="CH10" i="2"/>
  <c r="H131" i="1"/>
  <c r="S66" i="9"/>
  <c r="S79" i="9" s="1"/>
  <c r="AE55" i="2"/>
  <c r="L62" i="2"/>
  <c r="AV15" i="9"/>
  <c r="AW15" i="9" s="1"/>
  <c r="AW16" i="9" s="1"/>
  <c r="Q59" i="2"/>
  <c r="Q62" i="2"/>
  <c r="T47" i="8"/>
  <c r="T52" i="1"/>
  <c r="L94" i="9"/>
  <c r="AT52" i="2"/>
  <c r="BG87" i="9"/>
  <c r="AE62" i="2"/>
  <c r="AC41" i="8"/>
  <c r="AZ63" i="9"/>
  <c r="AO116" i="8"/>
  <c r="AO119" i="8" s="1"/>
  <c r="AT55" i="9"/>
  <c r="AT56" i="9" s="1"/>
  <c r="T47" i="1"/>
  <c r="M82" i="9"/>
  <c r="O88" i="9" s="1"/>
  <c r="AH22" i="3"/>
  <c r="S82" i="9"/>
  <c r="S87" i="9" s="1"/>
  <c r="W47" i="2"/>
  <c r="AM42" i="8"/>
  <c r="AM45" i="8" s="1"/>
  <c r="AS52" i="2"/>
  <c r="O13" i="1"/>
  <c r="AJ52" i="2"/>
  <c r="M29" i="1"/>
  <c r="AJ9" i="3"/>
  <c r="AJ62" i="3" s="1"/>
  <c r="AJ27" i="9"/>
  <c r="AJ28" i="9" s="1"/>
  <c r="AN41" i="8"/>
  <c r="AN44" i="8" s="1"/>
  <c r="D47" i="2"/>
  <c r="AM120" i="8"/>
  <c r="AM122" i="8" s="1"/>
  <c r="H13" i="1"/>
  <c r="AR40" i="8"/>
  <c r="AR43" i="8" s="1"/>
  <c r="AH18" i="1"/>
  <c r="AN55" i="9"/>
  <c r="AN56" i="9" s="1"/>
  <c r="AX35" i="8"/>
  <c r="L49" i="1"/>
  <c r="M9" i="1"/>
  <c r="AW46" i="1"/>
  <c r="AW52" i="1" s="1"/>
  <c r="N51" i="1"/>
  <c r="AG23" i="9"/>
  <c r="AH23" i="9" s="1"/>
  <c r="AM24" i="9" s="1"/>
  <c r="AL36" i="9"/>
  <c r="AW9" i="1"/>
  <c r="AK40" i="1"/>
  <c r="AK41" i="1" s="1"/>
  <c r="H47" i="2"/>
  <c r="AU64" i="1"/>
  <c r="AX22" i="8"/>
  <c r="AG139" i="1"/>
  <c r="AU30" i="9"/>
  <c r="AZ36" i="9"/>
  <c r="AU64" i="9"/>
  <c r="AQ22" i="8"/>
  <c r="AL55" i="2"/>
  <c r="AP38" i="1"/>
  <c r="AP40" i="1" s="1"/>
  <c r="AP54" i="1" s="1"/>
  <c r="R24" i="9"/>
  <c r="AV23" i="8"/>
  <c r="Z73" i="9"/>
  <c r="Z74" i="9" s="1"/>
  <c r="AU9" i="3"/>
  <c r="AU62" i="3" s="1"/>
  <c r="D49" i="1"/>
  <c r="N47" i="1"/>
  <c r="AE49" i="2"/>
  <c r="H10" i="1"/>
  <c r="N82" i="1"/>
  <c r="V55" i="2"/>
  <c r="N94" i="9"/>
  <c r="N99" i="9" s="1"/>
  <c r="AE47" i="1"/>
  <c r="V62" i="2"/>
  <c r="V51" i="1"/>
  <c r="AH47" i="8"/>
  <c r="AM46" i="8" s="1"/>
  <c r="V60" i="2"/>
  <c r="V59" i="2"/>
  <c r="AO56" i="2"/>
  <c r="AE59" i="2"/>
  <c r="V63" i="2"/>
  <c r="L63" i="2"/>
  <c r="AC18" i="1"/>
  <c r="D76" i="1"/>
  <c r="AE60" i="2"/>
  <c r="Y47" i="8"/>
  <c r="L47" i="1"/>
  <c r="AI56" i="2"/>
  <c r="W25" i="1"/>
  <c r="V49" i="2"/>
  <c r="AP25" i="1"/>
  <c r="AF25" i="1"/>
  <c r="AR8" i="9"/>
  <c r="AP55" i="9"/>
  <c r="AP56" i="9" s="1"/>
  <c r="AW14" i="3"/>
  <c r="AR14" i="3"/>
  <c r="AQ7" i="9"/>
  <c r="AQ13" i="9" s="1"/>
  <c r="AS27" i="9"/>
  <c r="AS28" i="9" s="1"/>
  <c r="AS14" i="9"/>
  <c r="AT63" i="9"/>
  <c r="AW97" i="9"/>
  <c r="AS30" i="9"/>
  <c r="AU27" i="9"/>
  <c r="AU28" i="9" s="1"/>
  <c r="AT64" i="9"/>
  <c r="AG112" i="9"/>
  <c r="BB97" i="9"/>
  <c r="AY11" i="9"/>
  <c r="AK58" i="9"/>
  <c r="AL60" i="2"/>
  <c r="AI52" i="2"/>
  <c r="R47" i="2"/>
  <c r="AA94" i="9"/>
  <c r="AJ55" i="2"/>
  <c r="I47" i="1"/>
  <c r="AF62" i="2"/>
  <c r="AT33" i="1"/>
  <c r="AV64" i="1"/>
  <c r="AA55" i="2"/>
  <c r="AL63" i="2"/>
  <c r="AO47" i="8"/>
  <c r="AL59" i="2"/>
  <c r="AK49" i="1"/>
  <c r="AN47" i="8"/>
  <c r="AL49" i="2"/>
  <c r="AL62" i="2"/>
  <c r="AK49" i="2"/>
  <c r="W24" i="9"/>
  <c r="AR31" i="9"/>
  <c r="AU55" i="9"/>
  <c r="AU56" i="9" s="1"/>
  <c r="AL112" i="9"/>
  <c r="AP11" i="9"/>
  <c r="AP12" i="9" s="1"/>
  <c r="AX55" i="9"/>
  <c r="AN52" i="9"/>
  <c r="AU74" i="9"/>
  <c r="AI52" i="9"/>
  <c r="W52" i="9"/>
  <c r="AL51" i="9"/>
  <c r="AQ58" i="9" s="1"/>
  <c r="AL90" i="9"/>
  <c r="AP14" i="9"/>
  <c r="W68" i="9"/>
  <c r="AB112" i="9"/>
  <c r="AE7" i="9"/>
  <c r="AE8" i="9" s="1"/>
  <c r="AB108" i="9"/>
  <c r="AG55" i="2"/>
  <c r="AG138" i="1"/>
  <c r="L55" i="2"/>
  <c r="O47" i="8"/>
  <c r="AE63" i="2"/>
  <c r="AE138" i="1"/>
  <c r="AJ139" i="1"/>
  <c r="AP59" i="2"/>
  <c r="AP55" i="2"/>
  <c r="AP56" i="2"/>
  <c r="AI47" i="8"/>
  <c r="AF138" i="1"/>
  <c r="K56" i="2"/>
  <c r="N47" i="8"/>
  <c r="AE25" i="1"/>
  <c r="AD138" i="1"/>
  <c r="AD140" i="1" s="1"/>
  <c r="J24" i="1"/>
  <c r="M47" i="8"/>
  <c r="X33" i="2"/>
  <c r="X40" i="2" s="1"/>
  <c r="X44" i="2" s="1"/>
  <c r="AM60" i="1"/>
  <c r="AM64" i="1" s="1"/>
  <c r="AN11" i="9"/>
  <c r="AN12" i="9" s="1"/>
  <c r="E21" i="18"/>
  <c r="AY138" i="1"/>
  <c r="R10" i="9"/>
  <c r="AL108" i="9"/>
  <c r="AW60" i="1"/>
  <c r="BB75" i="9"/>
  <c r="AF139" i="1"/>
  <c r="G56" i="2"/>
  <c r="J47" i="8"/>
  <c r="AJ56" i="2"/>
  <c r="AJ138" i="1"/>
  <c r="F62" i="2"/>
  <c r="I47" i="8"/>
  <c r="W8" i="9"/>
  <c r="R26" i="9"/>
  <c r="AB42" i="8"/>
  <c r="AO62" i="2"/>
  <c r="AO138" i="1"/>
  <c r="AM35" i="1"/>
  <c r="E63" i="2"/>
  <c r="H47" i="8"/>
  <c r="H49" i="8" s="1"/>
  <c r="N24" i="1"/>
  <c r="M112" i="9"/>
  <c r="AH67" i="9"/>
  <c r="AM68" i="9" s="1"/>
  <c r="AN27" i="9"/>
  <c r="AN28" i="9" s="1"/>
  <c r="AW33" i="8"/>
  <c r="L90" i="9"/>
  <c r="AX52" i="2"/>
  <c r="AX139" i="1"/>
  <c r="AN52" i="2"/>
  <c r="AN139" i="1"/>
  <c r="AN140" i="1" s="1"/>
  <c r="AQ52" i="2"/>
  <c r="AQ139" i="1"/>
  <c r="AL52" i="2"/>
  <c r="AL139" i="1"/>
  <c r="AL140" i="1" s="1"/>
  <c r="AP52" i="2"/>
  <c r="AP139" i="1"/>
  <c r="AP140" i="1" s="1"/>
  <c r="AK52" i="2"/>
  <c r="AK139" i="1"/>
  <c r="AK140" i="1" s="1"/>
  <c r="AO52" i="2"/>
  <c r="AO139" i="1"/>
  <c r="AE139" i="1"/>
  <c r="AR21" i="3"/>
  <c r="AO38" i="3"/>
  <c r="AW18" i="3"/>
  <c r="AR22" i="3"/>
  <c r="AW38" i="3"/>
  <c r="BM27" i="9"/>
  <c r="J87" i="9"/>
  <c r="K90" i="9"/>
  <c r="AO6" i="9"/>
  <c r="P79" i="9"/>
  <c r="V19" i="9"/>
  <c r="L19" i="9"/>
  <c r="T38" i="9"/>
  <c r="L87" i="9"/>
  <c r="W90" i="9"/>
  <c r="K79" i="9"/>
  <c r="P19" i="9"/>
  <c r="K63" i="9"/>
  <c r="N79" i="9"/>
  <c r="Z87" i="9"/>
  <c r="Q90" i="9"/>
  <c r="O19" i="9"/>
  <c r="AE90" i="9"/>
  <c r="J19" i="9"/>
  <c r="N19" i="9"/>
  <c r="P38" i="9"/>
  <c r="U19" i="9"/>
  <c r="W38" i="9"/>
  <c r="P63" i="9"/>
  <c r="K87" i="9"/>
  <c r="U38" i="9"/>
  <c r="J38" i="9"/>
  <c r="L63" i="9"/>
  <c r="Q87" i="9"/>
  <c r="AV52" i="2"/>
  <c r="M47" i="2"/>
  <c r="G47" i="2"/>
  <c r="BF36" i="2"/>
  <c r="BE100" i="1"/>
  <c r="BE101" i="1" s="1"/>
  <c r="BF18" i="1"/>
  <c r="U87" i="9"/>
  <c r="AV33" i="1"/>
  <c r="AV16" i="1"/>
  <c r="O10" i="1"/>
  <c r="AK64" i="1"/>
  <c r="H50" i="9"/>
  <c r="M63" i="9" s="1"/>
  <c r="AF56" i="2"/>
  <c r="AF49" i="2"/>
  <c r="AE38" i="1"/>
  <c r="AE40" i="1" s="1"/>
  <c r="AE41" i="1" s="1"/>
  <c r="AJ59" i="2"/>
  <c r="AJ63" i="2"/>
  <c r="AJ49" i="1"/>
  <c r="AK24" i="1"/>
  <c r="AW79" i="1"/>
  <c r="M10" i="1"/>
  <c r="AF55" i="2"/>
  <c r="AF49" i="1"/>
  <c r="AE110" i="1"/>
  <c r="AM47" i="8"/>
  <c r="AJ49" i="2"/>
  <c r="AC12" i="1"/>
  <c r="Z33" i="1"/>
  <c r="AO40" i="1"/>
  <c r="AO41" i="1" s="1"/>
  <c r="P56" i="2"/>
  <c r="AF60" i="2"/>
  <c r="AF63" i="2"/>
  <c r="AF94" i="9"/>
  <c r="AF100" i="9" s="1"/>
  <c r="AR6" i="1"/>
  <c r="AJ60" i="2"/>
  <c r="AJ24" i="1"/>
  <c r="AH23" i="1"/>
  <c r="AH138" i="1" s="1"/>
  <c r="AH37" i="1"/>
  <c r="AQ64" i="1"/>
  <c r="AE56" i="9"/>
  <c r="AB53" i="9"/>
  <c r="AB59" i="9" s="1"/>
  <c r="AU87" i="9"/>
  <c r="BE9" i="3"/>
  <c r="BD65" i="1"/>
  <c r="F111" i="1"/>
  <c r="G64" i="9"/>
  <c r="G88" i="9"/>
  <c r="AT90" i="9"/>
  <c r="U80" i="9"/>
  <c r="AU52" i="2"/>
  <c r="U63" i="9"/>
  <c r="Z55" i="9"/>
  <c r="Z61" i="9" s="1"/>
  <c r="Q88" i="9"/>
  <c r="P87" i="9"/>
  <c r="R54" i="9"/>
  <c r="W54" i="9"/>
  <c r="AJ52" i="9"/>
  <c r="AH51" i="9"/>
  <c r="AM52" i="9" s="1"/>
  <c r="Y71" i="1"/>
  <c r="AC69" i="1"/>
  <c r="AU38" i="1"/>
  <c r="AU33" i="1"/>
  <c r="AZ74" i="9"/>
  <c r="AW73" i="9"/>
  <c r="AW74" i="9" s="1"/>
  <c r="AY14" i="9"/>
  <c r="AT4" i="9"/>
  <c r="BA26" i="9"/>
  <c r="AV31" i="9"/>
  <c r="AW31" i="9" s="1"/>
  <c r="AV26" i="9"/>
  <c r="AV24" i="9"/>
  <c r="AV22" i="9"/>
  <c r="AV38" i="9" s="1"/>
  <c r="AV68" i="9"/>
  <c r="BD50" i="9"/>
  <c r="BD63" i="9" s="1"/>
  <c r="AY8" i="9"/>
  <c r="AA59" i="2"/>
  <c r="AA63" i="2"/>
  <c r="AD47" i="8"/>
  <c r="AA56" i="2"/>
  <c r="AA60" i="2"/>
  <c r="AF24" i="1"/>
  <c r="AA25" i="1"/>
  <c r="AA51" i="1"/>
  <c r="AB62" i="2"/>
  <c r="AB94" i="9"/>
  <c r="AB60" i="2"/>
  <c r="AB59" i="2"/>
  <c r="T63" i="2"/>
  <c r="T60" i="2"/>
  <c r="S4" i="9"/>
  <c r="S19" i="9" s="1"/>
  <c r="S6" i="1"/>
  <c r="AI55" i="2"/>
  <c r="AJ25" i="1"/>
  <c r="AS54" i="3"/>
  <c r="AW52" i="3"/>
  <c r="AW54" i="3" s="1"/>
  <c r="AV26" i="8"/>
  <c r="AV27" i="8"/>
  <c r="AT22" i="3"/>
  <c r="AU22" i="3" s="1"/>
  <c r="BD66" i="9"/>
  <c r="BD79" i="9" s="1"/>
  <c r="AU24" i="3"/>
  <c r="AU139" i="1" s="1"/>
  <c r="BB63" i="1"/>
  <c r="BB64" i="1" s="1"/>
  <c r="AX64" i="1"/>
  <c r="BA24" i="9"/>
  <c r="AB33" i="1"/>
  <c r="AB38" i="1"/>
  <c r="AB40" i="1" s="1"/>
  <c r="AB41" i="1" s="1"/>
  <c r="AD38" i="1"/>
  <c r="AD40" i="1" s="1"/>
  <c r="AD41" i="1" s="1"/>
  <c r="AD33" i="1"/>
  <c r="AE8" i="3"/>
  <c r="AF8" i="3" s="1"/>
  <c r="AF9" i="3" s="1"/>
  <c r="AF62" i="3" s="1"/>
  <c r="Z111" i="1"/>
  <c r="AA12" i="3"/>
  <c r="AC12" i="3" s="1"/>
  <c r="AC111" i="1" s="1"/>
  <c r="AH26" i="8"/>
  <c r="AF33" i="1"/>
  <c r="AF38" i="1"/>
  <c r="AF40" i="1" s="1"/>
  <c r="AF41" i="1" s="1"/>
  <c r="AI131" i="1"/>
  <c r="AG52" i="1"/>
  <c r="AL9" i="9"/>
  <c r="AL10" i="9" s="1"/>
  <c r="AI15" i="9"/>
  <c r="AI16" i="9" s="1"/>
  <c r="AI10" i="9"/>
  <c r="AN16" i="9"/>
  <c r="AN54" i="9"/>
  <c r="AI54" i="9"/>
  <c r="AL53" i="9"/>
  <c r="AL52" i="1"/>
  <c r="AO131" i="1"/>
  <c r="AL47" i="1"/>
  <c r="AI7" i="9"/>
  <c r="AN14" i="9" s="1"/>
  <c r="AQ16" i="1"/>
  <c r="AV15" i="1"/>
  <c r="AQ15" i="1"/>
  <c r="AY42" i="8"/>
  <c r="DB18" i="1"/>
  <c r="AX30" i="9"/>
  <c r="AX27" i="9"/>
  <c r="AX28" i="9" s="1"/>
  <c r="BB29" i="9"/>
  <c r="BB30" i="9" s="1"/>
  <c r="BA7" i="9"/>
  <c r="BA13" i="9" s="1"/>
  <c r="BA11" i="9" s="1"/>
  <c r="AX13" i="9"/>
  <c r="AX11" i="9" s="1"/>
  <c r="AX4" i="9"/>
  <c r="AY20" i="9" s="1"/>
  <c r="AX8" i="9"/>
  <c r="AH24" i="2"/>
  <c r="AC6" i="1"/>
  <c r="AA43" i="2"/>
  <c r="AA44" i="2" s="1"/>
  <c r="AA47" i="2" s="1"/>
  <c r="AO72" i="9"/>
  <c r="AO123" i="1"/>
  <c r="AO126" i="1" s="1"/>
  <c r="AO127" i="1" s="1"/>
  <c r="AJ123" i="1"/>
  <c r="AJ126" i="1" s="1"/>
  <c r="AJ127" i="1" s="1"/>
  <c r="AI123" i="1"/>
  <c r="R123" i="1"/>
  <c r="R126" i="1" s="1"/>
  <c r="AW32" i="1"/>
  <c r="AW38" i="1" s="1"/>
  <c r="BB71" i="1"/>
  <c r="AU8" i="9"/>
  <c r="BC66" i="9"/>
  <c r="BC71" i="9" s="1"/>
  <c r="BH67" i="9"/>
  <c r="BH27" i="9"/>
  <c r="BH23" i="9"/>
  <c r="BH35" i="9" s="1"/>
  <c r="AO55" i="2"/>
  <c r="AO63" i="2"/>
  <c r="AO59" i="2"/>
  <c r="H33" i="1"/>
  <c r="O47" i="2"/>
  <c r="F47" i="2"/>
  <c r="R112" i="9"/>
  <c r="M108" i="9"/>
  <c r="AF47" i="1"/>
  <c r="AV74" i="9"/>
  <c r="BE66" i="9"/>
  <c r="BJ67" i="9"/>
  <c r="BO73" i="9" s="1"/>
  <c r="BY73" i="9" s="1"/>
  <c r="BY67" i="9" s="1"/>
  <c r="AW29" i="1"/>
  <c r="AR47" i="8"/>
  <c r="AO47" i="1"/>
  <c r="AO24" i="1"/>
  <c r="AX63" i="9"/>
  <c r="AD25" i="1"/>
  <c r="X15" i="1"/>
  <c r="Q47" i="2"/>
  <c r="AD28" i="9"/>
  <c r="W108" i="9"/>
  <c r="N76" i="1"/>
  <c r="AR8" i="3"/>
  <c r="BL52" i="9"/>
  <c r="BL58" i="9"/>
  <c r="BD22" i="9"/>
  <c r="BD38" i="9" s="1"/>
  <c r="AY91" i="9"/>
  <c r="AJ64" i="9"/>
  <c r="BB89" i="9"/>
  <c r="BG90" i="9" s="1"/>
  <c r="AX90" i="9"/>
  <c r="BH22" i="1"/>
  <c r="BK21" i="1"/>
  <c r="BI18" i="1"/>
  <c r="BJ18" i="1"/>
  <c r="BI21" i="1"/>
  <c r="BH19" i="1"/>
  <c r="BK18" i="1"/>
  <c r="AC110" i="1"/>
  <c r="AH110" i="1"/>
  <c r="W39" i="9"/>
  <c r="AF39" i="9"/>
  <c r="AK90" i="9"/>
  <c r="AD20" i="9"/>
  <c r="AP19" i="9"/>
  <c r="AU19" i="9"/>
  <c r="AO64" i="9"/>
  <c r="AO63" i="9"/>
  <c r="AD19" i="9"/>
  <c r="AX91" i="9"/>
  <c r="R63" i="9"/>
  <c r="W88" i="9"/>
  <c r="AF64" i="9"/>
  <c r="AI19" i="9"/>
  <c r="AU88" i="9"/>
  <c r="AV88" i="9"/>
  <c r="L88" i="9"/>
  <c r="R91" i="9"/>
  <c r="AD79" i="9"/>
  <c r="AU91" i="9"/>
  <c r="AA90" i="9"/>
  <c r="AK64" i="9"/>
  <c r="AJ131" i="1"/>
  <c r="R18" i="1"/>
  <c r="AD47" i="1"/>
  <c r="AH46" i="1"/>
  <c r="AH52" i="1" s="1"/>
  <c r="AP18" i="9"/>
  <c r="AG24" i="2"/>
  <c r="AL25" i="1"/>
  <c r="AL56" i="2"/>
  <c r="AL49" i="1"/>
  <c r="AK63" i="2"/>
  <c r="AK62" i="2"/>
  <c r="AK56" i="2"/>
  <c r="AK25" i="1"/>
  <c r="AK55" i="2"/>
  <c r="AK59" i="2"/>
  <c r="I26" i="3"/>
  <c r="T62" i="2"/>
  <c r="T51" i="1"/>
  <c r="T49" i="1"/>
  <c r="O51" i="1"/>
  <c r="O49" i="1"/>
  <c r="O116" i="1"/>
  <c r="I13" i="2"/>
  <c r="I24" i="2" s="1"/>
  <c r="F62" i="3"/>
  <c r="F75" i="1"/>
  <c r="F76" i="1" s="1"/>
  <c r="AK16" i="9"/>
  <c r="AK11" i="9"/>
  <c r="AK12" i="9" s="1"/>
  <c r="AB90" i="9"/>
  <c r="AQ90" i="9"/>
  <c r="AT30" i="9"/>
  <c r="AT27" i="9"/>
  <c r="AT28" i="9" s="1"/>
  <c r="BA54" i="9"/>
  <c r="AV59" i="9"/>
  <c r="AW59" i="9" s="1"/>
  <c r="AL72" i="9"/>
  <c r="P82" i="1"/>
  <c r="P49" i="2"/>
  <c r="F116" i="1"/>
  <c r="F82" i="1"/>
  <c r="G25" i="1"/>
  <c r="S50" i="9"/>
  <c r="S63" i="9" s="1"/>
  <c r="S12" i="1"/>
  <c r="R6" i="1"/>
  <c r="M4" i="9"/>
  <c r="M20" i="9" s="1"/>
  <c r="X100" i="1"/>
  <c r="X101" i="1" s="1"/>
  <c r="X13" i="2"/>
  <c r="X24" i="2" s="1"/>
  <c r="V12" i="3"/>
  <c r="W12" i="3" s="1"/>
  <c r="W111" i="1" s="1"/>
  <c r="U111" i="1"/>
  <c r="AP26" i="9"/>
  <c r="AL25" i="9"/>
  <c r="AH70" i="1"/>
  <c r="AD71" i="1"/>
  <c r="AH71" i="1" s="1"/>
  <c r="AK30" i="9"/>
  <c r="AF24" i="9"/>
  <c r="AJ20" i="9"/>
  <c r="AN18" i="9"/>
  <c r="AN26" i="9"/>
  <c r="AI26" i="9"/>
  <c r="AI31" i="9"/>
  <c r="BA22" i="8"/>
  <c r="BD23" i="8"/>
  <c r="P94" i="9"/>
  <c r="M19" i="1"/>
  <c r="AD80" i="9"/>
  <c r="AO60" i="2"/>
  <c r="K63" i="2"/>
  <c r="AB30" i="2"/>
  <c r="AB33" i="2" s="1"/>
  <c r="AC33" i="2" s="1"/>
  <c r="AD71" i="9"/>
  <c r="AD72" i="9" s="1"/>
  <c r="AL20" i="9"/>
  <c r="AF90" i="9"/>
  <c r="AP47" i="1"/>
  <c r="AP49" i="1"/>
  <c r="AS47" i="8"/>
  <c r="AP24" i="1"/>
  <c r="F55" i="2"/>
  <c r="AB24" i="2"/>
  <c r="AC13" i="2"/>
  <c r="AC24" i="2" s="1"/>
  <c r="AF52" i="1"/>
  <c r="AH59" i="9"/>
  <c r="Z77" i="9"/>
  <c r="Z79" i="9"/>
  <c r="AL91" i="9"/>
  <c r="AS63" i="9"/>
  <c r="AN63" i="9"/>
  <c r="AP18" i="3"/>
  <c r="AQ18" i="3" s="1"/>
  <c r="AO13" i="9"/>
  <c r="AO11" i="9" s="1"/>
  <c r="AO12" i="9" s="1"/>
  <c r="AT8" i="9"/>
  <c r="AQ15" i="9"/>
  <c r="AR15" i="9" s="1"/>
  <c r="AR16" i="9" s="1"/>
  <c r="AQ29" i="9"/>
  <c r="AS74" i="9"/>
  <c r="BB31" i="9"/>
  <c r="AM9" i="1"/>
  <c r="AR9" i="1"/>
  <c r="U94" i="9"/>
  <c r="Z95" i="9" s="1"/>
  <c r="V25" i="1"/>
  <c r="AD62" i="2"/>
  <c r="AD49" i="2"/>
  <c r="AD59" i="2"/>
  <c r="AF14" i="9"/>
  <c r="AF11" i="9"/>
  <c r="AF12" i="9" s="1"/>
  <c r="AG13" i="9"/>
  <c r="AG7" i="9" s="1"/>
  <c r="AL124" i="8"/>
  <c r="AL126" i="8" s="1"/>
  <c r="AL27" i="8"/>
  <c r="AJ13" i="2"/>
  <c r="AJ24" i="2" s="1"/>
  <c r="AJ100" i="1"/>
  <c r="AJ101" i="1" s="1"/>
  <c r="AL69" i="9"/>
  <c r="AL70" i="9" s="1"/>
  <c r="AI70" i="9"/>
  <c r="AX33" i="1"/>
  <c r="AX66" i="9"/>
  <c r="AX71" i="9" s="1"/>
  <c r="AM5" i="9"/>
  <c r="AM6" i="9" s="1"/>
  <c r="U47" i="1"/>
  <c r="P116" i="1"/>
  <c r="M35" i="1"/>
  <c r="F60" i="2"/>
  <c r="AH24" i="3"/>
  <c r="Z100" i="1"/>
  <c r="Z101" i="1" s="1"/>
  <c r="Z13" i="2"/>
  <c r="Z24" i="2" s="1"/>
  <c r="Z43" i="2" s="1"/>
  <c r="Z44" i="2" s="1"/>
  <c r="Z47" i="2" s="1"/>
  <c r="AA32" i="3"/>
  <c r="AC32" i="3" s="1"/>
  <c r="Z38" i="3"/>
  <c r="AA57" i="9"/>
  <c r="AA58" i="9" s="1"/>
  <c r="Y79" i="9"/>
  <c r="Y80" i="9"/>
  <c r="T80" i="9"/>
  <c r="T79" i="9"/>
  <c r="V87" i="9"/>
  <c r="V88" i="9"/>
  <c r="AB10" i="9"/>
  <c r="W10" i="9"/>
  <c r="AC70" i="9"/>
  <c r="AH70" i="9"/>
  <c r="AE16" i="9"/>
  <c r="AE11" i="9"/>
  <c r="AE12" i="9" s="1"/>
  <c r="AD52" i="9"/>
  <c r="AI58" i="9"/>
  <c r="N26" i="3"/>
  <c r="N27" i="3" s="1"/>
  <c r="AC120" i="8"/>
  <c r="AC122" i="8" s="1"/>
  <c r="AH42" i="8"/>
  <c r="AM71" i="1"/>
  <c r="AH79" i="1"/>
  <c r="AF49" i="3"/>
  <c r="AH49" i="3" s="1"/>
  <c r="AF21" i="3"/>
  <c r="AG21" i="3" s="1"/>
  <c r="AF87" i="9"/>
  <c r="AG71" i="9"/>
  <c r="AG72" i="9" s="1"/>
  <c r="AG79" i="9"/>
  <c r="AG80" i="9"/>
  <c r="AL131" i="1"/>
  <c r="AR79" i="1"/>
  <c r="AW71" i="1"/>
  <c r="U18" i="18"/>
  <c r="AR46" i="1"/>
  <c r="AR52" i="1" s="1"/>
  <c r="AQ52" i="1"/>
  <c r="AR100" i="1"/>
  <c r="AK56" i="9"/>
  <c r="AK24" i="2"/>
  <c r="AM12" i="1"/>
  <c r="M64" i="9"/>
  <c r="AO55" i="9"/>
  <c r="AO56" i="9" s="1"/>
  <c r="AK28" i="9"/>
  <c r="AF56" i="9"/>
  <c r="AI87" i="9"/>
  <c r="AC29" i="1"/>
  <c r="Z9" i="3"/>
  <c r="Z62" i="3" s="1"/>
  <c r="AR12" i="1"/>
  <c r="J91" i="1"/>
  <c r="S35" i="1"/>
  <c r="S110" i="1"/>
  <c r="S113" i="1" s="1"/>
  <c r="S118" i="1" s="1"/>
  <c r="S119" i="1" s="1"/>
  <c r="P47" i="2"/>
  <c r="O64" i="9"/>
  <c r="F64" i="9"/>
  <c r="Q80" i="9"/>
  <c r="U88" i="9"/>
  <c r="F88" i="9"/>
  <c r="G91" i="9"/>
  <c r="AG108" i="9"/>
  <c r="S18" i="18"/>
  <c r="BD55" i="9"/>
  <c r="AV29" i="9"/>
  <c r="BA36" i="9" s="1"/>
  <c r="BA30" i="9"/>
  <c r="BD27" i="9"/>
  <c r="BD28" i="9" s="1"/>
  <c r="BF19" i="1"/>
  <c r="BE18" i="1"/>
  <c r="BG52" i="9"/>
  <c r="BG6" i="9"/>
  <c r="BA27" i="9"/>
  <c r="V18" i="18"/>
  <c r="AB52" i="1"/>
  <c r="AB47" i="1"/>
  <c r="AG87" i="9"/>
  <c r="AI88" i="9"/>
  <c r="AQ47" i="8"/>
  <c r="AO25" i="1"/>
  <c r="AN25" i="1"/>
  <c r="AQ38" i="9"/>
  <c r="AS39" i="9"/>
  <c r="Z123" i="1"/>
  <c r="Z126" i="1" s="1"/>
  <c r="Z127" i="1" s="1"/>
  <c r="AB123" i="1"/>
  <c r="AB126" i="1" s="1"/>
  <c r="AA123" i="1"/>
  <c r="AA126" i="1" s="1"/>
  <c r="AA127" i="1" s="1"/>
  <c r="AV52" i="1"/>
  <c r="AV131" i="1"/>
  <c r="AE18" i="9"/>
  <c r="Z20" i="9"/>
  <c r="Q39" i="9"/>
  <c r="R39" i="9"/>
  <c r="Q38" i="9"/>
  <c r="S69" i="1"/>
  <c r="S75" i="1" s="1"/>
  <c r="O75" i="1"/>
  <c r="O76" i="1" s="1"/>
  <c r="Y123" i="1"/>
  <c r="Y126" i="1" s="1"/>
  <c r="Y127" i="1" s="1"/>
  <c r="AY16" i="1"/>
  <c r="AG88" i="9"/>
  <c r="AR35" i="1"/>
  <c r="T123" i="1"/>
  <c r="T126" i="1" s="1"/>
  <c r="T127" i="1" s="1"/>
  <c r="AK63" i="9"/>
  <c r="AN63" i="2"/>
  <c r="U33" i="1"/>
  <c r="U38" i="1"/>
  <c r="U40" i="1" s="1"/>
  <c r="U41" i="1" s="1"/>
  <c r="V114" i="1"/>
  <c r="X79" i="1"/>
  <c r="X114" i="1" s="1"/>
  <c r="AA33" i="1"/>
  <c r="AA38" i="1"/>
  <c r="AA40" i="1" s="1"/>
  <c r="AA41" i="1" s="1"/>
  <c r="Y131" i="1"/>
  <c r="V131" i="1"/>
  <c r="V47" i="1"/>
  <c r="AG33" i="1"/>
  <c r="AG38" i="1"/>
  <c r="AG40" i="1" s="1"/>
  <c r="AG41" i="1" s="1"/>
  <c r="AH32" i="1"/>
  <c r="AH33" i="1" s="1"/>
  <c r="AI64" i="9"/>
  <c r="AG64" i="9"/>
  <c r="AG63" i="9"/>
  <c r="AO80" i="9"/>
  <c r="AN80" i="9"/>
  <c r="AN71" i="9"/>
  <c r="AN72" i="9" s="1"/>
  <c r="AN20" i="9"/>
  <c r="AN19" i="9"/>
  <c r="AT18" i="9"/>
  <c r="AO19" i="9"/>
  <c r="AE123" i="1"/>
  <c r="AE126" i="1" s="1"/>
  <c r="AF123" i="1"/>
  <c r="AF126" i="1" s="1"/>
  <c r="AF127" i="1" s="1"/>
  <c r="AG123" i="1"/>
  <c r="V123" i="1"/>
  <c r="V126" i="1" s="1"/>
  <c r="V127" i="1" s="1"/>
  <c r="U123" i="1"/>
  <c r="U126" i="1" s="1"/>
  <c r="W123" i="1"/>
  <c r="W126" i="1" s="1"/>
  <c r="W127" i="1" s="1"/>
  <c r="AN87" i="9"/>
  <c r="AS87" i="9"/>
  <c r="AW14" i="1"/>
  <c r="AW15" i="1" s="1"/>
  <c r="AS23" i="1"/>
  <c r="AS138" i="1" s="1"/>
  <c r="AS140" i="1" s="1"/>
  <c r="X18" i="1"/>
  <c r="X35" i="1"/>
  <c r="X82" i="9"/>
  <c r="S22" i="9"/>
  <c r="S38" i="9" s="1"/>
  <c r="S33" i="1"/>
  <c r="S23" i="1"/>
  <c r="S116" i="1" s="1"/>
  <c r="Y11" i="9"/>
  <c r="T19" i="9"/>
  <c r="Y19" i="9"/>
  <c r="V38" i="9"/>
  <c r="AA27" i="9"/>
  <c r="AA33" i="9" s="1"/>
  <c r="AA38" i="9"/>
  <c r="Z64" i="9"/>
  <c r="AD56" i="9"/>
  <c r="Y55" i="9"/>
  <c r="Y61" i="9" s="1"/>
  <c r="T63" i="9"/>
  <c r="AC82" i="9"/>
  <c r="AD123" i="1"/>
  <c r="AX131" i="1"/>
  <c r="AP123" i="1"/>
  <c r="AP126" i="1" s="1"/>
  <c r="AP127" i="1" s="1"/>
  <c r="L91" i="9"/>
  <c r="AP20" i="9"/>
  <c r="AG47" i="1"/>
  <c r="AJ47" i="8"/>
  <c r="AL24" i="1"/>
  <c r="AG59" i="2"/>
  <c r="AI25" i="1"/>
  <c r="AG24" i="1"/>
  <c r="AG63" i="2"/>
  <c r="AG25" i="1"/>
  <c r="AG49" i="1"/>
  <c r="AG49" i="2"/>
  <c r="AJ94" i="9"/>
  <c r="AJ99" i="9" s="1"/>
  <c r="AJ87" i="9"/>
  <c r="AT122" i="1"/>
  <c r="AT23" i="1"/>
  <c r="AY24" i="1" s="1"/>
  <c r="P62" i="2"/>
  <c r="X47" i="8"/>
  <c r="AD55" i="2"/>
  <c r="AD56" i="2"/>
  <c r="AD63" i="2"/>
  <c r="U51" i="1"/>
  <c r="AK20" i="9"/>
  <c r="AJ63" i="9"/>
  <c r="AJ88" i="9"/>
  <c r="BF21" i="1"/>
  <c r="AW12" i="1"/>
  <c r="AH60" i="1"/>
  <c r="AH64" i="1" s="1"/>
  <c r="AD49" i="1"/>
  <c r="U49" i="2"/>
  <c r="AD94" i="9"/>
  <c r="T56" i="2"/>
  <c r="W47" i="8"/>
  <c r="T49" i="2"/>
  <c r="T55" i="2"/>
  <c r="T59" i="2"/>
  <c r="T94" i="9"/>
  <c r="Y95" i="9" s="1"/>
  <c r="O60" i="2"/>
  <c r="O55" i="2"/>
  <c r="O47" i="1"/>
  <c r="AE131" i="1"/>
  <c r="AD52" i="1"/>
  <c r="AD39" i="9"/>
  <c r="AH22" i="9"/>
  <c r="AD38" i="9"/>
  <c r="AJ33" i="1"/>
  <c r="AJ38" i="1"/>
  <c r="AJ40" i="1" s="1"/>
  <c r="AJ41" i="1" s="1"/>
  <c r="P55" i="2"/>
  <c r="P59" i="2"/>
  <c r="P49" i="1"/>
  <c r="K47" i="1"/>
  <c r="K24" i="1"/>
  <c r="L25" i="1"/>
  <c r="K49" i="1"/>
  <c r="F47" i="1"/>
  <c r="F49" i="1"/>
  <c r="F56" i="2"/>
  <c r="F59" i="2"/>
  <c r="AN60" i="2"/>
  <c r="G39" i="9"/>
  <c r="Y64" i="9"/>
  <c r="AI20" i="9"/>
  <c r="AG19" i="9"/>
  <c r="AT52" i="1"/>
  <c r="AT131" i="1"/>
  <c r="AV122" i="1"/>
  <c r="AY15" i="1"/>
  <c r="P51" i="1"/>
  <c r="U56" i="2"/>
  <c r="AD60" i="2"/>
  <c r="AG47" i="8"/>
  <c r="W63" i="9"/>
  <c r="F94" i="9"/>
  <c r="F63" i="2"/>
  <c r="P47" i="1"/>
  <c r="AE47" i="8"/>
  <c r="AB25" i="1"/>
  <c r="AB56" i="2"/>
  <c r="AB24" i="1"/>
  <c r="S67" i="1"/>
  <c r="S38" i="1"/>
  <c r="J16" i="1"/>
  <c r="H66" i="9"/>
  <c r="J80" i="9" s="1"/>
  <c r="L64" i="9"/>
  <c r="K64" i="9"/>
  <c r="AB71" i="9"/>
  <c r="AB77" i="9" s="1"/>
  <c r="AB79" i="9"/>
  <c r="W79" i="9"/>
  <c r="W91" i="9"/>
  <c r="V90" i="9"/>
  <c r="T71" i="1"/>
  <c r="X71" i="1" s="1"/>
  <c r="X69" i="1"/>
  <c r="AA88" i="9"/>
  <c r="AA87" i="9"/>
  <c r="AB39" i="9"/>
  <c r="AB38" i="9"/>
  <c r="U52" i="1"/>
  <c r="U131" i="1"/>
  <c r="AA52" i="1"/>
  <c r="AA47" i="1"/>
  <c r="D40" i="1"/>
  <c r="D41" i="1" s="1"/>
  <c r="X37" i="1"/>
  <c r="AM21" i="1"/>
  <c r="Q63" i="9"/>
  <c r="K80" i="9"/>
  <c r="F80" i="9"/>
  <c r="AA91" i="9"/>
  <c r="T91" i="9"/>
  <c r="E26" i="3"/>
  <c r="E27" i="3" s="1"/>
  <c r="AM37" i="1"/>
  <c r="AC4" i="9"/>
  <c r="AB80" i="9"/>
  <c r="X32" i="1"/>
  <c r="X33" i="1" s="1"/>
  <c r="AC79" i="1"/>
  <c r="AC114" i="1" s="1"/>
  <c r="AD64" i="9"/>
  <c r="AJ19" i="9"/>
  <c r="AH82" i="9"/>
  <c r="AJ38" i="9"/>
  <c r="AL39" i="9"/>
  <c r="AL87" i="9"/>
  <c r="AQ19" i="9"/>
  <c r="AT91" i="9"/>
  <c r="AK47" i="1"/>
  <c r="H101" i="1"/>
  <c r="U20" i="9"/>
  <c r="AB19" i="9"/>
  <c r="Y20" i="9"/>
  <c r="W19" i="9"/>
  <c r="AB18" i="9"/>
  <c r="W20" i="9"/>
  <c r="T20" i="9"/>
  <c r="R20" i="9"/>
  <c r="AE28" i="9"/>
  <c r="Z39" i="9"/>
  <c r="AA39" i="9"/>
  <c r="AE38" i="9"/>
  <c r="Z27" i="9"/>
  <c r="V39" i="9"/>
  <c r="L39" i="9"/>
  <c r="K39" i="9"/>
  <c r="K38" i="9"/>
  <c r="J63" i="9"/>
  <c r="R80" i="9"/>
  <c r="Q79" i="9"/>
  <c r="Y87" i="9"/>
  <c r="Z88" i="9"/>
  <c r="O87" i="9"/>
  <c r="P88" i="9"/>
  <c r="U90" i="9"/>
  <c r="V91" i="9"/>
  <c r="U91" i="9"/>
  <c r="Q91" i="9"/>
  <c r="P90" i="9"/>
  <c r="AD88" i="9"/>
  <c r="AB88" i="9"/>
  <c r="AB91" i="9"/>
  <c r="AG90" i="9"/>
  <c r="AD91" i="9"/>
  <c r="AE71" i="9"/>
  <c r="AE80" i="9"/>
  <c r="AF80" i="9"/>
  <c r="AL18" i="9"/>
  <c r="AL19" i="9"/>
  <c r="AG94" i="9"/>
  <c r="AG38" i="9"/>
  <c r="AG39" i="9"/>
  <c r="AL38" i="9"/>
  <c r="AI39" i="9"/>
  <c r="AI38" i="9"/>
  <c r="AM22" i="9"/>
  <c r="AI71" i="9"/>
  <c r="AI72" i="9" s="1"/>
  <c r="AN79" i="9"/>
  <c r="AI79" i="9"/>
  <c r="AI80" i="9"/>
  <c r="AI91" i="9"/>
  <c r="AI90" i="9"/>
  <c r="AI94" i="9"/>
  <c r="AK79" i="9"/>
  <c r="AK80" i="9"/>
  <c r="AL64" i="9"/>
  <c r="AM50" i="9"/>
  <c r="AL63" i="9"/>
  <c r="AR89" i="9"/>
  <c r="AN94" i="9"/>
  <c r="AN90" i="9"/>
  <c r="AN91" i="9"/>
  <c r="AS38" i="9"/>
  <c r="AN39" i="9"/>
  <c r="AR22" i="9"/>
  <c r="AN38" i="9"/>
  <c r="AT87" i="9"/>
  <c r="AO88" i="9"/>
  <c r="AO87" i="9"/>
  <c r="AS64" i="9"/>
  <c r="AQ63" i="9"/>
  <c r="AO39" i="9"/>
  <c r="AO38" i="9"/>
  <c r="AP39" i="9"/>
  <c r="AQ39" i="9"/>
  <c r="AL80" i="9"/>
  <c r="AA71" i="9"/>
  <c r="AA73" i="9" s="1"/>
  <c r="AF74" i="9" s="1"/>
  <c r="W80" i="9"/>
  <c r="V79" i="9"/>
  <c r="F39" i="9"/>
  <c r="AN64" i="9"/>
  <c r="T87" i="9"/>
  <c r="L80" i="9"/>
  <c r="L79" i="9"/>
  <c r="AW82" i="9"/>
  <c r="BB87" i="9" s="1"/>
  <c r="AV80" i="9"/>
  <c r="O63" i="9"/>
  <c r="AD87" i="9"/>
  <c r="Z38" i="9"/>
  <c r="T64" i="9"/>
  <c r="AH66" i="9"/>
  <c r="P39" i="9"/>
  <c r="N63" i="9"/>
  <c r="AB87" i="9"/>
  <c r="T88" i="9"/>
  <c r="P91" i="9"/>
  <c r="K91" i="9"/>
  <c r="AE91" i="9"/>
  <c r="AF91" i="9"/>
  <c r="AJ91" i="9"/>
  <c r="AK94" i="9"/>
  <c r="AO94" i="9"/>
  <c r="AP88" i="9"/>
  <c r="AR50" i="9"/>
  <c r="AS88" i="9"/>
  <c r="AU90" i="9"/>
  <c r="AX88" i="9"/>
  <c r="AJ18" i="9"/>
  <c r="AF88" i="9"/>
  <c r="AL79" i="9"/>
  <c r="Y38" i="9"/>
  <c r="Q64" i="9"/>
  <c r="AK87" i="9"/>
  <c r="AK88" i="9"/>
  <c r="T39" i="9"/>
  <c r="AM82" i="9"/>
  <c r="L20" i="9"/>
  <c r="G20" i="9"/>
  <c r="AY90" i="9"/>
  <c r="AL111" i="8"/>
  <c r="AP64" i="9"/>
  <c r="U64" i="9"/>
  <c r="O38" i="9"/>
  <c r="Q12" i="3"/>
  <c r="R12" i="3" s="1"/>
  <c r="R111" i="1" s="1"/>
  <c r="R113" i="1" s="1"/>
  <c r="R118" i="1" s="1"/>
  <c r="AK38" i="9"/>
  <c r="P64" i="9"/>
  <c r="K88" i="9"/>
  <c r="Y29" i="9"/>
  <c r="Y33" i="9"/>
  <c r="AE20" i="9"/>
  <c r="W87" i="9"/>
  <c r="AJ71" i="9"/>
  <c r="AJ72" i="9" s="1"/>
  <c r="AS91" i="9"/>
  <c r="AQ87" i="9"/>
  <c r="AA80" i="9"/>
  <c r="AB20" i="9"/>
  <c r="AF72" i="9"/>
  <c r="AP63" i="9"/>
  <c r="AM89" i="9"/>
  <c r="AK39" i="9"/>
  <c r="T90" i="9"/>
  <c r="R88" i="9"/>
  <c r="V64" i="9"/>
  <c r="K19" i="9"/>
  <c r="Z19" i="9"/>
  <c r="AB27" i="9"/>
  <c r="AB33" i="9" s="1"/>
  <c r="AB23" i="9" s="1"/>
  <c r="Z90" i="9"/>
  <c r="AJ39" i="9"/>
  <c r="AQ20" i="9"/>
  <c r="AE88" i="9"/>
  <c r="AE79" i="9"/>
  <c r="P80" i="9"/>
  <c r="AE19" i="9"/>
  <c r="AP38" i="9"/>
  <c r="AO79" i="9"/>
  <c r="AE39" i="9"/>
  <c r="AZ90" i="9"/>
  <c r="AV87" i="9"/>
  <c r="AQ91" i="9"/>
  <c r="AO90" i="9"/>
  <c r="Y88" i="9"/>
  <c r="AS90" i="9"/>
  <c r="AR82" i="9"/>
  <c r="AQ88" i="9"/>
  <c r="AO91" i="9"/>
  <c r="G80" i="9"/>
  <c r="AJ80" i="9"/>
  <c r="AC66" i="9"/>
  <c r="AJ79" i="9"/>
  <c r="AD63" i="9"/>
  <c r="R64" i="9"/>
  <c r="Y39" i="9"/>
  <c r="F20" i="9"/>
  <c r="AL88" i="9"/>
  <c r="AV18" i="9"/>
  <c r="AQ64" i="9"/>
  <c r="AK91" i="9"/>
  <c r="O90" i="9"/>
  <c r="AH89" i="9"/>
  <c r="W64" i="9"/>
  <c r="U79" i="9"/>
  <c r="AG20" i="9"/>
  <c r="Z80" i="9"/>
  <c r="AP90" i="9"/>
  <c r="AG91" i="9"/>
  <c r="V80" i="9"/>
  <c r="U39" i="9"/>
  <c r="AB122" i="8"/>
  <c r="AP87" i="9"/>
  <c r="AP91" i="9"/>
  <c r="AF20" i="9"/>
  <c r="AM66" i="9"/>
  <c r="AL94" i="9"/>
  <c r="V63" i="9"/>
  <c r="AU72" i="9"/>
  <c r="H12" i="3"/>
  <c r="H111" i="1" s="1"/>
  <c r="AF79" i="9"/>
  <c r="AK19" i="9"/>
  <c r="AJ90" i="9"/>
  <c r="P20" i="9"/>
  <c r="AE87" i="9"/>
  <c r="V20" i="9"/>
  <c r="AN88" i="9"/>
  <c r="BB38" i="3"/>
  <c r="AF26" i="9"/>
  <c r="AK26" i="9"/>
  <c r="AG25" i="9"/>
  <c r="X120" i="8"/>
  <c r="X122" i="8" s="1"/>
  <c r="X41" i="8"/>
  <c r="AC6" i="9"/>
  <c r="AH6" i="9"/>
  <c r="AA131" i="1"/>
  <c r="AW18" i="1"/>
  <c r="AX122" i="1"/>
  <c r="AR57" i="9"/>
  <c r="AR58" i="9" s="1"/>
  <c r="AZ18" i="9"/>
  <c r="AV90" i="9"/>
  <c r="X28" i="1"/>
  <c r="X29" i="1" s="1"/>
  <c r="AI60" i="2"/>
  <c r="AI49" i="2"/>
  <c r="AL47" i="8"/>
  <c r="AW6" i="1"/>
  <c r="AP80" i="9"/>
  <c r="AC46" i="1"/>
  <c r="AC52" i="1" s="1"/>
  <c r="AA79" i="9"/>
  <c r="AF63" i="9"/>
  <c r="AU79" i="9"/>
  <c r="AN42" i="8"/>
  <c r="AN45" i="8" s="1"/>
  <c r="AC9" i="1"/>
  <c r="AF14" i="3"/>
  <c r="AH14" i="3" s="1"/>
  <c r="AD14" i="9"/>
  <c r="AD7" i="9"/>
  <c r="AD8" i="9" s="1"/>
  <c r="AD11" i="9"/>
  <c r="AG70" i="9"/>
  <c r="AG75" i="9"/>
  <c r="AH75" i="9" s="1"/>
  <c r="AM46" i="1"/>
  <c r="AM52" i="1" s="1"/>
  <c r="AN131" i="1"/>
  <c r="AJ52" i="1"/>
  <c r="AJ47" i="1"/>
  <c r="AM124" i="8"/>
  <c r="AM126" i="8" s="1"/>
  <c r="AM26" i="8"/>
  <c r="AI29" i="9"/>
  <c r="AN36" i="9" s="1"/>
  <c r="AI24" i="9"/>
  <c r="AN30" i="9"/>
  <c r="AI73" i="9"/>
  <c r="AN68" i="9"/>
  <c r="AI68" i="9"/>
  <c r="AJ58" i="9"/>
  <c r="AJ55" i="9"/>
  <c r="AJ56" i="9" s="1"/>
  <c r="AM32" i="1"/>
  <c r="AM33" i="1" s="1"/>
  <c r="AO33" i="1"/>
  <c r="AR32" i="1"/>
  <c r="AR33" i="1" s="1"/>
  <c r="AP20" i="3"/>
  <c r="AQ20" i="3" s="1"/>
  <c r="AO30" i="9"/>
  <c r="AO27" i="9"/>
  <c r="AO28" i="9" s="1"/>
  <c r="AR73" i="9"/>
  <c r="AR74" i="9" s="1"/>
  <c r="AT74" i="9"/>
  <c r="AO74" i="9"/>
  <c r="AF38" i="9"/>
  <c r="AF28" i="9"/>
  <c r="BG57" i="9"/>
  <c r="BG58" i="9" s="1"/>
  <c r="E91" i="9"/>
  <c r="E90" i="9"/>
  <c r="AF18" i="9"/>
  <c r="AA19" i="9"/>
  <c r="AA20" i="9"/>
  <c r="T33" i="1"/>
  <c r="T38" i="1"/>
  <c r="T40" i="1" s="1"/>
  <c r="T41" i="1" s="1"/>
  <c r="AN124" i="8"/>
  <c r="AN126" i="8" s="1"/>
  <c r="AN27" i="8"/>
  <c r="AN26" i="8"/>
  <c r="AI120" i="8"/>
  <c r="AI122" i="8" s="1"/>
  <c r="AI41" i="8"/>
  <c r="AX23" i="1"/>
  <c r="AX16" i="1"/>
  <c r="X46" i="1"/>
  <c r="X52" i="1" s="1"/>
  <c r="W38" i="1"/>
  <c r="W40" i="1" s="1"/>
  <c r="W41" i="1" s="1"/>
  <c r="V38" i="1"/>
  <c r="V40" i="1" s="1"/>
  <c r="V41" i="1" s="1"/>
  <c r="AI47" i="1"/>
  <c r="AI24" i="1"/>
  <c r="AI59" i="2"/>
  <c r="AR29" i="1"/>
  <c r="AW89" i="9"/>
  <c r="AH50" i="9"/>
  <c r="AC50" i="9"/>
  <c r="AB64" i="9"/>
  <c r="AP94" i="9"/>
  <c r="AF19" i="9"/>
  <c r="Z52" i="1"/>
  <c r="S21" i="1"/>
  <c r="S89" i="9"/>
  <c r="S90" i="9" s="1"/>
  <c r="V37" i="3"/>
  <c r="W37" i="3" s="1"/>
  <c r="W38" i="3" s="1"/>
  <c r="U38" i="3"/>
  <c r="AH124" i="8"/>
  <c r="AH126" i="8" s="1"/>
  <c r="AI26" i="8"/>
  <c r="U20" i="18"/>
  <c r="AT16" i="9"/>
  <c r="AO20" i="9"/>
  <c r="AV54" i="9"/>
  <c r="AQ59" i="9"/>
  <c r="AR59" i="9" s="1"/>
  <c r="BA58" i="9"/>
  <c r="BA90" i="9"/>
  <c r="AU52" i="1"/>
  <c r="AU131" i="1"/>
  <c r="AY87" i="9"/>
  <c r="AT88" i="9"/>
  <c r="AS66" i="9"/>
  <c r="AS122" i="1"/>
  <c r="AT16" i="1"/>
  <c r="AS16" i="1"/>
  <c r="AS15" i="1"/>
  <c r="AT21" i="8"/>
  <c r="AV22" i="8" s="1"/>
  <c r="AV18" i="8"/>
  <c r="AT18" i="8"/>
  <c r="AT19" i="8"/>
  <c r="AA16" i="9"/>
  <c r="AC15" i="9"/>
  <c r="AC16" i="9" s="1"/>
  <c r="AJ24" i="9"/>
  <c r="AJ30" i="9"/>
  <c r="AS27" i="8"/>
  <c r="AX15" i="1"/>
  <c r="AP72" i="9"/>
  <c r="AR23" i="1"/>
  <c r="AI111" i="8"/>
  <c r="AI63" i="9"/>
  <c r="AN24" i="1"/>
  <c r="AI49" i="1"/>
  <c r="AI63" i="2"/>
  <c r="AI62" i="2"/>
  <c r="AP79" i="9"/>
  <c r="AA63" i="9"/>
  <c r="AE64" i="9"/>
  <c r="R60" i="2"/>
  <c r="T25" i="1"/>
  <c r="AH27" i="8"/>
  <c r="AL38" i="1"/>
  <c r="AL40" i="1" s="1"/>
  <c r="AL41" i="1" s="1"/>
  <c r="AL33" i="1"/>
  <c r="AN49" i="2"/>
  <c r="AN56" i="2"/>
  <c r="AN59" i="2"/>
  <c r="AN55" i="2"/>
  <c r="AN62" i="2"/>
  <c r="AN49" i="1"/>
  <c r="AT39" i="9"/>
  <c r="AT38" i="9"/>
  <c r="AJ13" i="9"/>
  <c r="AO8" i="9"/>
  <c r="AP27" i="9"/>
  <c r="AP28" i="9" s="1"/>
  <c r="BB6" i="9"/>
  <c r="AW7" i="9"/>
  <c r="AW6" i="9"/>
  <c r="AV91" i="9"/>
  <c r="AV57" i="9"/>
  <c r="AS52" i="1"/>
  <c r="AS131" i="1"/>
  <c r="BG26" i="9"/>
  <c r="BB26" i="9"/>
  <c r="BC50" i="9"/>
  <c r="BC55" i="9"/>
  <c r="BC23" i="9"/>
  <c r="BC35" i="9" s="1"/>
  <c r="BC27" i="9"/>
  <c r="BC28" i="9" s="1"/>
  <c r="BC16" i="9"/>
  <c r="AR15" i="1"/>
  <c r="K91" i="1"/>
  <c r="I76" i="1"/>
  <c r="K47" i="2"/>
  <c r="G8" i="3"/>
  <c r="D28" i="7"/>
  <c r="E28" i="7" s="1"/>
  <c r="AC22" i="9"/>
  <c r="AC38" i="9" s="1"/>
  <c r="AB52" i="9"/>
  <c r="AR38" i="3"/>
  <c r="AJ26" i="8"/>
  <c r="AG55" i="9"/>
  <c r="AJ116" i="8"/>
  <c r="AJ118" i="8" s="1"/>
  <c r="N20" i="18"/>
  <c r="AG126" i="8"/>
  <c r="AF38" i="3"/>
  <c r="AV52" i="9"/>
  <c r="BG70" i="9"/>
  <c r="BG10" i="3"/>
  <c r="AY28" i="9"/>
  <c r="AH35" i="1"/>
  <c r="AM18" i="1"/>
  <c r="AE24" i="1"/>
  <c r="O40" i="1"/>
  <c r="O41" i="1" s="1"/>
  <c r="J47" i="2"/>
  <c r="T47" i="2"/>
  <c r="AC21" i="3"/>
  <c r="K20" i="9"/>
  <c r="J90" i="9"/>
  <c r="AC75" i="9"/>
  <c r="W70" i="9"/>
  <c r="W112" i="9"/>
  <c r="W131" i="1"/>
  <c r="AD131" i="1"/>
  <c r="AH118" i="8"/>
  <c r="AR60" i="1"/>
  <c r="AR64" i="1" s="1"/>
  <c r="AS64" i="1"/>
  <c r="AO9" i="3"/>
  <c r="AO62" i="3" s="1"/>
  <c r="AQ16" i="2"/>
  <c r="AP24" i="2"/>
  <c r="AP60" i="2"/>
  <c r="X4" i="9"/>
  <c r="Z60" i="2"/>
  <c r="Z63" i="2"/>
  <c r="O7" i="1"/>
  <c r="W62" i="2"/>
  <c r="W60" i="2"/>
  <c r="R56" i="2"/>
  <c r="R59" i="2"/>
  <c r="R49" i="2"/>
  <c r="R49" i="1"/>
  <c r="R94" i="9"/>
  <c r="R51" i="1"/>
  <c r="R25" i="1"/>
  <c r="R62" i="2"/>
  <c r="I49" i="1"/>
  <c r="I82" i="1"/>
  <c r="L47" i="2"/>
  <c r="AO24" i="2"/>
  <c r="X6" i="1"/>
  <c r="AM23" i="1"/>
  <c r="AM138" i="1" s="1"/>
  <c r="AR18" i="1"/>
  <c r="Z62" i="2"/>
  <c r="X50" i="9"/>
  <c r="X12" i="1"/>
  <c r="J10" i="1"/>
  <c r="H22" i="9"/>
  <c r="H21" i="1"/>
  <c r="H37" i="1"/>
  <c r="H89" i="9"/>
  <c r="V45" i="3"/>
  <c r="W45" i="3" s="1"/>
  <c r="U54" i="3"/>
  <c r="AA24" i="3"/>
  <c r="AC24" i="3" s="1"/>
  <c r="AC26" i="9"/>
  <c r="AH26" i="9"/>
  <c r="AF16" i="9"/>
  <c r="AG15" i="9"/>
  <c r="BA16" i="2"/>
  <c r="BB16" i="2" s="1"/>
  <c r="BD16" i="2" s="1"/>
  <c r="BE16" i="2" s="1"/>
  <c r="BF16" i="2" s="1"/>
  <c r="Z51" i="1"/>
  <c r="Z94" i="9"/>
  <c r="Z47" i="1"/>
  <c r="Z56" i="2"/>
  <c r="Z49" i="2"/>
  <c r="Z49" i="1"/>
  <c r="Z55" i="2"/>
  <c r="AC47" i="8"/>
  <c r="Z59" i="2"/>
  <c r="L131" i="1"/>
  <c r="K131" i="1"/>
  <c r="AR75" i="9"/>
  <c r="Y41" i="8"/>
  <c r="Z22" i="1"/>
  <c r="Y22" i="1"/>
  <c r="Y89" i="9"/>
  <c r="AB131" i="1"/>
  <c r="AF131" i="1"/>
  <c r="Z131" i="1"/>
  <c r="AN24" i="2"/>
  <c r="AH9" i="1"/>
  <c r="AG27" i="9"/>
  <c r="AC32" i="1"/>
  <c r="AC33" i="1" s="1"/>
  <c r="S29" i="1"/>
  <c r="I51" i="1"/>
  <c r="AH37" i="3"/>
  <c r="AH38" i="3" s="1"/>
  <c r="AU15" i="1"/>
  <c r="Y23" i="1"/>
  <c r="Y21" i="1"/>
  <c r="V52" i="1"/>
  <c r="AB49" i="1"/>
  <c r="Q91" i="1"/>
  <c r="L51" i="1"/>
  <c r="AE38" i="3"/>
  <c r="AM27" i="8"/>
  <c r="AN123" i="1"/>
  <c r="AN126" i="1" s="1"/>
  <c r="AN127" i="1" s="1"/>
  <c r="AL123" i="1"/>
  <c r="AW63" i="1"/>
  <c r="AV23" i="1"/>
  <c r="AV62" i="2" s="1"/>
  <c r="AK52" i="9"/>
  <c r="AP58" i="9"/>
  <c r="AP52" i="9"/>
  <c r="AC20" i="1"/>
  <c r="Y38" i="1"/>
  <c r="O91" i="1"/>
  <c r="P40" i="1"/>
  <c r="P41" i="1" s="1"/>
  <c r="K40" i="1"/>
  <c r="K54" i="1" s="1"/>
  <c r="F40" i="1"/>
  <c r="F41" i="1" s="1"/>
  <c r="M89" i="9"/>
  <c r="R90" i="9" s="1"/>
  <c r="N33" i="2"/>
  <c r="N40" i="2" s="1"/>
  <c r="N44" i="2" s="1"/>
  <c r="AC52" i="3"/>
  <c r="AI59" i="9"/>
  <c r="AI55" i="9" s="1"/>
  <c r="Y63" i="9"/>
  <c r="AM54" i="3"/>
  <c r="AN38" i="1"/>
  <c r="AN40" i="1" s="1"/>
  <c r="AN41" i="1" s="1"/>
  <c r="AW41" i="8"/>
  <c r="AU13" i="9"/>
  <c r="AZ14" i="9"/>
  <c r="AU63" i="9"/>
  <c r="AU16" i="1"/>
  <c r="AV50" i="9"/>
  <c r="BB10" i="9"/>
  <c r="BB52" i="9"/>
  <c r="BB15" i="9"/>
  <c r="BB16" i="9" s="1"/>
  <c r="BA42" i="8"/>
  <c r="AV41" i="8"/>
  <c r="AL42" i="8"/>
  <c r="AL45" i="8" s="1"/>
  <c r="AL120" i="8"/>
  <c r="AL122" i="8" s="1"/>
  <c r="AB41" i="8"/>
  <c r="AD124" i="8"/>
  <c r="AD126" i="8" s="1"/>
  <c r="AB111" i="8"/>
  <c r="AX33" i="8"/>
  <c r="AX23" i="8"/>
  <c r="AO25" i="8"/>
  <c r="AO26" i="8" s="1"/>
  <c r="AH41" i="8"/>
  <c r="AD27" i="8"/>
  <c r="AH111" i="8"/>
  <c r="AY33" i="8"/>
  <c r="AJ111" i="8"/>
  <c r="Z126" i="8"/>
  <c r="AO111" i="8"/>
  <c r="AB117" i="8"/>
  <c r="AB118" i="8" s="1"/>
  <c r="AG111" i="8"/>
  <c r="AC111" i="8"/>
  <c r="AG122" i="8"/>
  <c r="AI126" i="8"/>
  <c r="X118" i="8"/>
  <c r="AC118" i="8"/>
  <c r="AM111" i="8"/>
  <c r="X111" i="8"/>
  <c r="AK6" i="9"/>
  <c r="AJ126" i="8"/>
  <c r="Y126" i="8"/>
  <c r="AI6" i="9"/>
  <c r="AD111" i="8"/>
  <c r="AH122" i="8"/>
  <c r="AB126" i="8"/>
  <c r="BB10" i="3"/>
  <c r="BB34" i="1"/>
  <c r="BB35" i="1" s="1"/>
  <c r="J40" i="1"/>
  <c r="J41" i="1" s="1"/>
  <c r="J63" i="2"/>
  <c r="J59" i="2"/>
  <c r="J62" i="2"/>
  <c r="J49" i="1"/>
  <c r="J94" i="9"/>
  <c r="O24" i="1"/>
  <c r="J76" i="1"/>
  <c r="J49" i="2"/>
  <c r="J82" i="1"/>
  <c r="J116" i="1"/>
  <c r="J56" i="2"/>
  <c r="J51" i="1"/>
  <c r="J55" i="2"/>
  <c r="E62" i="2"/>
  <c r="E55" i="2"/>
  <c r="E94" i="9"/>
  <c r="E76" i="1"/>
  <c r="E51" i="1"/>
  <c r="E59" i="2"/>
  <c r="F25" i="1"/>
  <c r="E49" i="1"/>
  <c r="E116" i="1"/>
  <c r="E60" i="2"/>
  <c r="E82" i="1"/>
  <c r="E56" i="2"/>
  <c r="M16" i="1"/>
  <c r="O16" i="1"/>
  <c r="R15" i="1"/>
  <c r="M15" i="1"/>
  <c r="M66" i="9"/>
  <c r="M23" i="1"/>
  <c r="P47" i="8" s="1"/>
  <c r="M122" i="1"/>
  <c r="Q131" i="1"/>
  <c r="J7" i="1"/>
  <c r="H4" i="9"/>
  <c r="H29" i="1"/>
  <c r="M6" i="1"/>
  <c r="J19" i="1"/>
  <c r="H35" i="1"/>
  <c r="H82" i="9"/>
  <c r="H19" i="1"/>
  <c r="M18" i="1"/>
  <c r="H67" i="1"/>
  <c r="H38" i="1"/>
  <c r="R91" i="1"/>
  <c r="M91" i="1"/>
  <c r="Y77" i="9"/>
  <c r="Y73" i="9"/>
  <c r="AN117" i="8"/>
  <c r="AN118" i="8" s="1"/>
  <c r="AN111" i="8"/>
  <c r="AU38" i="9"/>
  <c r="AU39" i="9"/>
  <c r="AU94" i="9"/>
  <c r="BC16" i="1"/>
  <c r="BE22" i="1"/>
  <c r="BF22" i="1"/>
  <c r="BG20" i="1"/>
  <c r="AT41" i="8"/>
  <c r="AK14" i="9"/>
  <c r="E47" i="1"/>
  <c r="K25" i="1"/>
  <c r="AK8" i="9"/>
  <c r="AP8" i="9"/>
  <c r="AW21" i="1"/>
  <c r="AW37" i="1"/>
  <c r="AY64" i="9"/>
  <c r="AY63" i="9"/>
  <c r="BD7" i="9"/>
  <c r="BD8" i="9" s="1"/>
  <c r="BD11" i="9"/>
  <c r="BD12" i="9" s="1"/>
  <c r="AW35" i="1"/>
  <c r="AQ40" i="8"/>
  <c r="AZ28" i="9"/>
  <c r="E40" i="1"/>
  <c r="E54" i="1" s="1"/>
  <c r="E84" i="1" s="1"/>
  <c r="E86" i="1" s="1"/>
  <c r="J47" i="1"/>
  <c r="H7" i="1"/>
  <c r="W56" i="2"/>
  <c r="W47" i="1"/>
  <c r="W49" i="1"/>
  <c r="W59" i="2"/>
  <c r="W49" i="2"/>
  <c r="W55" i="2"/>
  <c r="W51" i="1"/>
  <c r="W24" i="1"/>
  <c r="Z47" i="8"/>
  <c r="P9" i="3"/>
  <c r="P26" i="3" s="1"/>
  <c r="P27" i="3" s="1"/>
  <c r="Q8" i="3"/>
  <c r="Q75" i="1" s="1"/>
  <c r="Q76" i="1" s="1"/>
  <c r="P75" i="1"/>
  <c r="P76" i="1" s="1"/>
  <c r="AA48" i="3"/>
  <c r="AC48" i="3" s="1"/>
  <c r="AB55" i="9"/>
  <c r="AB63" i="9"/>
  <c r="AF52" i="3"/>
  <c r="AH52" i="3" s="1"/>
  <c r="AE54" i="3"/>
  <c r="AP131" i="1"/>
  <c r="AQ131" i="1"/>
  <c r="AN52" i="1"/>
  <c r="AN47" i="1"/>
  <c r="AS58" i="9"/>
  <c r="AS55" i="9"/>
  <c r="AT100" i="1"/>
  <c r="AT101" i="1" s="1"/>
  <c r="AU34" i="2"/>
  <c r="AS33" i="1"/>
  <c r="AS38" i="1"/>
  <c r="AS8" i="9"/>
  <c r="AS4" i="9"/>
  <c r="AZ13" i="1"/>
  <c r="BA59" i="9"/>
  <c r="BA55" i="9" s="1"/>
  <c r="BA50" i="9"/>
  <c r="BB50" i="9" s="1"/>
  <c r="AP62" i="2"/>
  <c r="AP49" i="2"/>
  <c r="AA62" i="2"/>
  <c r="AA24" i="1"/>
  <c r="AA49" i="2"/>
  <c r="Q49" i="2"/>
  <c r="Q51" i="1"/>
  <c r="Q55" i="2"/>
  <c r="Q63" i="2"/>
  <c r="Q47" i="1"/>
  <c r="Q82" i="1"/>
  <c r="Q24" i="1"/>
  <c r="Q25" i="1"/>
  <c r="Q33" i="3"/>
  <c r="R33" i="3" s="1"/>
  <c r="P38" i="3"/>
  <c r="W94" i="9"/>
  <c r="U59" i="2"/>
  <c r="U60" i="2"/>
  <c r="U24" i="1"/>
  <c r="Z24" i="1"/>
  <c r="U25" i="1"/>
  <c r="U63" i="2"/>
  <c r="U55" i="2"/>
  <c r="U49" i="1"/>
  <c r="I33" i="2"/>
  <c r="I40" i="2" s="1"/>
  <c r="I44" i="2" s="1"/>
  <c r="AG52" i="9"/>
  <c r="R82" i="1"/>
  <c r="R47" i="1"/>
  <c r="R116" i="1"/>
  <c r="P60" i="2"/>
  <c r="L82" i="1"/>
  <c r="AC35" i="1"/>
  <c r="AB55" i="2"/>
  <c r="L91" i="1"/>
  <c r="V56" i="2"/>
  <c r="V94" i="9"/>
  <c r="V24" i="1"/>
  <c r="S47" i="8"/>
  <c r="L116" i="1"/>
  <c r="I40" i="1"/>
  <c r="I41" i="1" s="1"/>
  <c r="I52" i="1"/>
  <c r="N13" i="2"/>
  <c r="N24" i="2" s="1"/>
  <c r="S13" i="2"/>
  <c r="S24" i="2" s="1"/>
  <c r="M18" i="18"/>
  <c r="F20" i="18"/>
  <c r="BA70" i="9"/>
  <c r="AV75" i="9"/>
  <c r="AW75" i="9" s="1"/>
  <c r="AV70" i="9"/>
  <c r="AL118" i="8"/>
  <c r="AH12" i="1"/>
  <c r="AM29" i="1"/>
  <c r="AC15" i="1"/>
  <c r="R40" i="1"/>
  <c r="R41" i="1" s="1"/>
  <c r="N40" i="1"/>
  <c r="N54" i="1" s="1"/>
  <c r="H122" i="1"/>
  <c r="K123" i="1" s="1"/>
  <c r="E47" i="2"/>
  <c r="U47" i="2"/>
  <c r="AA33" i="3"/>
  <c r="AC33" i="3" s="1"/>
  <c r="AT55" i="8"/>
  <c r="AT35" i="8"/>
  <c r="AY38" i="8"/>
  <c r="AT37" i="8"/>
  <c r="AV37" i="8"/>
  <c r="AT32" i="8"/>
  <c r="AV33" i="8" s="1"/>
  <c r="AY31" i="8"/>
  <c r="AV30" i="8"/>
  <c r="AQ66" i="9"/>
  <c r="AV72" i="9" s="1"/>
  <c r="AQ122" i="1"/>
  <c r="AQ33" i="1"/>
  <c r="AX37" i="8"/>
  <c r="AY37" i="8"/>
  <c r="AX38" i="8"/>
  <c r="BC18" i="1"/>
  <c r="BD19" i="1"/>
  <c r="BG17" i="1"/>
  <c r="BL18" i="1" s="1"/>
  <c r="R55" i="2"/>
  <c r="U47" i="8"/>
  <c r="L49" i="2"/>
  <c r="L56" i="2"/>
  <c r="L60" i="2"/>
  <c r="AE56" i="2"/>
  <c r="S37" i="1"/>
  <c r="S52" i="1"/>
  <c r="P54" i="3"/>
  <c r="AA14" i="3"/>
  <c r="AC14" i="3" s="1"/>
  <c r="AE120" i="8"/>
  <c r="AE122" i="8" s="1"/>
  <c r="AE42" i="8"/>
  <c r="Y111" i="8"/>
  <c r="AD118" i="8"/>
  <c r="X126" i="8"/>
  <c r="L38" i="9"/>
  <c r="N38" i="9"/>
  <c r="AI27" i="8"/>
  <c r="Y116" i="8"/>
  <c r="Y118" i="8" s="1"/>
  <c r="BA16" i="9"/>
  <c r="BB57" i="9"/>
  <c r="BB58" i="9" s="1"/>
  <c r="BE21" i="1"/>
  <c r="BG38" i="3"/>
  <c r="AX74" i="9"/>
  <c r="D113" i="1"/>
  <c r="D118" i="1" s="1"/>
  <c r="D119" i="1" s="1"/>
  <c r="AM79" i="1"/>
  <c r="AJ54" i="3"/>
  <c r="AG118" i="8"/>
  <c r="AN58" i="9"/>
  <c r="O18" i="18"/>
  <c r="AT13" i="9"/>
  <c r="BG31" i="9"/>
  <c r="BG75" i="9"/>
  <c r="BG97" i="9"/>
  <c r="N87" i="9"/>
  <c r="R8" i="9"/>
  <c r="R108" i="9"/>
  <c r="AE41" i="8"/>
  <c r="AC64" i="1"/>
  <c r="AM116" i="8"/>
  <c r="AM118" i="8" s="1"/>
  <c r="W126" i="8"/>
  <c r="AW10" i="3"/>
  <c r="AW9" i="3" s="1"/>
  <c r="AV10" i="9"/>
  <c r="AW34" i="8"/>
  <c r="AX34" i="8"/>
  <c r="BG71" i="1"/>
  <c r="BG52" i="3"/>
  <c r="BG54" i="3" s="1"/>
  <c r="X64" i="1"/>
  <c r="AR10" i="3"/>
  <c r="D10" i="3"/>
  <c r="D9" i="3" s="1"/>
  <c r="D26" i="3" s="1"/>
  <c r="BF27" i="9"/>
  <c r="BA22" i="9"/>
  <c r="BB23" i="9"/>
  <c r="BB35" i="9" s="1"/>
  <c r="BB36" i="1"/>
  <c r="BB37" i="1" s="1"/>
  <c r="AZ68" i="9"/>
  <c r="BB73" i="9"/>
  <c r="BB74" i="9" s="1"/>
  <c r="BA80" i="9"/>
  <c r="BE68" i="9"/>
  <c r="AH10" i="3"/>
  <c r="V9" i="3"/>
  <c r="V62" i="3" s="1"/>
  <c r="BB12" i="3"/>
  <c r="BG12" i="3"/>
  <c r="E27" i="12"/>
  <c r="M110" i="1"/>
  <c r="M10" i="3" s="1"/>
  <c r="AR110" i="1"/>
  <c r="AS23" i="8"/>
  <c r="AW23" i="8"/>
  <c r="AR22" i="8"/>
  <c r="BB96" i="1"/>
  <c r="AS43" i="8"/>
  <c r="AX45" i="8" s="1"/>
  <c r="AX42" i="8"/>
  <c r="BA15" i="1"/>
  <c r="BF67" i="9"/>
  <c r="BF66" i="9" s="1"/>
  <c r="BF71" i="9" s="1"/>
  <c r="BA68" i="9"/>
  <c r="BB67" i="9"/>
  <c r="BB68" i="9" s="1"/>
  <c r="AJ36" i="2"/>
  <c r="BB21" i="1"/>
  <c r="AS22" i="8"/>
  <c r="BA71" i="9"/>
  <c r="BA79" i="9"/>
  <c r="AY22" i="8"/>
  <c r="AS42" i="8"/>
  <c r="AS45" i="8" s="1"/>
  <c r="BB47" i="8"/>
  <c r="AY59" i="2"/>
  <c r="AY55" i="2"/>
  <c r="AY63" i="2"/>
  <c r="AY62" i="2"/>
  <c r="AY56" i="2"/>
  <c r="AG58" i="9"/>
  <c r="AS13" i="2"/>
  <c r="AY60" i="2"/>
  <c r="AR21" i="1"/>
  <c r="AR37" i="1"/>
  <c r="AG56" i="2"/>
  <c r="AG62" i="2"/>
  <c r="AG60" i="2"/>
  <c r="AH29" i="1"/>
  <c r="AH6" i="1"/>
  <c r="O131" i="1"/>
  <c r="M52" i="1"/>
  <c r="P131" i="1"/>
  <c r="M131" i="1"/>
  <c r="H23" i="1"/>
  <c r="K47" i="8" s="1"/>
  <c r="V47" i="2"/>
  <c r="AQ30" i="2"/>
  <c r="AP33" i="2"/>
  <c r="L47" i="3"/>
  <c r="K54" i="3"/>
  <c r="R48" i="3"/>
  <c r="R54" i="3" s="1"/>
  <c r="Q54" i="3"/>
  <c r="AQ24" i="3"/>
  <c r="AR24" i="3" s="1"/>
  <c r="P18" i="18"/>
  <c r="P20" i="18"/>
  <c r="T18" i="18"/>
  <c r="T20" i="18"/>
  <c r="AL24" i="2"/>
  <c r="AM13" i="2"/>
  <c r="AM24" i="2" s="1"/>
  <c r="D116" i="1"/>
  <c r="D47" i="1"/>
  <c r="D82" i="1"/>
  <c r="I24" i="1"/>
  <c r="D94" i="9"/>
  <c r="S9" i="1"/>
  <c r="X9" i="1"/>
  <c r="T53" i="2"/>
  <c r="S98" i="1"/>
  <c r="G38" i="3"/>
  <c r="H30" i="3"/>
  <c r="H38" i="3" s="1"/>
  <c r="L33" i="3"/>
  <c r="M33" i="3" s="1"/>
  <c r="M38" i="3" s="1"/>
  <c r="K38" i="3"/>
  <c r="R37" i="3"/>
  <c r="AE24" i="8"/>
  <c r="AE124" i="8"/>
  <c r="AE126" i="8" s="1"/>
  <c r="AE26" i="8"/>
  <c r="AE27" i="8"/>
  <c r="AJ27" i="8"/>
  <c r="AG26" i="8"/>
  <c r="AA18" i="3"/>
  <c r="AC18" i="3" s="1"/>
  <c r="AH48" i="3"/>
  <c r="AG20" i="3"/>
  <c r="AH20" i="3" s="1"/>
  <c r="AK131" i="1"/>
  <c r="AG131" i="1"/>
  <c r="AJ39" i="8"/>
  <c r="AL41" i="8"/>
  <c r="AL44" i="8" s="1"/>
  <c r="AJ120" i="8"/>
  <c r="AJ122" i="8" s="1"/>
  <c r="AJ42" i="8"/>
  <c r="AJ41" i="8"/>
  <c r="AU12" i="2"/>
  <c r="AT13" i="2"/>
  <c r="G63" i="2"/>
  <c r="G59" i="2"/>
  <c r="L24" i="1"/>
  <c r="G94" i="9"/>
  <c r="G55" i="2"/>
  <c r="G47" i="1"/>
  <c r="G49" i="1"/>
  <c r="G116" i="1"/>
  <c r="G51" i="1"/>
  <c r="G60" i="2"/>
  <c r="G82" i="1"/>
  <c r="X23" i="1"/>
  <c r="X49" i="1" s="1"/>
  <c r="X89" i="9"/>
  <c r="X21" i="1"/>
  <c r="M22" i="1"/>
  <c r="O22" i="1"/>
  <c r="M21" i="1"/>
  <c r="M37" i="1"/>
  <c r="Y47" i="2"/>
  <c r="S33" i="2"/>
  <c r="S40" i="2" s="1"/>
  <c r="S44" i="2" s="1"/>
  <c r="F38" i="3"/>
  <c r="AH15" i="1"/>
  <c r="AM15" i="1"/>
  <c r="K62" i="3"/>
  <c r="L8" i="3"/>
  <c r="L9" i="3" s="1"/>
  <c r="K75" i="1"/>
  <c r="K76" i="1" s="1"/>
  <c r="W49" i="3"/>
  <c r="AC45" i="3"/>
  <c r="AA49" i="3"/>
  <c r="AC49" i="3" s="1"/>
  <c r="Z54" i="3"/>
  <c r="AP30" i="9"/>
  <c r="AL23" i="9"/>
  <c r="AK24" i="9"/>
  <c r="Q19" i="9"/>
  <c r="Q20" i="9"/>
  <c r="AA64" i="9"/>
  <c r="Z63" i="9"/>
  <c r="AE63" i="9"/>
  <c r="F90" i="9"/>
  <c r="F91" i="9"/>
  <c r="AB26" i="9"/>
  <c r="W26" i="9"/>
  <c r="AC10" i="9"/>
  <c r="AH10" i="9"/>
  <c r="AE26" i="9"/>
  <c r="AJ26" i="9"/>
  <c r="AM6" i="1"/>
  <c r="P91" i="1"/>
  <c r="G62" i="2"/>
  <c r="O82" i="1"/>
  <c r="O62" i="2"/>
  <c r="P25" i="1"/>
  <c r="O63" i="2"/>
  <c r="O94" i="9"/>
  <c r="T24" i="1"/>
  <c r="R47" i="8"/>
  <c r="O56" i="2"/>
  <c r="O49" i="2"/>
  <c r="K116" i="1"/>
  <c r="K59" i="2"/>
  <c r="K51" i="1"/>
  <c r="K62" i="2"/>
  <c r="P24" i="1"/>
  <c r="K94" i="9"/>
  <c r="K60" i="2"/>
  <c r="K82" i="1"/>
  <c r="K49" i="2"/>
  <c r="K55" i="2"/>
  <c r="F51" i="1"/>
  <c r="F110" i="1"/>
  <c r="F10" i="3" s="1"/>
  <c r="F9" i="3" s="1"/>
  <c r="F26" i="3" s="1"/>
  <c r="H50" i="1"/>
  <c r="H52" i="1" s="1"/>
  <c r="M12" i="1"/>
  <c r="M13" i="1"/>
  <c r="M33" i="1"/>
  <c r="R12" i="1"/>
  <c r="O53" i="2"/>
  <c r="N98" i="1"/>
  <c r="H47" i="3"/>
  <c r="G49" i="3"/>
  <c r="H49" i="3" s="1"/>
  <c r="F54" i="3"/>
  <c r="L12" i="3"/>
  <c r="K111" i="1"/>
  <c r="K113" i="1" s="1"/>
  <c r="K118" i="1" s="1"/>
  <c r="AO49" i="1"/>
  <c r="AO34" i="8"/>
  <c r="AT31" i="8"/>
  <c r="AK60" i="2"/>
  <c r="AB63" i="2"/>
  <c r="G40" i="1"/>
  <c r="X110" i="1"/>
  <c r="S100" i="1"/>
  <c r="S101" i="1" s="1"/>
  <c r="Z40" i="1"/>
  <c r="Z41" i="1" s="1"/>
  <c r="M101" i="1"/>
  <c r="Y120" i="8"/>
  <c r="Y122" i="8" s="1"/>
  <c r="Y42" i="8"/>
  <c r="Z41" i="8"/>
  <c r="AG42" i="8"/>
  <c r="AG41" i="8"/>
  <c r="AJ68" i="9"/>
  <c r="AE68" i="9"/>
  <c r="AH12" i="3"/>
  <c r="BB95" i="1"/>
  <c r="Q40" i="1"/>
  <c r="Q41" i="1" s="1"/>
  <c r="L40" i="1"/>
  <c r="L41" i="1" s="1"/>
  <c r="J79" i="9"/>
  <c r="O79" i="9"/>
  <c r="AB71" i="1"/>
  <c r="AC70" i="1"/>
  <c r="AJ38" i="3"/>
  <c r="AM37" i="3"/>
  <c r="AM38" i="3" s="1"/>
  <c r="AL22" i="3"/>
  <c r="AC10" i="3"/>
  <c r="AC9" i="3" s="1"/>
  <c r="AE111" i="8"/>
  <c r="AE116" i="8"/>
  <c r="AE118" i="8" s="1"/>
  <c r="AD120" i="8"/>
  <c r="AD122" i="8" s="1"/>
  <c r="AR12" i="3"/>
  <c r="AR49" i="3"/>
  <c r="AR54" i="3" s="1"/>
  <c r="AO54" i="3"/>
  <c r="P113" i="1"/>
  <c r="P118" i="1" s="1"/>
  <c r="X42" i="8"/>
  <c r="AC42" i="8"/>
  <c r="S26" i="3"/>
  <c r="AR71" i="1"/>
  <c r="AJ24" i="8"/>
  <c r="AL26" i="8"/>
  <c r="AI42" i="8"/>
  <c r="AM43" i="8"/>
  <c r="AM41" i="8"/>
  <c r="AM44" i="8" s="1"/>
  <c r="AC126" i="8"/>
  <c r="AK67" i="9"/>
  <c r="AK71" i="9"/>
  <c r="O113" i="1"/>
  <c r="O118" i="1" s="1"/>
  <c r="AD42" i="8"/>
  <c r="AD41" i="8"/>
  <c r="AN43" i="8"/>
  <c r="AN120" i="8"/>
  <c r="AN122" i="8" s="1"/>
  <c r="Z111" i="8"/>
  <c r="Z116" i="8"/>
  <c r="Z118" i="8" s="1"/>
  <c r="AI118" i="8"/>
  <c r="AW55" i="8"/>
  <c r="AX54" i="8"/>
  <c r="AY54" i="8" s="1"/>
  <c r="AY55" i="8" s="1"/>
  <c r="E113" i="1"/>
  <c r="E118" i="1" s="1"/>
  <c r="E119" i="1" s="1"/>
  <c r="Z39" i="8"/>
  <c r="X10" i="3"/>
  <c r="X9" i="3" s="1"/>
  <c r="AM10" i="3"/>
  <c r="AM9" i="3" s="1"/>
  <c r="W9" i="3"/>
  <c r="W62" i="3" s="1"/>
  <c r="AD9" i="3"/>
  <c r="AD62" i="3" s="1"/>
  <c r="AE39" i="8"/>
  <c r="AO40" i="8"/>
  <c r="AT42" i="8" s="1"/>
  <c r="AO22" i="8"/>
  <c r="AX62" i="3"/>
  <c r="AT64" i="1"/>
  <c r="U9" i="3"/>
  <c r="U62" i="3" s="1"/>
  <c r="AA9" i="3"/>
  <c r="AA62" i="3" s="1"/>
  <c r="Z120" i="8"/>
  <c r="Z122" i="8" s="1"/>
  <c r="AO23" i="8"/>
  <c r="AZ22" i="9"/>
  <c r="AZ39" i="9" s="1"/>
  <c r="AK123" i="1"/>
  <c r="BA54" i="3"/>
  <c r="BB52" i="3"/>
  <c r="BB54" i="3" s="1"/>
  <c r="AV55" i="8"/>
  <c r="AI6" i="19"/>
  <c r="AW26" i="8"/>
  <c r="AX26" i="8"/>
  <c r="AT28" i="8"/>
  <c r="AQ23" i="1"/>
  <c r="AQ138" i="1" s="1"/>
  <c r="AT43" i="8"/>
  <c r="AV44" i="8" s="1"/>
  <c r="AY44" i="8"/>
  <c r="AT66" i="9"/>
  <c r="AY79" i="9" s="1"/>
  <c r="BA27" i="8"/>
  <c r="BA34" i="8"/>
  <c r="AP9" i="3"/>
  <c r="AP62" i="3" s="1"/>
  <c r="AY58" i="9"/>
  <c r="AX41" i="8"/>
  <c r="AV34" i="8"/>
  <c r="BG64" i="1"/>
  <c r="AA8" i="19"/>
  <c r="AT30" i="8"/>
  <c r="AW43" i="8"/>
  <c r="O26" i="3"/>
  <c r="O62" i="3"/>
  <c r="L18" i="18"/>
  <c r="J18" i="18"/>
  <c r="K18" i="18"/>
  <c r="I18" i="18"/>
  <c r="AY71" i="9"/>
  <c r="BD68" i="9"/>
  <c r="AZ64" i="9"/>
  <c r="AY55" i="9"/>
  <c r="AY38" i="9"/>
  <c r="BD24" i="9"/>
  <c r="AY94" i="9"/>
  <c r="BD18" i="9"/>
  <c r="BB20" i="3"/>
  <c r="BB30" i="2"/>
  <c r="BC30" i="2" s="1"/>
  <c r="BB35" i="2"/>
  <c r="AW110" i="1"/>
  <c r="M38" i="1"/>
  <c r="AM110" i="1"/>
  <c r="K10" i="3"/>
  <c r="K9" i="3" s="1"/>
  <c r="K26" i="3" s="1"/>
  <c r="G10" i="3"/>
  <c r="G113" i="1"/>
  <c r="G118" i="1" s="1"/>
  <c r="G119" i="1" s="1"/>
  <c r="H15" i="12"/>
  <c r="E15" i="12"/>
  <c r="J113" i="1"/>
  <c r="J118" i="1" s="1"/>
  <c r="J10" i="3"/>
  <c r="J9" i="3" s="1"/>
  <c r="J26" i="3" s="1"/>
  <c r="AY49" i="1"/>
  <c r="AY47" i="1"/>
  <c r="BB18" i="1"/>
  <c r="AY49" i="2"/>
  <c r="AY40" i="1"/>
  <c r="AY41" i="1" s="1"/>
  <c r="AY131" i="1"/>
  <c r="R30" i="18"/>
  <c r="L30" i="18"/>
  <c r="P30" i="18"/>
  <c r="N34" i="18"/>
  <c r="V28" i="18"/>
  <c r="N26" i="18"/>
  <c r="L28" i="18"/>
  <c r="I30" i="18"/>
  <c r="I26" i="18"/>
  <c r="I34" i="18"/>
  <c r="D26" i="18"/>
  <c r="F30" i="18"/>
  <c r="L34" i="18"/>
  <c r="J28" i="18"/>
  <c r="D28" i="18"/>
  <c r="H30" i="18"/>
  <c r="I28" i="18"/>
  <c r="I36" i="18"/>
  <c r="J36" i="18"/>
  <c r="J30" i="18"/>
  <c r="J34" i="18"/>
  <c r="K28" i="18"/>
  <c r="T26" i="18"/>
  <c r="H36" i="18"/>
  <c r="J26" i="18"/>
  <c r="T34" i="18"/>
  <c r="AE9" i="3" l="1"/>
  <c r="AE62" i="3" s="1"/>
  <c r="AH52" i="9"/>
  <c r="AJ8" i="9"/>
  <c r="AU49" i="1"/>
  <c r="Q100" i="9"/>
  <c r="AU40" i="1"/>
  <c r="AU41" i="1" s="1"/>
  <c r="AW29" i="9"/>
  <c r="AW30" i="9" s="1"/>
  <c r="AU56" i="2"/>
  <c r="AV16" i="9"/>
  <c r="M88" i="9"/>
  <c r="R87" i="9"/>
  <c r="AS40" i="1"/>
  <c r="AS41" i="1" s="1"/>
  <c r="AU62" i="2"/>
  <c r="AB127" i="1"/>
  <c r="R38" i="9"/>
  <c r="AO118" i="8"/>
  <c r="M38" i="9"/>
  <c r="AU24" i="1"/>
  <c r="W124" i="1"/>
  <c r="AJ14" i="9"/>
  <c r="AU55" i="2"/>
  <c r="Q99" i="9"/>
  <c r="BD71" i="9"/>
  <c r="BD95" i="9" s="1"/>
  <c r="BD96" i="9" s="1"/>
  <c r="AH47" i="1"/>
  <c r="BD64" i="9"/>
  <c r="AU47" i="1"/>
  <c r="M39" i="9"/>
  <c r="AU63" i="2"/>
  <c r="AU60" i="2"/>
  <c r="S82" i="1"/>
  <c r="AI124" i="1"/>
  <c r="AU49" i="2"/>
  <c r="AU59" i="2"/>
  <c r="BE80" i="9"/>
  <c r="AX47" i="8"/>
  <c r="AX49" i="8" s="1"/>
  <c r="AU140" i="1"/>
  <c r="AU141" i="1" s="1"/>
  <c r="X47" i="2"/>
  <c r="R127" i="1"/>
  <c r="X79" i="9"/>
  <c r="AR41" i="8"/>
  <c r="AR44" i="8" s="1"/>
  <c r="AB20" i="3"/>
  <c r="AC20" i="3" s="1"/>
  <c r="Y49" i="8"/>
  <c r="AI126" i="1"/>
  <c r="AI127" i="1" s="1"/>
  <c r="CK10" i="2"/>
  <c r="CM10" i="2" s="1"/>
  <c r="CP10" i="2" s="1"/>
  <c r="CQ10" i="2" s="1"/>
  <c r="CR10" i="2" s="1"/>
  <c r="CS10" i="2" s="1"/>
  <c r="CT10" i="2" s="1"/>
  <c r="CU10" i="2" s="1"/>
  <c r="V38" i="3"/>
  <c r="AR42" i="8"/>
  <c r="AR45" i="8" s="1"/>
  <c r="X87" i="9"/>
  <c r="AH51" i="1"/>
  <c r="AW42" i="8"/>
  <c r="AS41" i="8"/>
  <c r="AS44" i="8" s="1"/>
  <c r="T49" i="8"/>
  <c r="AE74" i="9"/>
  <c r="AK54" i="1"/>
  <c r="AK107" i="1" s="1"/>
  <c r="AK113" i="1" s="1"/>
  <c r="AK114" i="1" s="1"/>
  <c r="AG140" i="1"/>
  <c r="AG141" i="1" s="1"/>
  <c r="AE124" i="1"/>
  <c r="AE128" i="1" s="1"/>
  <c r="AE129" i="1" s="1"/>
  <c r="BB27" i="9"/>
  <c r="R38" i="3"/>
  <c r="AT23" i="8"/>
  <c r="CD73" i="9"/>
  <c r="CD67" i="9" s="1"/>
  <c r="CD66" i="9" s="1"/>
  <c r="BY66" i="9"/>
  <c r="BH36" i="9"/>
  <c r="BM36" i="9"/>
  <c r="AL7" i="9"/>
  <c r="AQ14" i="9" s="1"/>
  <c r="AV30" i="9"/>
  <c r="AO14" i="9"/>
  <c r="AQ33" i="9"/>
  <c r="AR33" i="9" s="1"/>
  <c r="AV36" i="9"/>
  <c r="AT22" i="8"/>
  <c r="AH49" i="1"/>
  <c r="AT20" i="8"/>
  <c r="Y48" i="8"/>
  <c r="AV47" i="1"/>
  <c r="AV55" i="2"/>
  <c r="S49" i="1"/>
  <c r="AV56" i="2"/>
  <c r="AO140" i="1"/>
  <c r="AO142" i="1" s="1"/>
  <c r="L123" i="1"/>
  <c r="AO48" i="8"/>
  <c r="AN48" i="8"/>
  <c r="Y30" i="9"/>
  <c r="AD36" i="9"/>
  <c r="AW64" i="1"/>
  <c r="BB24" i="9"/>
  <c r="AO49" i="8"/>
  <c r="AY12" i="9"/>
  <c r="AC71" i="1"/>
  <c r="AX14" i="9"/>
  <c r="AV27" i="9"/>
  <c r="AV28" i="9" s="1"/>
  <c r="AL52" i="9"/>
  <c r="BA56" i="9"/>
  <c r="AQ52" i="9"/>
  <c r="AL57" i="9"/>
  <c r="AM57" i="9" s="1"/>
  <c r="AM58" i="9" s="1"/>
  <c r="AB100" i="9"/>
  <c r="AA99" i="9"/>
  <c r="BD80" i="9"/>
  <c r="BC80" i="9"/>
  <c r="AQ10" i="9"/>
  <c r="BY68" i="9"/>
  <c r="AL15" i="9"/>
  <c r="AL16" i="9" s="1"/>
  <c r="I47" i="2"/>
  <c r="AF140" i="1"/>
  <c r="AS56" i="2"/>
  <c r="AS47" i="1"/>
  <c r="AS62" i="2"/>
  <c r="AS49" i="1"/>
  <c r="AY123" i="1"/>
  <c r="AY126" i="1" s="1"/>
  <c r="AY127" i="1" s="1"/>
  <c r="AG100" i="9"/>
  <c r="AF99" i="9"/>
  <c r="AX24" i="1"/>
  <c r="AM49" i="8"/>
  <c r="AM52" i="8" s="1"/>
  <c r="AI141" i="1"/>
  <c r="AN49" i="8"/>
  <c r="AE140" i="1"/>
  <c r="AE142" i="1" s="1"/>
  <c r="AD141" i="1"/>
  <c r="AM51" i="1"/>
  <c r="AD142" i="1"/>
  <c r="AM24" i="1"/>
  <c r="AD143" i="1"/>
  <c r="AD144" i="1" s="1"/>
  <c r="U127" i="1"/>
  <c r="AI49" i="8"/>
  <c r="AI48" i="8"/>
  <c r="AX39" i="9"/>
  <c r="AV39" i="9"/>
  <c r="BA28" i="9"/>
  <c r="AW22" i="9"/>
  <c r="AW38" i="9" s="1"/>
  <c r="BB59" i="9"/>
  <c r="AR29" i="9"/>
  <c r="BE71" i="9"/>
  <c r="BE72" i="9" s="1"/>
  <c r="AJ140" i="1"/>
  <c r="N49" i="8"/>
  <c r="N48" i="8"/>
  <c r="K49" i="8"/>
  <c r="K48" i="8"/>
  <c r="AV63" i="2"/>
  <c r="AV138" i="1"/>
  <c r="AV140" i="1" s="1"/>
  <c r="I48" i="8"/>
  <c r="I49" i="8"/>
  <c r="D21" i="18"/>
  <c r="AX138" i="1"/>
  <c r="AX140" i="1" s="1"/>
  <c r="AT56" i="2"/>
  <c r="AT138" i="1"/>
  <c r="AT140" i="1" s="1"/>
  <c r="AT142" i="1" s="1"/>
  <c r="AQ140" i="1"/>
  <c r="P48" i="8"/>
  <c r="P49" i="8"/>
  <c r="AR24" i="1"/>
  <c r="AR138" i="1"/>
  <c r="BT68" i="9"/>
  <c r="M49" i="8"/>
  <c r="O49" i="8"/>
  <c r="O48" i="8"/>
  <c r="AQ27" i="9"/>
  <c r="AQ28" i="9" s="1"/>
  <c r="J48" i="8"/>
  <c r="J49" i="8"/>
  <c r="AE54" i="1"/>
  <c r="AE66" i="1" s="1"/>
  <c r="AE84" i="1" s="1"/>
  <c r="AE87" i="1" s="1"/>
  <c r="AT19" i="9"/>
  <c r="AO95" i="9"/>
  <c r="AO96" i="9" s="1"/>
  <c r="AF95" i="9"/>
  <c r="AF96" i="9" s="1"/>
  <c r="AX95" i="9"/>
  <c r="AE95" i="9"/>
  <c r="AE96" i="9" s="1"/>
  <c r="AX12" i="9"/>
  <c r="AR48" i="8"/>
  <c r="AE48" i="8"/>
  <c r="U48" i="8"/>
  <c r="U49" i="8"/>
  <c r="AR49" i="8"/>
  <c r="S49" i="8"/>
  <c r="S48" i="8"/>
  <c r="W49" i="8"/>
  <c r="W48" i="8"/>
  <c r="AG99" i="9"/>
  <c r="R49" i="8"/>
  <c r="R48" i="8"/>
  <c r="T48" i="8"/>
  <c r="AL142" i="1"/>
  <c r="AN142" i="1"/>
  <c r="AN141" i="1"/>
  <c r="AS141" i="1"/>
  <c r="BG16" i="2"/>
  <c r="BH16" i="2" s="1"/>
  <c r="BI16" i="2" s="1"/>
  <c r="AP141" i="1"/>
  <c r="AM48" i="8"/>
  <c r="G9" i="3"/>
  <c r="G26" i="3" s="1"/>
  <c r="G27" i="3" s="1"/>
  <c r="AR9" i="3"/>
  <c r="AW24" i="3"/>
  <c r="AW22" i="3"/>
  <c r="BE26" i="3"/>
  <c r="BE40" i="3" s="1"/>
  <c r="BE62" i="3"/>
  <c r="BI67" i="9"/>
  <c r="BI66" i="9" s="1"/>
  <c r="BO66" i="9"/>
  <c r="BO68" i="9"/>
  <c r="BS63" i="9"/>
  <c r="BH66" i="9"/>
  <c r="BM24" i="9"/>
  <c r="AO54" i="1"/>
  <c r="AO107" i="1" s="1"/>
  <c r="AO113" i="1" s="1"/>
  <c r="AF54" i="1"/>
  <c r="AF78" i="1" s="1"/>
  <c r="AF81" i="1" s="1"/>
  <c r="AF90" i="1" s="1"/>
  <c r="AD100" i="9"/>
  <c r="AQ16" i="9"/>
  <c r="AR6" i="9"/>
  <c r="AM4" i="9"/>
  <c r="AR19" i="9" s="1"/>
  <c r="J64" i="9"/>
  <c r="H64" i="9"/>
  <c r="BG36" i="2"/>
  <c r="BK36" i="2" s="1"/>
  <c r="BL36" i="2" s="1"/>
  <c r="BM36" i="2" s="1"/>
  <c r="BN36" i="2" s="1"/>
  <c r="BF100" i="1"/>
  <c r="BF101" i="1" s="1"/>
  <c r="AP41" i="1"/>
  <c r="AB54" i="1"/>
  <c r="AB107" i="1" s="1"/>
  <c r="AB113" i="1" s="1"/>
  <c r="AB115" i="1" s="1"/>
  <c r="T54" i="1"/>
  <c r="T55" i="1" s="1"/>
  <c r="N41" i="1"/>
  <c r="K41" i="1"/>
  <c r="E9" i="12"/>
  <c r="H9" i="12"/>
  <c r="I9" i="12" s="1"/>
  <c r="L9" i="12"/>
  <c r="AH38" i="1"/>
  <c r="AH40" i="1" s="1"/>
  <c r="AH41" i="1" s="1"/>
  <c r="AR51" i="1"/>
  <c r="S47" i="1"/>
  <c r="AM38" i="9"/>
  <c r="S40" i="1"/>
  <c r="S41" i="1" s="1"/>
  <c r="Z57" i="9"/>
  <c r="Z58" i="9" s="1"/>
  <c r="S27" i="3"/>
  <c r="AR49" i="1"/>
  <c r="AO124" i="1"/>
  <c r="AO128" i="1" s="1"/>
  <c r="AO133" i="1" s="1"/>
  <c r="N99" i="1"/>
  <c r="AR47" i="1"/>
  <c r="S51" i="1"/>
  <c r="N40" i="3"/>
  <c r="N43" i="3" s="1"/>
  <c r="AG54" i="9"/>
  <c r="O20" i="9"/>
  <c r="T100" i="9"/>
  <c r="AB54" i="9"/>
  <c r="U100" i="9"/>
  <c r="R19" i="9"/>
  <c r="AA111" i="1"/>
  <c r="Z97" i="9"/>
  <c r="U99" i="9"/>
  <c r="AM87" i="9"/>
  <c r="AK100" i="9"/>
  <c r="AS48" i="8"/>
  <c r="AD49" i="8"/>
  <c r="BG34" i="1"/>
  <c r="BG35" i="1" s="1"/>
  <c r="BH63" i="9"/>
  <c r="AL59" i="9"/>
  <c r="AM59" i="9" s="1"/>
  <c r="AL54" i="9"/>
  <c r="AQ54" i="9"/>
  <c r="AU20" i="9"/>
  <c r="AY19" i="9"/>
  <c r="AY18" i="9"/>
  <c r="BH55" i="9"/>
  <c r="BH22" i="9"/>
  <c r="BM28" i="9" s="1"/>
  <c r="BH24" i="9"/>
  <c r="BC12" i="9"/>
  <c r="BD4" i="9"/>
  <c r="BI18" i="9" s="1"/>
  <c r="AH7" i="9"/>
  <c r="AM8" i="9" s="1"/>
  <c r="BJ68" i="9"/>
  <c r="BJ66" i="9"/>
  <c r="AH8" i="3"/>
  <c r="AH9" i="3" s="1"/>
  <c r="BI55" i="9"/>
  <c r="BG67" i="9"/>
  <c r="BG68" i="9" s="1"/>
  <c r="BK67" i="9"/>
  <c r="BP73" i="9" s="1"/>
  <c r="BU73" i="9" s="1"/>
  <c r="AX63" i="2"/>
  <c r="BA47" i="8"/>
  <c r="BB48" i="8" s="1"/>
  <c r="AN8" i="9"/>
  <c r="AI13" i="9"/>
  <c r="AI11" i="9" s="1"/>
  <c r="AI12" i="9" s="1"/>
  <c r="BG36" i="1"/>
  <c r="BG37" i="1" s="1"/>
  <c r="X49" i="8"/>
  <c r="AC71" i="9"/>
  <c r="AC72" i="9" s="1"/>
  <c r="BE12" i="1"/>
  <c r="AB73" i="9"/>
  <c r="AG74" i="9" s="1"/>
  <c r="AW87" i="9"/>
  <c r="BG21" i="1"/>
  <c r="BL21" i="1"/>
  <c r="H80" i="9"/>
  <c r="AC87" i="9"/>
  <c r="X63" i="9"/>
  <c r="Z11" i="9"/>
  <c r="Z13" i="9" s="1"/>
  <c r="Z14" i="9" s="1"/>
  <c r="AH87" i="9"/>
  <c r="AS49" i="8"/>
  <c r="AN100" i="9"/>
  <c r="E40" i="3"/>
  <c r="E43" i="3" s="1"/>
  <c r="AY80" i="9"/>
  <c r="F100" i="9"/>
  <c r="X48" i="8"/>
  <c r="AK99" i="9"/>
  <c r="E99" i="1"/>
  <c r="AC55" i="9"/>
  <c r="AQ48" i="8"/>
  <c r="V111" i="1"/>
  <c r="AE100" i="9"/>
  <c r="AO100" i="9"/>
  <c r="AT33" i="8"/>
  <c r="AN95" i="9"/>
  <c r="AN96" i="9" s="1"/>
  <c r="W100" i="9"/>
  <c r="AH94" i="9"/>
  <c r="AQ55" i="9"/>
  <c r="AR55" i="9" s="1"/>
  <c r="AC30" i="2"/>
  <c r="AD30" i="2" s="1"/>
  <c r="AU25" i="1"/>
  <c r="Q111" i="1"/>
  <c r="Q113" i="1" s="1"/>
  <c r="Q118" i="1" s="1"/>
  <c r="AW90" i="9"/>
  <c r="AM47" i="1"/>
  <c r="AE72" i="9"/>
  <c r="AM79" i="9"/>
  <c r="AX80" i="9"/>
  <c r="AR90" i="9"/>
  <c r="AJ49" i="8"/>
  <c r="AG48" i="8"/>
  <c r="AT47" i="1"/>
  <c r="AT34" i="8"/>
  <c r="V54" i="3"/>
  <c r="AF54" i="3"/>
  <c r="BC72" i="9"/>
  <c r="Y124" i="1"/>
  <c r="Y128" i="1" s="1"/>
  <c r="Y129" i="1" s="1"/>
  <c r="AH71" i="9"/>
  <c r="AH72" i="9" s="1"/>
  <c r="AX94" i="9"/>
  <c r="AY100" i="9" s="1"/>
  <c r="AI99" i="9"/>
  <c r="S76" i="1"/>
  <c r="AH21" i="3"/>
  <c r="BC79" i="9"/>
  <c r="AR18" i="3"/>
  <c r="AL31" i="9"/>
  <c r="AM31" i="9" s="1"/>
  <c r="AQ26" i="9"/>
  <c r="M40" i="1"/>
  <c r="M54" i="1" s="1"/>
  <c r="AY34" i="8"/>
  <c r="W54" i="3"/>
  <c r="AB40" i="2"/>
  <c r="AC40" i="2" s="1"/>
  <c r="AR20" i="3"/>
  <c r="AJ54" i="1"/>
  <c r="AJ66" i="1" s="1"/>
  <c r="AH79" i="9"/>
  <c r="AV123" i="1"/>
  <c r="AV126" i="1" s="1"/>
  <c r="AQ70" i="9"/>
  <c r="AL75" i="9"/>
  <c r="AM75" i="9" s="1"/>
  <c r="I27" i="3"/>
  <c r="I40" i="3"/>
  <c r="I43" i="3" s="1"/>
  <c r="I99" i="1"/>
  <c r="X38" i="1"/>
  <c r="X40" i="1" s="1"/>
  <c r="X41" i="1" s="1"/>
  <c r="AM71" i="9"/>
  <c r="AM72" i="9" s="1"/>
  <c r="AC38" i="1"/>
  <c r="X38" i="9"/>
  <c r="AX25" i="1"/>
  <c r="AA77" i="9"/>
  <c r="AC77" i="9" s="1"/>
  <c r="AL48" i="8"/>
  <c r="AO99" i="9"/>
  <c r="AT49" i="1"/>
  <c r="AA124" i="1"/>
  <c r="AA128" i="1" s="1"/>
  <c r="AA129" i="1" s="1"/>
  <c r="AS24" i="1"/>
  <c r="AS49" i="2"/>
  <c r="AV47" i="8"/>
  <c r="AV49" i="8" s="1"/>
  <c r="AS59" i="2"/>
  <c r="AR38" i="1"/>
  <c r="AR40" i="1" s="1"/>
  <c r="AR54" i="1" s="1"/>
  <c r="D54" i="1"/>
  <c r="D84" i="1" s="1"/>
  <c r="D86" i="1" s="1"/>
  <c r="AE127" i="1"/>
  <c r="AX40" i="1"/>
  <c r="AX41" i="1" s="1"/>
  <c r="AB124" i="1"/>
  <c r="AB128" i="1" s="1"/>
  <c r="AJ48" i="8"/>
  <c r="AT40" i="1"/>
  <c r="AF124" i="1"/>
  <c r="AF128" i="1" s="1"/>
  <c r="AF133" i="1" s="1"/>
  <c r="AS55" i="2"/>
  <c r="AT63" i="2"/>
  <c r="AS63" i="2"/>
  <c r="AM90" i="9"/>
  <c r="AD126" i="1"/>
  <c r="AD127" i="1" s="1"/>
  <c r="AD124" i="1"/>
  <c r="AD128" i="1" s="1"/>
  <c r="AD129" i="1" s="1"/>
  <c r="S24" i="1"/>
  <c r="S94" i="9"/>
  <c r="S99" i="9" s="1"/>
  <c r="AW33" i="1"/>
  <c r="AG126" i="1"/>
  <c r="AG127" i="1" s="1"/>
  <c r="AT62" i="2"/>
  <c r="AT55" i="2"/>
  <c r="AT49" i="2"/>
  <c r="AJ124" i="1"/>
  <c r="AW47" i="8"/>
  <c r="AW49" i="8" s="1"/>
  <c r="AX62" i="2"/>
  <c r="AL49" i="8"/>
  <c r="AT25" i="1"/>
  <c r="Z124" i="1"/>
  <c r="AT24" i="1"/>
  <c r="AR38" i="9"/>
  <c r="Y17" i="9"/>
  <c r="Y13" i="9"/>
  <c r="Y14" i="9" s="1"/>
  <c r="AY25" i="1"/>
  <c r="AX55" i="2"/>
  <c r="AC79" i="9"/>
  <c r="J54" i="1"/>
  <c r="J84" i="1" s="1"/>
  <c r="J86" i="1" s="1"/>
  <c r="AX60" i="2"/>
  <c r="AV49" i="1"/>
  <c r="AV60" i="2"/>
  <c r="AX49" i="1"/>
  <c r="AG124" i="1"/>
  <c r="AU123" i="1"/>
  <c r="AU124" i="1" s="1"/>
  <c r="AU128" i="1" s="1"/>
  <c r="AH48" i="8"/>
  <c r="AC49" i="8"/>
  <c r="AJ100" i="9"/>
  <c r="Y57" i="9"/>
  <c r="Y58" i="9" s="1"/>
  <c r="AT59" i="2"/>
  <c r="AC61" i="9"/>
  <c r="AW23" i="1"/>
  <c r="AW138" i="1" s="1"/>
  <c r="BB90" i="9"/>
  <c r="AH63" i="9"/>
  <c r="AR63" i="9"/>
  <c r="AN99" i="9"/>
  <c r="P62" i="3"/>
  <c r="AM63" i="9"/>
  <c r="AM94" i="9"/>
  <c r="P40" i="3"/>
  <c r="P43" i="3" s="1"/>
  <c r="AR87" i="9"/>
  <c r="AI100" i="9"/>
  <c r="Z29" i="9"/>
  <c r="Z33" i="9"/>
  <c r="AB24" i="9"/>
  <c r="AG24" i="9"/>
  <c r="AC23" i="9"/>
  <c r="AG30" i="9"/>
  <c r="AD48" i="8"/>
  <c r="AC27" i="9"/>
  <c r="AL99" i="9"/>
  <c r="AL100" i="9"/>
  <c r="E87" i="1"/>
  <c r="E92" i="1" s="1"/>
  <c r="AN54" i="1"/>
  <c r="AN55" i="1" s="1"/>
  <c r="O54" i="1"/>
  <c r="O84" i="1" s="1"/>
  <c r="P54" i="1"/>
  <c r="P84" i="1" s="1"/>
  <c r="P87" i="1" s="1"/>
  <c r="AA54" i="1"/>
  <c r="AA66" i="1" s="1"/>
  <c r="AA84" i="1" s="1"/>
  <c r="AA87" i="1" s="1"/>
  <c r="Y40" i="1"/>
  <c r="Y41" i="1" s="1"/>
  <c r="Z54" i="1"/>
  <c r="Z107" i="1" s="1"/>
  <c r="Z113" i="1" s="1"/>
  <c r="Z115" i="1" s="1"/>
  <c r="G62" i="3"/>
  <c r="H8" i="3"/>
  <c r="G75" i="1"/>
  <c r="G76" i="1" s="1"/>
  <c r="AI27" i="9"/>
  <c r="AI28" i="9" s="1"/>
  <c r="AI30" i="9"/>
  <c r="V54" i="1"/>
  <c r="V78" i="1" s="1"/>
  <c r="AZ80" i="9"/>
  <c r="F54" i="1"/>
  <c r="F84" i="1" s="1"/>
  <c r="F87" i="1" s="1"/>
  <c r="AX123" i="1"/>
  <c r="AC63" i="9"/>
  <c r="AA38" i="3"/>
  <c r="AD54" i="1"/>
  <c r="AD78" i="1" s="1"/>
  <c r="AD81" i="1" s="1"/>
  <c r="AD82" i="1" s="1"/>
  <c r="Y55" i="2"/>
  <c r="AI54" i="1"/>
  <c r="AI55" i="1" s="1"/>
  <c r="AU99" i="9"/>
  <c r="AH49" i="8"/>
  <c r="AJ11" i="9"/>
  <c r="AG56" i="9"/>
  <c r="AH55" i="9"/>
  <c r="AW57" i="9"/>
  <c r="AW58" i="9" s="1"/>
  <c r="AV55" i="9"/>
  <c r="AV56" i="9" s="1"/>
  <c r="AV58" i="9"/>
  <c r="AX47" i="1"/>
  <c r="AX49" i="2"/>
  <c r="AX56" i="2"/>
  <c r="AX59" i="2"/>
  <c r="AI74" i="9"/>
  <c r="AN74" i="9"/>
  <c r="AI8" i="9"/>
  <c r="AH38" i="9"/>
  <c r="AS79" i="9"/>
  <c r="AS71" i="9"/>
  <c r="AX79" i="9"/>
  <c r="E41" i="1"/>
  <c r="AH54" i="3"/>
  <c r="AC38" i="3"/>
  <c r="Z25" i="1"/>
  <c r="AO27" i="8"/>
  <c r="BC12" i="1"/>
  <c r="BC63" i="9"/>
  <c r="AV7" i="9"/>
  <c r="BA14" i="9" s="1"/>
  <c r="AW4" i="9"/>
  <c r="AW19" i="9" s="1"/>
  <c r="AW8" i="9"/>
  <c r="AP100" i="9"/>
  <c r="AP99" i="9"/>
  <c r="AM38" i="1"/>
  <c r="AM40" i="1" s="1"/>
  <c r="AM41" i="1" s="1"/>
  <c r="W54" i="1"/>
  <c r="W78" i="1" s="1"/>
  <c r="W80" i="1" s="1"/>
  <c r="AY23" i="8"/>
  <c r="R100" i="9"/>
  <c r="AQ49" i="8"/>
  <c r="BC22" i="9"/>
  <c r="BH28" i="9" s="1"/>
  <c r="BC24" i="9"/>
  <c r="AX72" i="9"/>
  <c r="AP95" i="9"/>
  <c r="AP96" i="9" s="1"/>
  <c r="AD12" i="9"/>
  <c r="AD95" i="9"/>
  <c r="AG26" i="9"/>
  <c r="AL26" i="9"/>
  <c r="M91" i="9"/>
  <c r="M90" i="9"/>
  <c r="AC37" i="1"/>
  <c r="AH21" i="1"/>
  <c r="Y49" i="2"/>
  <c r="AB47" i="8"/>
  <c r="AB48" i="8" s="1"/>
  <c r="Y49" i="1"/>
  <c r="Y59" i="2"/>
  <c r="AD24" i="1"/>
  <c r="Y91" i="9"/>
  <c r="Z91" i="9"/>
  <c r="Y90" i="9"/>
  <c r="AC89" i="9"/>
  <c r="AH90" i="9" s="1"/>
  <c r="AD90" i="9"/>
  <c r="AG16" i="9"/>
  <c r="AG11" i="9"/>
  <c r="AG95" i="9" s="1"/>
  <c r="H91" i="9"/>
  <c r="J91" i="9"/>
  <c r="H90" i="9"/>
  <c r="J119" i="1"/>
  <c r="S99" i="1"/>
  <c r="AC21" i="1"/>
  <c r="AL54" i="1"/>
  <c r="AL107" i="1" s="1"/>
  <c r="AL113" i="1" s="1"/>
  <c r="AL114" i="1" s="1"/>
  <c r="AL115" i="1" s="1"/>
  <c r="AL116" i="1" s="1"/>
  <c r="Y56" i="2"/>
  <c r="Y24" i="1"/>
  <c r="Y47" i="1"/>
  <c r="AO24" i="8"/>
  <c r="AI56" i="9"/>
  <c r="AL126" i="1"/>
  <c r="AL127" i="1" s="1"/>
  <c r="AL124" i="1"/>
  <c r="AR16" i="2"/>
  <c r="AQ24" i="2"/>
  <c r="P99" i="1"/>
  <c r="Y60" i="2"/>
  <c r="Y62" i="2"/>
  <c r="Y94" i="9"/>
  <c r="AD99" i="9" s="1"/>
  <c r="AO124" i="8"/>
  <c r="AO126" i="8" s="1"/>
  <c r="AV59" i="2"/>
  <c r="AV49" i="2"/>
  <c r="AY47" i="8"/>
  <c r="AV25" i="1"/>
  <c r="AG28" i="9"/>
  <c r="H110" i="1"/>
  <c r="H10" i="3" s="1"/>
  <c r="S40" i="3"/>
  <c r="AC23" i="1"/>
  <c r="AC49" i="1" s="1"/>
  <c r="S47" i="2"/>
  <c r="O91" i="9"/>
  <c r="Y25" i="1"/>
  <c r="Y63" i="2"/>
  <c r="Y51" i="1"/>
  <c r="J99" i="9"/>
  <c r="AN124" i="1"/>
  <c r="AW50" i="9"/>
  <c r="AW63" i="9" s="1"/>
  <c r="AX64" i="9"/>
  <c r="AV63" i="9"/>
  <c r="AV64" i="9"/>
  <c r="AU14" i="9"/>
  <c r="AU11" i="9"/>
  <c r="AE99" i="9"/>
  <c r="Z99" i="9"/>
  <c r="AA100" i="9"/>
  <c r="AV40" i="1"/>
  <c r="H39" i="9"/>
  <c r="J39" i="9"/>
  <c r="AM49" i="1"/>
  <c r="AH27" i="9"/>
  <c r="X19" i="9"/>
  <c r="AC19" i="9"/>
  <c r="BB22" i="9"/>
  <c r="AT27" i="8"/>
  <c r="AQ26" i="8"/>
  <c r="H40" i="1"/>
  <c r="H41" i="1" s="1"/>
  <c r="R54" i="1"/>
  <c r="R55" i="1" s="1"/>
  <c r="I54" i="1"/>
  <c r="I84" i="1" s="1"/>
  <c r="U54" i="1"/>
  <c r="U78" i="1" s="1"/>
  <c r="E55" i="1"/>
  <c r="P119" i="1"/>
  <c r="D40" i="3"/>
  <c r="D43" i="3" s="1"/>
  <c r="D27" i="3"/>
  <c r="Q9" i="3"/>
  <c r="Q62" i="3" s="1"/>
  <c r="BF28" i="9"/>
  <c r="N47" i="2"/>
  <c r="AS19" i="9"/>
  <c r="AT20" i="9"/>
  <c r="AS94" i="9"/>
  <c r="AS20" i="9"/>
  <c r="AU100" i="1"/>
  <c r="AV34" i="2"/>
  <c r="H20" i="9"/>
  <c r="J20" i="9"/>
  <c r="M19" i="9"/>
  <c r="Q123" i="1"/>
  <c r="M123" i="1"/>
  <c r="O123" i="1"/>
  <c r="P123" i="1"/>
  <c r="J88" i="9"/>
  <c r="H88" i="9"/>
  <c r="M87" i="9"/>
  <c r="BG73" i="9"/>
  <c r="BG74" i="9" s="1"/>
  <c r="AA54" i="3"/>
  <c r="Q38" i="3"/>
  <c r="AQ123" i="1"/>
  <c r="AS123" i="1"/>
  <c r="AT123" i="1"/>
  <c r="H123" i="1"/>
  <c r="J123" i="1"/>
  <c r="AE49" i="8"/>
  <c r="Z48" i="8"/>
  <c r="Z49" i="8"/>
  <c r="M56" i="2"/>
  <c r="M82" i="1"/>
  <c r="M94" i="9"/>
  <c r="O100" i="9" s="1"/>
  <c r="M55" i="2"/>
  <c r="M51" i="1"/>
  <c r="M62" i="2"/>
  <c r="M60" i="2"/>
  <c r="M59" i="2"/>
  <c r="M116" i="1"/>
  <c r="M63" i="2"/>
  <c r="O25" i="1"/>
  <c r="M25" i="1"/>
  <c r="R24" i="1"/>
  <c r="M49" i="1"/>
  <c r="M49" i="2"/>
  <c r="L54" i="1"/>
  <c r="R8" i="3"/>
  <c r="R75" i="1" s="1"/>
  <c r="R76" i="1" s="1"/>
  <c r="AT14" i="9"/>
  <c r="AT11" i="9"/>
  <c r="AQ71" i="9"/>
  <c r="AQ94" i="9"/>
  <c r="AQ80" i="9"/>
  <c r="AR66" i="9"/>
  <c r="AR79" i="9" s="1"/>
  <c r="AQ79" i="9"/>
  <c r="AV79" i="9"/>
  <c r="AS80" i="9"/>
  <c r="AA95" i="9"/>
  <c r="V100" i="9"/>
  <c r="V99" i="9"/>
  <c r="AB99" i="9"/>
  <c r="AB95" i="9"/>
  <c r="W99" i="9"/>
  <c r="BA64" i="9"/>
  <c r="BC64" i="9"/>
  <c r="BA63" i="9"/>
  <c r="BG18" i="1"/>
  <c r="AS56" i="9"/>
  <c r="AX19" i="9"/>
  <c r="AQ43" i="8"/>
  <c r="AV45" i="8" s="1"/>
  <c r="AV42" i="8"/>
  <c r="AQ42" i="8"/>
  <c r="AQ45" i="8" s="1"/>
  <c r="AR13" i="9"/>
  <c r="AQ11" i="9"/>
  <c r="BC15" i="1"/>
  <c r="AD74" i="9"/>
  <c r="Y74" i="9"/>
  <c r="M47" i="1"/>
  <c r="M80" i="9"/>
  <c r="R79" i="9"/>
  <c r="O80" i="9"/>
  <c r="M79" i="9"/>
  <c r="D99" i="1"/>
  <c r="BA38" i="9"/>
  <c r="BF24" i="9"/>
  <c r="AZ71" i="9"/>
  <c r="AZ72" i="9" s="1"/>
  <c r="AZ79" i="9"/>
  <c r="BB66" i="9"/>
  <c r="BE79" i="9"/>
  <c r="AZ11" i="9"/>
  <c r="L99" i="9"/>
  <c r="G100" i="9"/>
  <c r="AW44" i="8"/>
  <c r="AW45" i="8"/>
  <c r="AX44" i="8"/>
  <c r="AK126" i="1"/>
  <c r="AK127" i="1" s="1"/>
  <c r="AK124" i="1"/>
  <c r="AK128" i="1" s="1"/>
  <c r="AK129" i="1" s="1"/>
  <c r="AP124" i="1"/>
  <c r="L26" i="3"/>
  <c r="Q54" i="1"/>
  <c r="G41" i="1"/>
  <c r="G54" i="1"/>
  <c r="H54" i="3"/>
  <c r="AL24" i="9"/>
  <c r="AQ24" i="9"/>
  <c r="AL29" i="9"/>
  <c r="AQ36" i="9" s="1"/>
  <c r="AQ30" i="9"/>
  <c r="L62" i="3"/>
  <c r="M8" i="3"/>
  <c r="M9" i="3" s="1"/>
  <c r="L75" i="1"/>
  <c r="L76" i="1" s="1"/>
  <c r="AV12" i="2"/>
  <c r="AU13" i="2"/>
  <c r="AU24" i="2" s="1"/>
  <c r="M47" i="3"/>
  <c r="M54" i="3" s="1"/>
  <c r="L54" i="3"/>
  <c r="AR30" i="2"/>
  <c r="AS30" i="2" s="1"/>
  <c r="AQ33" i="2"/>
  <c r="AB57" i="9"/>
  <c r="AC59" i="9"/>
  <c r="AT47" i="8"/>
  <c r="AQ49" i="1"/>
  <c r="AQ55" i="2"/>
  <c r="AQ47" i="1"/>
  <c r="AQ56" i="2"/>
  <c r="AQ59" i="2"/>
  <c r="AQ25" i="1"/>
  <c r="AQ49" i="2"/>
  <c r="AS25" i="1"/>
  <c r="AQ63" i="2"/>
  <c r="AQ62" i="2"/>
  <c r="AQ24" i="1"/>
  <c r="AQ60" i="2"/>
  <c r="AV24" i="1"/>
  <c r="X90" i="9"/>
  <c r="AQ40" i="1"/>
  <c r="H59" i="2"/>
  <c r="H94" i="9"/>
  <c r="H60" i="2"/>
  <c r="H47" i="1"/>
  <c r="H56" i="2"/>
  <c r="H49" i="1"/>
  <c r="J25" i="1"/>
  <c r="H62" i="2"/>
  <c r="H116" i="1"/>
  <c r="H63" i="2"/>
  <c r="H25" i="1"/>
  <c r="M24" i="1"/>
  <c r="H55" i="2"/>
  <c r="H82" i="1"/>
  <c r="F113" i="1"/>
  <c r="F118" i="1" s="1"/>
  <c r="F119" i="1" s="1"/>
  <c r="AG54" i="1"/>
  <c r="AG66" i="1" s="1"/>
  <c r="AZ38" i="9"/>
  <c r="BA39" i="9"/>
  <c r="AO39" i="8"/>
  <c r="AO43" i="8"/>
  <c r="AT45" i="8" s="1"/>
  <c r="AO120" i="8"/>
  <c r="AO42" i="8"/>
  <c r="AO45" i="8" s="1"/>
  <c r="AO41" i="8"/>
  <c r="AO44" i="8" s="1"/>
  <c r="AQ41" i="8"/>
  <c r="AQ44" i="8" s="1"/>
  <c r="M12" i="3"/>
  <c r="M111" i="1" s="1"/>
  <c r="M113" i="1" s="1"/>
  <c r="M118" i="1" s="1"/>
  <c r="R119" i="1" s="1"/>
  <c r="L111" i="1"/>
  <c r="L113" i="1" s="1"/>
  <c r="L118" i="1" s="1"/>
  <c r="T99" i="9"/>
  <c r="O99" i="9"/>
  <c r="P100" i="9"/>
  <c r="X94" i="9"/>
  <c r="X47" i="1"/>
  <c r="X24" i="1"/>
  <c r="G54" i="3"/>
  <c r="AK73" i="9"/>
  <c r="AK68" i="9"/>
  <c r="AL67" i="9"/>
  <c r="AP68" i="9"/>
  <c r="K100" i="9"/>
  <c r="P99" i="9"/>
  <c r="K99" i="9"/>
  <c r="L100" i="9"/>
  <c r="BA72" i="9"/>
  <c r="BG96" i="1"/>
  <c r="H51" i="1"/>
  <c r="AT71" i="9"/>
  <c r="AT80" i="9"/>
  <c r="AT94" i="9"/>
  <c r="AY99" i="9" s="1"/>
  <c r="AU80" i="9"/>
  <c r="AT79" i="9"/>
  <c r="AT39" i="8"/>
  <c r="AY45" i="8"/>
  <c r="AT44" i="8"/>
  <c r="BE23" i="9"/>
  <c r="BE35" i="9" s="1"/>
  <c r="BG29" i="9"/>
  <c r="BG30" i="9" s="1"/>
  <c r="BE27" i="9"/>
  <c r="AX55" i="8"/>
  <c r="AW66" i="9"/>
  <c r="AK95" i="9"/>
  <c r="AK72" i="9"/>
  <c r="X51" i="1"/>
  <c r="AC54" i="3"/>
  <c r="L38" i="3"/>
  <c r="AK36" i="2"/>
  <c r="BF68" i="9"/>
  <c r="O99" i="1"/>
  <c r="O27" i="3"/>
  <c r="O40" i="3"/>
  <c r="O43" i="3" s="1"/>
  <c r="AY72" i="9"/>
  <c r="BE16" i="1"/>
  <c r="BD15" i="1"/>
  <c r="BD16" i="1"/>
  <c r="BD12" i="1"/>
  <c r="BE13" i="1"/>
  <c r="AY95" i="9"/>
  <c r="BB55" i="9"/>
  <c r="BD122" i="1"/>
  <c r="BD9" i="1"/>
  <c r="BD30" i="2"/>
  <c r="BG95" i="1"/>
  <c r="O119" i="1"/>
  <c r="J99" i="1"/>
  <c r="J27" i="3"/>
  <c r="J40" i="3"/>
  <c r="J43" i="3" s="1"/>
  <c r="F40" i="3"/>
  <c r="F43" i="3" s="1"/>
  <c r="F27" i="3"/>
  <c r="F99" i="1"/>
  <c r="K99" i="1"/>
  <c r="K27" i="3"/>
  <c r="K40" i="3"/>
  <c r="K43" i="3" s="1"/>
  <c r="N84" i="1"/>
  <c r="N55" i="1"/>
  <c r="K84" i="1"/>
  <c r="K55" i="1"/>
  <c r="AP107" i="1"/>
  <c r="AP113" i="1" s="1"/>
  <c r="AP55" i="1"/>
  <c r="AP78" i="1"/>
  <c r="AP66" i="1"/>
  <c r="AY51" i="2"/>
  <c r="AY98" i="1"/>
  <c r="AY52" i="1"/>
  <c r="AY54" i="1" s="1"/>
  <c r="AY78" i="1" s="1"/>
  <c r="AY80" i="1" s="1"/>
  <c r="AY33" i="2"/>
  <c r="AY40" i="2" s="1"/>
  <c r="AG142" i="1" l="1"/>
  <c r="BD72" i="9"/>
  <c r="W128" i="1"/>
  <c r="AG128" i="1"/>
  <c r="AG129" i="1" s="1"/>
  <c r="AV142" i="1"/>
  <c r="AU54" i="1"/>
  <c r="AU78" i="1" s="1"/>
  <c r="AU81" i="1" s="1"/>
  <c r="AU90" i="1" s="1"/>
  <c r="BB36" i="9"/>
  <c r="AI128" i="1"/>
  <c r="AI133" i="1" s="1"/>
  <c r="AY124" i="1"/>
  <c r="AY135" i="1" s="1"/>
  <c r="AS54" i="1"/>
  <c r="AS107" i="1" s="1"/>
  <c r="AS113" i="1" s="1"/>
  <c r="AS114" i="1" s="1"/>
  <c r="AS115" i="1" s="1"/>
  <c r="AS118" i="1" s="1"/>
  <c r="AN128" i="1"/>
  <c r="AN129" i="1" s="1"/>
  <c r="AL141" i="1"/>
  <c r="AI142" i="1"/>
  <c r="AK55" i="1"/>
  <c r="AL13" i="9"/>
  <c r="AL14" i="9" s="1"/>
  <c r="AK115" i="1"/>
  <c r="AK116" i="1" s="1"/>
  <c r="AK78" i="1"/>
  <c r="AK80" i="1" s="1"/>
  <c r="AE133" i="1"/>
  <c r="AL58" i="9"/>
  <c r="Q124" i="1"/>
  <c r="Q128" i="1" s="1"/>
  <c r="Q129" i="1" s="1"/>
  <c r="AK66" i="1"/>
  <c r="AK67" i="1" s="1"/>
  <c r="AQ8" i="9"/>
  <c r="AL8" i="9"/>
  <c r="AK143" i="1"/>
  <c r="AV127" i="1"/>
  <c r="CD68" i="9"/>
  <c r="Y133" i="1"/>
  <c r="AQ56" i="9"/>
  <c r="AW27" i="9"/>
  <c r="R9" i="3"/>
  <c r="R62" i="3" s="1"/>
  <c r="AR30" i="9"/>
  <c r="AW36" i="9"/>
  <c r="AQ97" i="9"/>
  <c r="AO66" i="1"/>
  <c r="AO84" i="1" s="1"/>
  <c r="AP142" i="1"/>
  <c r="AP143" i="1"/>
  <c r="AO143" i="1"/>
  <c r="AE141" i="1"/>
  <c r="Z30" i="9"/>
  <c r="AE36" i="9"/>
  <c r="CD71" i="9"/>
  <c r="CD79" i="9"/>
  <c r="AK142" i="1"/>
  <c r="AM15" i="9"/>
  <c r="AM16" i="9" s="1"/>
  <c r="BB38" i="9"/>
  <c r="BD94" i="9"/>
  <c r="BD99" i="9" s="1"/>
  <c r="AH4" i="9"/>
  <c r="AM19" i="9" s="1"/>
  <c r="BY71" i="9"/>
  <c r="BY72" i="9" s="1"/>
  <c r="BY79" i="9"/>
  <c r="AL55" i="9"/>
  <c r="AL56" i="9" s="1"/>
  <c r="AR27" i="9"/>
  <c r="AU142" i="1"/>
  <c r="AK141" i="1"/>
  <c r="AF141" i="1"/>
  <c r="AF143" i="1"/>
  <c r="AF144" i="1" s="1"/>
  <c r="AD145" i="1"/>
  <c r="AL143" i="1"/>
  <c r="AO141" i="1"/>
  <c r="AF142" i="1"/>
  <c r="AN143" i="1"/>
  <c r="AM140" i="1"/>
  <c r="AG143" i="1"/>
  <c r="AH140" i="1"/>
  <c r="AH141" i="1" s="1"/>
  <c r="AH54" i="1"/>
  <c r="AH78" i="1" s="1"/>
  <c r="AH81" i="1" s="1"/>
  <c r="AH90" i="1" s="1"/>
  <c r="AJ141" i="1"/>
  <c r="AE143" i="1"/>
  <c r="AE145" i="1" s="1"/>
  <c r="AI143" i="1"/>
  <c r="AI144" i="1" s="1"/>
  <c r="AQ34" i="9"/>
  <c r="AU143" i="1"/>
  <c r="AV143" i="1"/>
  <c r="AW140" i="1"/>
  <c r="Z128" i="1"/>
  <c r="Z129" i="1" s="1"/>
  <c r="AR140" i="1"/>
  <c r="AT143" i="1"/>
  <c r="AS142" i="1"/>
  <c r="AS143" i="1"/>
  <c r="AQ142" i="1"/>
  <c r="AQ143" i="1"/>
  <c r="AQ141" i="1"/>
  <c r="AV141" i="1"/>
  <c r="AT141" i="1"/>
  <c r="AE78" i="1"/>
  <c r="AE81" i="1" s="1"/>
  <c r="AE107" i="1"/>
  <c r="AE113" i="1" s="1"/>
  <c r="AE114" i="1" s="1"/>
  <c r="AE115" i="1" s="1"/>
  <c r="AE118" i="1" s="1"/>
  <c r="AX141" i="1"/>
  <c r="AX143" i="1"/>
  <c r="AX142" i="1"/>
  <c r="BO36" i="2"/>
  <c r="BN100" i="1"/>
  <c r="BN101" i="1" s="1"/>
  <c r="AU135" i="1"/>
  <c r="BT79" i="9"/>
  <c r="BT72" i="9"/>
  <c r="AJ142" i="1"/>
  <c r="AJ143" i="1"/>
  <c r="AO55" i="1"/>
  <c r="AO78" i="1"/>
  <c r="AO80" i="1" s="1"/>
  <c r="G40" i="3"/>
  <c r="G43" i="3" s="1"/>
  <c r="G99" i="1"/>
  <c r="AE67" i="1"/>
  <c r="AE86" i="1"/>
  <c r="T78" i="1"/>
  <c r="T81" i="1" s="1"/>
  <c r="T90" i="1" s="1"/>
  <c r="T91" i="1" s="1"/>
  <c r="AE55" i="1"/>
  <c r="AF66" i="1"/>
  <c r="AF67" i="1" s="1"/>
  <c r="BC39" i="9"/>
  <c r="BI68" i="9"/>
  <c r="AY52" i="2"/>
  <c r="AY139" i="1"/>
  <c r="AY140" i="1" s="1"/>
  <c r="AB43" i="2"/>
  <c r="AB44" i="2" s="1"/>
  <c r="BJ16" i="2"/>
  <c r="F9" i="12"/>
  <c r="AF55" i="1"/>
  <c r="AF82" i="1"/>
  <c r="AF107" i="1"/>
  <c r="AF113" i="1" s="1"/>
  <c r="AF114" i="1" s="1"/>
  <c r="AF115" i="1" s="1"/>
  <c r="AF118" i="1" s="1"/>
  <c r="AF80" i="1"/>
  <c r="BN73" i="9"/>
  <c r="BS73" i="9" s="1"/>
  <c r="BH39" i="9"/>
  <c r="BP68" i="9"/>
  <c r="BR80" i="9"/>
  <c r="BO79" i="9"/>
  <c r="BO71" i="9"/>
  <c r="BO72" i="9" s="1"/>
  <c r="BN64" i="9"/>
  <c r="BN55" i="9"/>
  <c r="BM38" i="9"/>
  <c r="BI63" i="9"/>
  <c r="BN63" i="9"/>
  <c r="AI95" i="9"/>
  <c r="AI96" i="9" s="1"/>
  <c r="BC95" i="9"/>
  <c r="BC96" i="9" s="1"/>
  <c r="BD19" i="9"/>
  <c r="Z12" i="9"/>
  <c r="AB55" i="1"/>
  <c r="AB66" i="1"/>
  <c r="AB84" i="1" s="1"/>
  <c r="AB87" i="1" s="1"/>
  <c r="AB78" i="1"/>
  <c r="AB81" i="1" s="1"/>
  <c r="AB82" i="1" s="1"/>
  <c r="S54" i="1"/>
  <c r="S84" i="1" s="1"/>
  <c r="BL95" i="1"/>
  <c r="T66" i="1"/>
  <c r="T84" i="1" s="1"/>
  <c r="T86" i="1" s="1"/>
  <c r="T107" i="1"/>
  <c r="T113" i="1" s="1"/>
  <c r="T115" i="1" s="1"/>
  <c r="T118" i="1" s="1"/>
  <c r="T119" i="1" s="1"/>
  <c r="AU126" i="1"/>
  <c r="AU127" i="1" s="1"/>
  <c r="AO129" i="1"/>
  <c r="Z17" i="9"/>
  <c r="Z18" i="9" s="1"/>
  <c r="AC73" i="9"/>
  <c r="AC74" i="9" s="1"/>
  <c r="AB67" i="9"/>
  <c r="AG68" i="9" s="1"/>
  <c r="AH56" i="9"/>
  <c r="M41" i="1"/>
  <c r="AR41" i="1"/>
  <c r="BK66" i="9"/>
  <c r="BK68" i="9"/>
  <c r="AX54" i="1"/>
  <c r="AX66" i="1" s="1"/>
  <c r="AI14" i="9"/>
  <c r="BI71" i="9"/>
  <c r="BI72" i="9" s="1"/>
  <c r="BI79" i="9"/>
  <c r="BC4" i="9"/>
  <c r="BC94" i="9" s="1"/>
  <c r="BC8" i="9"/>
  <c r="H9" i="3"/>
  <c r="H26" i="3" s="1"/>
  <c r="H27" i="3" s="1"/>
  <c r="AF129" i="1"/>
  <c r="BL73" i="9"/>
  <c r="BL74" i="9" s="1"/>
  <c r="BH38" i="9"/>
  <c r="BL67" i="9"/>
  <c r="BL68" i="9" s="1"/>
  <c r="BH68" i="9"/>
  <c r="BI64" i="9"/>
  <c r="BJ71" i="9"/>
  <c r="BJ72" i="9" s="1"/>
  <c r="BJ80" i="9"/>
  <c r="BJ79" i="9"/>
  <c r="BH12" i="1"/>
  <c r="AC40" i="1"/>
  <c r="AC41" i="1" s="1"/>
  <c r="AA67" i="1"/>
  <c r="E88" i="1"/>
  <c r="AA78" i="1"/>
  <c r="AA81" i="1" s="1"/>
  <c r="AA82" i="1" s="1"/>
  <c r="J87" i="1"/>
  <c r="J92" i="1" s="1"/>
  <c r="J93" i="1" s="1"/>
  <c r="AJ107" i="1"/>
  <c r="AJ113" i="1" s="1"/>
  <c r="AJ114" i="1" s="1"/>
  <c r="AD55" i="1"/>
  <c r="AJ78" i="1"/>
  <c r="AJ81" i="1" s="1"/>
  <c r="AJ55" i="1"/>
  <c r="Z66" i="1"/>
  <c r="Z84" i="1" s="1"/>
  <c r="AX48" i="8"/>
  <c r="BB49" i="8"/>
  <c r="AC48" i="8"/>
  <c r="Q119" i="1"/>
  <c r="AM99" i="9"/>
  <c r="AW48" i="8"/>
  <c r="AL128" i="1"/>
  <c r="AL133" i="1" s="1"/>
  <c r="X54" i="1"/>
  <c r="X66" i="1" s="1"/>
  <c r="AA133" i="1"/>
  <c r="AH24" i="1"/>
  <c r="AC51" i="1"/>
  <c r="AW55" i="9"/>
  <c r="AW56" i="9" s="1"/>
  <c r="AM54" i="1"/>
  <c r="AM66" i="1" s="1"/>
  <c r="AM84" i="1" s="1"/>
  <c r="AC33" i="9"/>
  <c r="AD133" i="1"/>
  <c r="Y97" i="9"/>
  <c r="Y54" i="1"/>
  <c r="Y78" i="1" s="1"/>
  <c r="Y81" i="1" s="1"/>
  <c r="Y90" i="1" s="1"/>
  <c r="AX124" i="1"/>
  <c r="AX135" i="1" s="1"/>
  <c r="AD33" i="2"/>
  <c r="AD40" i="2" s="1"/>
  <c r="AD43" i="2" s="1"/>
  <c r="AD44" i="2" s="1"/>
  <c r="AD47" i="2" s="1"/>
  <c r="AE30" i="2"/>
  <c r="F86" i="1"/>
  <c r="AD66" i="1"/>
  <c r="AD67" i="1" s="1"/>
  <c r="AD90" i="1"/>
  <c r="W55" i="1"/>
  <c r="F55" i="1"/>
  <c r="AD107" i="1"/>
  <c r="AD113" i="1" s="1"/>
  <c r="AD114" i="1" s="1"/>
  <c r="AN78" i="1"/>
  <c r="AN81" i="1" s="1"/>
  <c r="AN82" i="1" s="1"/>
  <c r="J55" i="1"/>
  <c r="AN107" i="1"/>
  <c r="AN113" i="1" s="1"/>
  <c r="AN114" i="1" s="1"/>
  <c r="AN115" i="1" s="1"/>
  <c r="AN118" i="1" s="1"/>
  <c r="AN66" i="1"/>
  <c r="AN67" i="1" s="1"/>
  <c r="AW47" i="1"/>
  <c r="AW49" i="1"/>
  <c r="AW51" i="1"/>
  <c r="AW24" i="1"/>
  <c r="Z78" i="1"/>
  <c r="Z80" i="1" s="1"/>
  <c r="AL78" i="1"/>
  <c r="AL81" i="1" s="1"/>
  <c r="AL82" i="1" s="1"/>
  <c r="O55" i="1"/>
  <c r="D87" i="1"/>
  <c r="D92" i="1" s="1"/>
  <c r="Z55" i="1"/>
  <c r="AC47" i="1"/>
  <c r="D55" i="1"/>
  <c r="AT41" i="1"/>
  <c r="AT54" i="1"/>
  <c r="AW40" i="1"/>
  <c r="AL118" i="1"/>
  <c r="AX126" i="1"/>
  <c r="AX127" i="1" s="1"/>
  <c r="AW79" i="9"/>
  <c r="AC24" i="1"/>
  <c r="AJ128" i="1"/>
  <c r="BA49" i="8"/>
  <c r="S43" i="3"/>
  <c r="BD13" i="1"/>
  <c r="AC29" i="9"/>
  <c r="Y99" i="9"/>
  <c r="AC24" i="9"/>
  <c r="AH24" i="9"/>
  <c r="AH30" i="9"/>
  <c r="AY48" i="8"/>
  <c r="Z100" i="9"/>
  <c r="BA48" i="8"/>
  <c r="AC94" i="9"/>
  <c r="AH99" i="9" s="1"/>
  <c r="AA55" i="1"/>
  <c r="AA107" i="1"/>
  <c r="AA113" i="1" s="1"/>
  <c r="AA115" i="1" s="1"/>
  <c r="V107" i="1"/>
  <c r="V113" i="1" s="1"/>
  <c r="V115" i="1" s="1"/>
  <c r="V116" i="1" s="1"/>
  <c r="P86" i="1"/>
  <c r="P55" i="1"/>
  <c r="AI107" i="1"/>
  <c r="AI113" i="1" s="1"/>
  <c r="AI114" i="1" s="1"/>
  <c r="AI115" i="1" s="1"/>
  <c r="AI118" i="1" s="1"/>
  <c r="V55" i="1"/>
  <c r="AI66" i="1"/>
  <c r="AI67" i="1" s="1"/>
  <c r="V66" i="1"/>
  <c r="V67" i="1" s="1"/>
  <c r="U107" i="1"/>
  <c r="U113" i="1" s="1"/>
  <c r="U115" i="1" s="1"/>
  <c r="U118" i="1" s="1"/>
  <c r="U119" i="1" s="1"/>
  <c r="H113" i="1"/>
  <c r="H118" i="1" s="1"/>
  <c r="M119" i="1" s="1"/>
  <c r="U66" i="1"/>
  <c r="U84" i="1" s="1"/>
  <c r="AI78" i="1"/>
  <c r="I55" i="1"/>
  <c r="AL55" i="1"/>
  <c r="AL66" i="1"/>
  <c r="AG133" i="1"/>
  <c r="W66" i="1"/>
  <c r="W84" i="1" s="1"/>
  <c r="W86" i="1" s="1"/>
  <c r="BC10" i="1"/>
  <c r="BC38" i="9"/>
  <c r="BD39" i="9"/>
  <c r="AS72" i="9"/>
  <c r="AS95" i="9"/>
  <c r="AS96" i="9" s="1"/>
  <c r="W81" i="1"/>
  <c r="W82" i="1" s="1"/>
  <c r="AC90" i="9"/>
  <c r="W107" i="1"/>
  <c r="W113" i="1" s="1"/>
  <c r="W115" i="1" s="1"/>
  <c r="W116" i="1" s="1"/>
  <c r="AV13" i="9"/>
  <c r="AV8" i="9"/>
  <c r="AV4" i="9"/>
  <c r="AJ12" i="9"/>
  <c r="AJ95" i="9"/>
  <c r="AJ96" i="9" s="1"/>
  <c r="H62" i="3"/>
  <c r="H75" i="1"/>
  <c r="H76" i="1" s="1"/>
  <c r="AG96" i="9"/>
  <c r="AH95" i="9"/>
  <c r="AV54" i="1"/>
  <c r="AV41" i="1"/>
  <c r="AU12" i="9"/>
  <c r="AU95" i="9"/>
  <c r="AU96" i="9" s="1"/>
  <c r="AS16" i="2"/>
  <c r="AR24" i="2"/>
  <c r="AG49" i="8"/>
  <c r="AB49" i="8"/>
  <c r="AC95" i="9"/>
  <c r="AC96" i="9" s="1"/>
  <c r="AY50" i="8"/>
  <c r="AY51" i="8" s="1"/>
  <c r="AY46" i="8"/>
  <c r="AY49" i="8"/>
  <c r="AH11" i="9"/>
  <c r="AH12" i="9" s="1"/>
  <c r="AG12" i="9"/>
  <c r="BB63" i="9"/>
  <c r="AD96" i="9"/>
  <c r="Y100" i="9"/>
  <c r="R84" i="1"/>
  <c r="R87" i="1" s="1"/>
  <c r="U55" i="1"/>
  <c r="H54" i="1"/>
  <c r="H55" i="1" s="1"/>
  <c r="Q26" i="3"/>
  <c r="Q27" i="3" s="1"/>
  <c r="AG55" i="1"/>
  <c r="AB11" i="9"/>
  <c r="AB97" i="9"/>
  <c r="L84" i="1"/>
  <c r="L55" i="1"/>
  <c r="AS126" i="1"/>
  <c r="AS127" i="1" s="1"/>
  <c r="AS124" i="1"/>
  <c r="AQ126" i="1"/>
  <c r="AQ127" i="1" s="1"/>
  <c r="AQ124" i="1"/>
  <c r="AQ128" i="1" s="1"/>
  <c r="AV124" i="1"/>
  <c r="AV135" i="1" s="1"/>
  <c r="AU129" i="1"/>
  <c r="AU133" i="1"/>
  <c r="M126" i="1"/>
  <c r="M127" i="1" s="1"/>
  <c r="R124" i="1"/>
  <c r="M124" i="1"/>
  <c r="AS100" i="9"/>
  <c r="AS99" i="9"/>
  <c r="AX99" i="9"/>
  <c r="AK133" i="1"/>
  <c r="BC13" i="1"/>
  <c r="BA13" i="1"/>
  <c r="BA12" i="1"/>
  <c r="BB11" i="1"/>
  <c r="BB12" i="1" s="1"/>
  <c r="AQ100" i="9"/>
  <c r="AQ99" i="9"/>
  <c r="AR94" i="9"/>
  <c r="AR99" i="9" s="1"/>
  <c r="H124" i="1"/>
  <c r="H128" i="1" s="1"/>
  <c r="H126" i="1"/>
  <c r="H127" i="1" s="1"/>
  <c r="Q126" i="1"/>
  <c r="Q127" i="1" s="1"/>
  <c r="V124" i="1"/>
  <c r="AW34" i="2"/>
  <c r="AV100" i="1"/>
  <c r="AV101" i="1" s="1"/>
  <c r="AA97" i="9"/>
  <c r="AA17" i="9" s="1"/>
  <c r="AA11" i="9"/>
  <c r="AT12" i="9"/>
  <c r="O124" i="1"/>
  <c r="O128" i="1" s="1"/>
  <c r="O126" i="1"/>
  <c r="O127" i="1" s="1"/>
  <c r="T124" i="1"/>
  <c r="R99" i="9"/>
  <c r="M100" i="9"/>
  <c r="K119" i="1"/>
  <c r="M26" i="3"/>
  <c r="M99" i="1" s="1"/>
  <c r="BB79" i="9"/>
  <c r="AQ12" i="9"/>
  <c r="AR11" i="9"/>
  <c r="AR12" i="9" s="1"/>
  <c r="AQ72" i="9"/>
  <c r="AR71" i="9"/>
  <c r="AR72" i="9" s="1"/>
  <c r="AQ95" i="9"/>
  <c r="AX96" i="9"/>
  <c r="AT124" i="1"/>
  <c r="AT126" i="1"/>
  <c r="AT127" i="1" s="1"/>
  <c r="P126" i="1"/>
  <c r="P127" i="1" s="1"/>
  <c r="U124" i="1"/>
  <c r="P124" i="1"/>
  <c r="P128" i="1" s="1"/>
  <c r="AU101" i="1"/>
  <c r="BA9" i="1"/>
  <c r="BA122" i="1"/>
  <c r="BF38" i="9"/>
  <c r="BB71" i="9"/>
  <c r="BB72" i="9" s="1"/>
  <c r="BE15" i="1"/>
  <c r="BB14" i="1"/>
  <c r="BB15" i="1" s="1"/>
  <c r="AZ16" i="1"/>
  <c r="BA16" i="1"/>
  <c r="AZ15" i="1"/>
  <c r="L119" i="1"/>
  <c r="AG107" i="1"/>
  <c r="AG113" i="1" s="1"/>
  <c r="AG114" i="1" s="1"/>
  <c r="AG115" i="1" s="1"/>
  <c r="AG116" i="1" s="1"/>
  <c r="AL36" i="2"/>
  <c r="BE28" i="9"/>
  <c r="BG27" i="9"/>
  <c r="X99" i="9"/>
  <c r="AZ9" i="1"/>
  <c r="AZ10" i="1"/>
  <c r="BA10" i="1"/>
  <c r="AZ122" i="1"/>
  <c r="BB8" i="1"/>
  <c r="H100" i="9"/>
  <c r="J100" i="9"/>
  <c r="M99" i="9"/>
  <c r="AQ54" i="1"/>
  <c r="AQ41" i="1"/>
  <c r="AT48" i="8"/>
  <c r="AT49" i="8"/>
  <c r="AV48" i="8"/>
  <c r="Q84" i="1"/>
  <c r="Q55" i="1"/>
  <c r="AB133" i="1"/>
  <c r="AB129" i="1"/>
  <c r="AZ8" i="9"/>
  <c r="AZ4" i="9"/>
  <c r="AK74" i="9"/>
  <c r="AP74" i="9"/>
  <c r="AB58" i="9"/>
  <c r="AC57" i="9"/>
  <c r="AC58" i="9" s="1"/>
  <c r="AG78" i="1"/>
  <c r="AG81" i="1" s="1"/>
  <c r="AK96" i="9"/>
  <c r="AT100" i="9"/>
  <c r="AT99" i="9"/>
  <c r="AU100" i="9"/>
  <c r="AL68" i="9"/>
  <c r="AL73" i="9"/>
  <c r="AM73" i="9" s="1"/>
  <c r="AM74" i="9" s="1"/>
  <c r="AQ68" i="9"/>
  <c r="AR33" i="2"/>
  <c r="AQ40" i="2"/>
  <c r="AW12" i="2"/>
  <c r="AX12" i="2" s="1"/>
  <c r="AV13" i="2"/>
  <c r="L40" i="3"/>
  <c r="L43" i="3" s="1"/>
  <c r="L27" i="3"/>
  <c r="L99" i="1"/>
  <c r="W129" i="1"/>
  <c r="W133" i="1"/>
  <c r="AT72" i="9"/>
  <c r="AW71" i="9"/>
  <c r="AW72" i="9" s="1"/>
  <c r="AT95" i="9"/>
  <c r="M75" i="1"/>
  <c r="M76" i="1" s="1"/>
  <c r="M62" i="3"/>
  <c r="AP128" i="1"/>
  <c r="BF79" i="9"/>
  <c r="BF80" i="9"/>
  <c r="BG66" i="9"/>
  <c r="BG79" i="9" s="1"/>
  <c r="BE22" i="9"/>
  <c r="BE24" i="9"/>
  <c r="BG23" i="9"/>
  <c r="BG35" i="9" s="1"/>
  <c r="BG36" i="9" s="1"/>
  <c r="AO123" i="8"/>
  <c r="AO122" i="8"/>
  <c r="AS33" i="2"/>
  <c r="AS40" i="2" s="1"/>
  <c r="AT30" i="2"/>
  <c r="AM29" i="9"/>
  <c r="AL30" i="9"/>
  <c r="AL27" i="9"/>
  <c r="G84" i="1"/>
  <c r="G55" i="1"/>
  <c r="AZ12" i="9"/>
  <c r="AZ95" i="9"/>
  <c r="AZ96" i="9" s="1"/>
  <c r="AY96" i="9"/>
  <c r="BD7" i="1"/>
  <c r="BD6" i="1"/>
  <c r="BD23" i="1"/>
  <c r="BD20" i="3"/>
  <c r="BE30" i="2"/>
  <c r="BB8" i="3"/>
  <c r="BB9" i="3" s="1"/>
  <c r="AB116" i="1"/>
  <c r="AB118" i="1"/>
  <c r="M84" i="1"/>
  <c r="M55" i="1"/>
  <c r="AG84" i="1"/>
  <c r="AG67" i="1"/>
  <c r="AR55" i="1"/>
  <c r="AR107" i="1"/>
  <c r="AR113" i="1" s="1"/>
  <c r="AR66" i="1"/>
  <c r="AR78" i="1"/>
  <c r="P88" i="1"/>
  <c r="P92" i="1"/>
  <c r="AP114" i="1"/>
  <c r="AP115" i="1" s="1"/>
  <c r="AA6" i="3"/>
  <c r="AA26" i="3" s="1"/>
  <c r="AA75" i="1"/>
  <c r="AA76" i="1" s="1"/>
  <c r="AA92" i="1"/>
  <c r="AA88" i="1"/>
  <c r="V81" i="1"/>
  <c r="V80" i="1"/>
  <c r="AE75" i="1"/>
  <c r="AE76" i="1" s="1"/>
  <c r="AE6" i="3"/>
  <c r="AE26" i="3" s="1"/>
  <c r="AE88" i="1"/>
  <c r="AE92" i="1"/>
  <c r="AP67" i="1"/>
  <c r="AP84" i="1"/>
  <c r="Z118" i="1"/>
  <c r="Z116" i="1"/>
  <c r="N86" i="1"/>
  <c r="N87" i="1"/>
  <c r="F92" i="1"/>
  <c r="F88" i="1"/>
  <c r="AP81" i="1"/>
  <c r="AP80" i="1"/>
  <c r="O87" i="1"/>
  <c r="O86" i="1"/>
  <c r="K87" i="1"/>
  <c r="K86" i="1"/>
  <c r="U80" i="1"/>
  <c r="U81" i="1"/>
  <c r="AJ84" i="1"/>
  <c r="AJ67" i="1"/>
  <c r="I87" i="1"/>
  <c r="I86" i="1"/>
  <c r="AO114" i="1"/>
  <c r="AO115" i="1" s="1"/>
  <c r="AY66" i="1"/>
  <c r="AY67" i="1" s="1"/>
  <c r="AY55" i="1"/>
  <c r="E31" i="18" s="1"/>
  <c r="AY81" i="1"/>
  <c r="AU107" i="1" l="1"/>
  <c r="AU113" i="1" s="1"/>
  <c r="AU114" i="1" s="1"/>
  <c r="AU115" i="1" s="1"/>
  <c r="AU118" i="1" s="1"/>
  <c r="AU80" i="1"/>
  <c r="AP144" i="1"/>
  <c r="AU82" i="1"/>
  <c r="AI129" i="1"/>
  <c r="AS78" i="1"/>
  <c r="AS81" i="1" s="1"/>
  <c r="AS90" i="1" s="1"/>
  <c r="AS55" i="1"/>
  <c r="AU55" i="1"/>
  <c r="AC43" i="2"/>
  <c r="AY128" i="1"/>
  <c r="AY129" i="1" s="1"/>
  <c r="AN133" i="1"/>
  <c r="AS66" i="1"/>
  <c r="AS67" i="1" s="1"/>
  <c r="AU66" i="1"/>
  <c r="AU84" i="1" s="1"/>
  <c r="AU87" i="1" s="1"/>
  <c r="AM13" i="9"/>
  <c r="AM14" i="9" s="1"/>
  <c r="AL11" i="9"/>
  <c r="AL95" i="9" s="1"/>
  <c r="AK118" i="1"/>
  <c r="AK119" i="1" s="1"/>
  <c r="AK84" i="1"/>
  <c r="AK86" i="1" s="1"/>
  <c r="AL145" i="1"/>
  <c r="AK81" i="1"/>
  <c r="AK82" i="1" s="1"/>
  <c r="Q133" i="1"/>
  <c r="R26" i="3"/>
  <c r="R99" i="1" s="1"/>
  <c r="AM30" i="9"/>
  <c r="AR36" i="9"/>
  <c r="AL129" i="1"/>
  <c r="AU144" i="1"/>
  <c r="AP145" i="1"/>
  <c r="AO67" i="1"/>
  <c r="AO68" i="1"/>
  <c r="AO145" i="1"/>
  <c r="AK144" i="1"/>
  <c r="AG145" i="1"/>
  <c r="AH19" i="9"/>
  <c r="AE80" i="1"/>
  <c r="AC30" i="9"/>
  <c r="AH36" i="9"/>
  <c r="BG24" i="9"/>
  <c r="CD72" i="9"/>
  <c r="AH55" i="1"/>
  <c r="G31" i="20" s="1"/>
  <c r="BY15" i="1"/>
  <c r="CD15" i="1"/>
  <c r="AH80" i="1"/>
  <c r="AH82" i="1"/>
  <c r="G35" i="20" s="1"/>
  <c r="BP80" i="9"/>
  <c r="AM55" i="9"/>
  <c r="AM56" i="9" s="1"/>
  <c r="BB56" i="9"/>
  <c r="BZ73" i="9"/>
  <c r="BZ67" i="9" s="1"/>
  <c r="BU68" i="9"/>
  <c r="AN145" i="1"/>
  <c r="AJ144" i="1"/>
  <c r="AM141" i="1"/>
  <c r="AF145" i="1"/>
  <c r="Z133" i="1"/>
  <c r="AE144" i="1"/>
  <c r="AE116" i="1"/>
  <c r="AG144" i="1"/>
  <c r="AL144" i="1"/>
  <c r="AS144" i="1"/>
  <c r="AN144" i="1"/>
  <c r="AI145" i="1"/>
  <c r="AT145" i="1"/>
  <c r="AX144" i="1"/>
  <c r="AH107" i="1"/>
  <c r="AH113" i="1" s="1"/>
  <c r="AH66" i="1"/>
  <c r="AH67" i="1" s="1"/>
  <c r="AV145" i="1"/>
  <c r="AW141" i="1"/>
  <c r="AU145" i="1"/>
  <c r="AT144" i="1"/>
  <c r="AX145" i="1"/>
  <c r="AV144" i="1"/>
  <c r="AR141" i="1"/>
  <c r="AQ144" i="1"/>
  <c r="AS145" i="1"/>
  <c r="AQ145" i="1"/>
  <c r="AK145" i="1"/>
  <c r="AO144" i="1"/>
  <c r="AJ145" i="1"/>
  <c r="AO81" i="1"/>
  <c r="AO82" i="1" s="1"/>
  <c r="I31" i="20"/>
  <c r="AS128" i="1"/>
  <c r="AS133" i="1" s="1"/>
  <c r="AS135" i="1"/>
  <c r="BP36" i="2"/>
  <c r="BO100" i="1"/>
  <c r="BO101" i="1" s="1"/>
  <c r="AT128" i="1"/>
  <c r="AT129" i="1" s="1"/>
  <c r="AT135" i="1"/>
  <c r="BX73" i="9"/>
  <c r="BV73" i="9"/>
  <c r="BK16" i="2"/>
  <c r="BT15" i="1"/>
  <c r="J21" i="18"/>
  <c r="BD138" i="1"/>
  <c r="T82" i="1"/>
  <c r="T80" i="1"/>
  <c r="AF84" i="1"/>
  <c r="AF86" i="1" s="1"/>
  <c r="T87" i="1"/>
  <c r="T92" i="1" s="1"/>
  <c r="AB67" i="1"/>
  <c r="AY142" i="1"/>
  <c r="AY141" i="1"/>
  <c r="AY143" i="1"/>
  <c r="AB90" i="1"/>
  <c r="AF116" i="1"/>
  <c r="T67" i="1"/>
  <c r="BQ73" i="9"/>
  <c r="BQ74" i="9" s="1"/>
  <c r="BN66" i="9"/>
  <c r="BN68" i="9"/>
  <c r="BO95" i="1"/>
  <c r="BR16" i="1"/>
  <c r="BP71" i="9"/>
  <c r="BP72" i="9" s="1"/>
  <c r="BP79" i="9"/>
  <c r="BO15" i="1"/>
  <c r="BN12" i="1"/>
  <c r="BN13" i="1"/>
  <c r="BM68" i="9"/>
  <c r="BM66" i="9"/>
  <c r="BQ67" i="9"/>
  <c r="BQ68" i="9" s="1"/>
  <c r="BM9" i="1"/>
  <c r="S55" i="1"/>
  <c r="AC67" i="9"/>
  <c r="AC68" i="9" s="1"/>
  <c r="AB68" i="9"/>
  <c r="T116" i="1"/>
  <c r="H99" i="1"/>
  <c r="AX55" i="1"/>
  <c r="D31" i="18" s="1"/>
  <c r="BL66" i="9"/>
  <c r="BL79" i="9" s="1"/>
  <c r="BG47" i="8"/>
  <c r="BD63" i="2"/>
  <c r="BD56" i="2"/>
  <c r="BD62" i="2"/>
  <c r="BD55" i="2"/>
  <c r="BD59" i="2"/>
  <c r="BD60" i="2"/>
  <c r="BD49" i="1"/>
  <c r="BD47" i="1"/>
  <c r="AC54" i="1"/>
  <c r="AC55" i="1" s="1"/>
  <c r="J88" i="1"/>
  <c r="AX78" i="1"/>
  <c r="AX81" i="1" s="1"/>
  <c r="AA90" i="1"/>
  <c r="AF91" i="1" s="1"/>
  <c r="AM107" i="1"/>
  <c r="AM113" i="1" s="1"/>
  <c r="H40" i="3"/>
  <c r="H43" i="3" s="1"/>
  <c r="BI13" i="1"/>
  <c r="BI12" i="1"/>
  <c r="BI80" i="9"/>
  <c r="BJ16" i="1"/>
  <c r="BJ15" i="1"/>
  <c r="BH11" i="9"/>
  <c r="BH12" i="9" s="1"/>
  <c r="BH7" i="9"/>
  <c r="BI15" i="1"/>
  <c r="BK16" i="1"/>
  <c r="BK79" i="9"/>
  <c r="BK71" i="9"/>
  <c r="BK72" i="9" s="1"/>
  <c r="BK80" i="9"/>
  <c r="BH80" i="9"/>
  <c r="BH71" i="9"/>
  <c r="BH79" i="9"/>
  <c r="BC6" i="1"/>
  <c r="BC19" i="9"/>
  <c r="BD20" i="9"/>
  <c r="AS116" i="1"/>
  <c r="Y107" i="1"/>
  <c r="Y113" i="1" s="1"/>
  <c r="Y115" i="1" s="1"/>
  <c r="Y118" i="1" s="1"/>
  <c r="Y119" i="1" s="1"/>
  <c r="Y66" i="1"/>
  <c r="Y84" i="1" s="1"/>
  <c r="Z67" i="1"/>
  <c r="R86" i="1"/>
  <c r="AM67" i="1"/>
  <c r="Y55" i="1"/>
  <c r="Y80" i="1"/>
  <c r="AM78" i="1"/>
  <c r="AM81" i="1" s="1"/>
  <c r="AM90" i="1" s="1"/>
  <c r="AM91" i="1" s="1"/>
  <c r="AM55" i="1"/>
  <c r="BK9" i="1"/>
  <c r="AC99" i="9"/>
  <c r="BF9" i="1"/>
  <c r="BH10" i="1"/>
  <c r="BH13" i="1"/>
  <c r="AJ80" i="1"/>
  <c r="X107" i="1"/>
  <c r="X113" i="1" s="1"/>
  <c r="X115" i="1" s="1"/>
  <c r="X116" i="1" s="1"/>
  <c r="AL90" i="1"/>
  <c r="U116" i="1"/>
  <c r="X55" i="1"/>
  <c r="X78" i="1"/>
  <c r="X80" i="1" s="1"/>
  <c r="AN90" i="1"/>
  <c r="Z81" i="1"/>
  <c r="Z90" i="1" s="1"/>
  <c r="AX128" i="1"/>
  <c r="AX129" i="1" s="1"/>
  <c r="AN116" i="1"/>
  <c r="AF30" i="2"/>
  <c r="AE33" i="2"/>
  <c r="AE40" i="2" s="1"/>
  <c r="AE44" i="2" s="1"/>
  <c r="AE47" i="2" s="1"/>
  <c r="V84" i="1"/>
  <c r="V87" i="1" s="1"/>
  <c r="AN84" i="1"/>
  <c r="AN86" i="1" s="1"/>
  <c r="AD84" i="1"/>
  <c r="AD87" i="1" s="1"/>
  <c r="AS119" i="1"/>
  <c r="AD115" i="1"/>
  <c r="AD116" i="1" s="1"/>
  <c r="AL80" i="1"/>
  <c r="AN80" i="1"/>
  <c r="H119" i="1"/>
  <c r="AT78" i="1"/>
  <c r="AT55" i="1"/>
  <c r="AT66" i="1"/>
  <c r="AT107" i="1"/>
  <c r="AT113" i="1" s="1"/>
  <c r="D88" i="1"/>
  <c r="AW41" i="1"/>
  <c r="AW54" i="1"/>
  <c r="AJ133" i="1"/>
  <c r="AJ129" i="1"/>
  <c r="AH96" i="9"/>
  <c r="AM114" i="1"/>
  <c r="AI116" i="1"/>
  <c r="W118" i="1"/>
  <c r="W119" i="1" s="1"/>
  <c r="AA116" i="1"/>
  <c r="AA118" i="1"/>
  <c r="AF119" i="1" s="1"/>
  <c r="U67" i="1"/>
  <c r="V118" i="1"/>
  <c r="V119" i="1" s="1"/>
  <c r="AI84" i="1"/>
  <c r="AI87" i="1" s="1"/>
  <c r="AI92" i="1" s="1"/>
  <c r="AI80" i="1"/>
  <c r="AI81" i="1"/>
  <c r="Y82" i="1"/>
  <c r="AL84" i="1"/>
  <c r="AL67" i="1"/>
  <c r="W67" i="1"/>
  <c r="AV20" i="9"/>
  <c r="AV19" i="9"/>
  <c r="AX20" i="9"/>
  <c r="BA18" i="9"/>
  <c r="AV94" i="9"/>
  <c r="BC99" i="9"/>
  <c r="W87" i="1"/>
  <c r="W88" i="1" s="1"/>
  <c r="W90" i="1"/>
  <c r="W91" i="1" s="1"/>
  <c r="BB13" i="9"/>
  <c r="BB14" i="9" s="1"/>
  <c r="BC9" i="1"/>
  <c r="BC23" i="1"/>
  <c r="BC122" i="1"/>
  <c r="BD123" i="1" s="1"/>
  <c r="BD10" i="1"/>
  <c r="BD100" i="9"/>
  <c r="AV11" i="9"/>
  <c r="AV14" i="9"/>
  <c r="AW13" i="9"/>
  <c r="AW14" i="9" s="1"/>
  <c r="Q40" i="3"/>
  <c r="Q43" i="3" s="1"/>
  <c r="Q99" i="1"/>
  <c r="H84" i="1"/>
  <c r="T128" i="1"/>
  <c r="T133" i="1" s="1"/>
  <c r="AT16" i="2"/>
  <c r="AS60" i="2"/>
  <c r="AS24" i="2"/>
  <c r="AS43" i="2" s="1"/>
  <c r="AS44" i="2" s="1"/>
  <c r="AS47" i="2" s="1"/>
  <c r="AV55" i="1"/>
  <c r="AV78" i="1"/>
  <c r="AV66" i="1"/>
  <c r="AV107" i="1"/>
  <c r="AV113" i="1" s="1"/>
  <c r="AV114" i="1" s="1"/>
  <c r="M40" i="3"/>
  <c r="M43" i="3" s="1"/>
  <c r="M27" i="3"/>
  <c r="AQ96" i="9"/>
  <c r="AR95" i="9"/>
  <c r="AR96" i="9" s="1"/>
  <c r="AA13" i="9"/>
  <c r="AA12" i="9"/>
  <c r="AC11" i="9"/>
  <c r="AC12" i="9" s="1"/>
  <c r="V128" i="1"/>
  <c r="AB13" i="9"/>
  <c r="AB12" i="9"/>
  <c r="AG118" i="1"/>
  <c r="AG119" i="1" s="1"/>
  <c r="AG80" i="1"/>
  <c r="U128" i="1"/>
  <c r="O129" i="1"/>
  <c r="O133" i="1"/>
  <c r="AC17" i="9"/>
  <c r="AA18" i="9"/>
  <c r="R128" i="1"/>
  <c r="AV128" i="1"/>
  <c r="AC97" i="9"/>
  <c r="P133" i="1"/>
  <c r="P129" i="1"/>
  <c r="S86" i="1"/>
  <c r="S87" i="1"/>
  <c r="H129" i="1"/>
  <c r="H133" i="1"/>
  <c r="M128" i="1"/>
  <c r="AH114" i="1"/>
  <c r="BF13" i="1"/>
  <c r="BF12" i="1"/>
  <c r="BG11" i="1"/>
  <c r="AQ129" i="1"/>
  <c r="AQ133" i="1"/>
  <c r="L87" i="1"/>
  <c r="L86" i="1"/>
  <c r="BB32" i="1"/>
  <c r="BB33" i="1" s="1"/>
  <c r="AM36" i="2"/>
  <c r="AN36" i="2" s="1"/>
  <c r="AM27" i="9"/>
  <c r="AL28" i="9"/>
  <c r="BF39" i="9"/>
  <c r="BE38" i="9"/>
  <c r="BG22" i="9"/>
  <c r="BG38" i="9" s="1"/>
  <c r="BE39" i="9"/>
  <c r="AT96" i="9"/>
  <c r="AW13" i="2"/>
  <c r="AW24" i="2" s="1"/>
  <c r="AV24" i="2"/>
  <c r="BE18" i="9"/>
  <c r="AZ19" i="9"/>
  <c r="AZ20" i="9"/>
  <c r="AZ94" i="9"/>
  <c r="AU30" i="2"/>
  <c r="AT33" i="2"/>
  <c r="AT40" i="2" s="1"/>
  <c r="AP129" i="1"/>
  <c r="AP133" i="1"/>
  <c r="AQ78" i="1"/>
  <c r="AQ107" i="1"/>
  <c r="AQ113" i="1" s="1"/>
  <c r="AQ114" i="1" s="1"/>
  <c r="AQ115" i="1" s="1"/>
  <c r="AQ118" i="1" s="1"/>
  <c r="AQ119" i="1" s="1"/>
  <c r="AQ55" i="1"/>
  <c r="AQ66" i="1"/>
  <c r="AY12" i="2"/>
  <c r="AZ12" i="2" s="1"/>
  <c r="BA12" i="2" s="1"/>
  <c r="BB12" i="2" s="1"/>
  <c r="BC12" i="2" s="1"/>
  <c r="BD12" i="2" s="1"/>
  <c r="BE12" i="2" s="1"/>
  <c r="BF12" i="2" s="1"/>
  <c r="BG12" i="2" s="1"/>
  <c r="BH12" i="2" s="1"/>
  <c r="BI12" i="2" s="1"/>
  <c r="BJ12" i="2" s="1"/>
  <c r="BK12" i="2" s="1"/>
  <c r="BL12" i="2" s="1"/>
  <c r="BM12" i="2" s="1"/>
  <c r="BN12" i="2" s="1"/>
  <c r="BO12" i="2" s="1"/>
  <c r="BP12" i="2" s="1"/>
  <c r="BQ12" i="2" s="1"/>
  <c r="BR12" i="2" s="1"/>
  <c r="BS12" i="2" s="1"/>
  <c r="BT12" i="2" s="1"/>
  <c r="BU12" i="2" s="1"/>
  <c r="BV12" i="2" s="1"/>
  <c r="BW12" i="2" s="1"/>
  <c r="AX13" i="2"/>
  <c r="AX24" i="2" s="1"/>
  <c r="AE90" i="1"/>
  <c r="AE82" i="1"/>
  <c r="AL74" i="9"/>
  <c r="AQ74" i="9"/>
  <c r="BB9" i="1"/>
  <c r="G86" i="1"/>
  <c r="G87" i="1"/>
  <c r="AX67" i="1"/>
  <c r="AX84" i="1"/>
  <c r="AB47" i="2"/>
  <c r="AC44" i="2"/>
  <c r="AC47" i="2" s="1"/>
  <c r="BF72" i="9"/>
  <c r="BG71" i="9"/>
  <c r="BG72" i="9" s="1"/>
  <c r="BF15" i="1"/>
  <c r="BF16" i="1"/>
  <c r="BF122" i="1"/>
  <c r="BG14" i="1"/>
  <c r="AR40" i="2"/>
  <c r="AQ43" i="2"/>
  <c r="Q86" i="1"/>
  <c r="Q87" i="1"/>
  <c r="AZ123" i="1"/>
  <c r="BA123" i="1"/>
  <c r="BD38" i="1"/>
  <c r="BD40" i="1" s="1"/>
  <c r="BD98" i="1"/>
  <c r="BD24" i="1"/>
  <c r="BF30" i="2"/>
  <c r="BB15" i="2"/>
  <c r="AN119" i="1"/>
  <c r="M87" i="1"/>
  <c r="M86" i="1"/>
  <c r="AG90" i="1"/>
  <c r="AG82" i="1"/>
  <c r="AR81" i="1"/>
  <c r="AR80" i="1"/>
  <c r="X67" i="1"/>
  <c r="X84" i="1"/>
  <c r="AG86" i="1"/>
  <c r="AG87" i="1"/>
  <c r="AJ115" i="1"/>
  <c r="AJ116" i="1" s="1"/>
  <c r="AR84" i="1"/>
  <c r="AR67" i="1"/>
  <c r="AM87" i="1"/>
  <c r="AM86" i="1"/>
  <c r="AB88" i="1"/>
  <c r="AB75" i="1"/>
  <c r="AB76" i="1" s="1"/>
  <c r="AB6" i="3"/>
  <c r="AB26" i="3" s="1"/>
  <c r="AB92" i="1"/>
  <c r="AO118" i="1"/>
  <c r="AO116" i="1"/>
  <c r="AP116" i="1"/>
  <c r="AP118" i="1"/>
  <c r="AJ87" i="1"/>
  <c r="AJ86" i="1"/>
  <c r="U90" i="1"/>
  <c r="U91" i="1" s="1"/>
  <c r="U82" i="1"/>
  <c r="O88" i="1"/>
  <c r="O92" i="1"/>
  <c r="O93" i="1" s="1"/>
  <c r="Y91" i="1"/>
  <c r="AD91" i="1"/>
  <c r="Z119" i="1"/>
  <c r="AE119" i="1"/>
  <c r="AP87" i="1"/>
  <c r="AP86" i="1"/>
  <c r="AJ82" i="1"/>
  <c r="AJ90" i="1"/>
  <c r="I92" i="1"/>
  <c r="I93" i="1" s="1"/>
  <c r="I88" i="1"/>
  <c r="Z86" i="1"/>
  <c r="Z87" i="1"/>
  <c r="AO87" i="1"/>
  <c r="AO86" i="1"/>
  <c r="AA99" i="1"/>
  <c r="AA40" i="3"/>
  <c r="AA27" i="3"/>
  <c r="AA56" i="3"/>
  <c r="R88" i="1"/>
  <c r="R92" i="1"/>
  <c r="AE40" i="3"/>
  <c r="AE43" i="3" s="1"/>
  <c r="AE27" i="3"/>
  <c r="AE56" i="3"/>
  <c r="AE99" i="1"/>
  <c r="K92" i="1"/>
  <c r="K93" i="1" s="1"/>
  <c r="K88" i="1"/>
  <c r="AP90" i="1"/>
  <c r="AP82" i="1"/>
  <c r="N92" i="1"/>
  <c r="N88" i="1"/>
  <c r="V82" i="1"/>
  <c r="V90" i="1"/>
  <c r="U86" i="1"/>
  <c r="U87" i="1"/>
  <c r="AY84" i="1"/>
  <c r="AY82" i="1"/>
  <c r="AY90" i="1"/>
  <c r="E23" i="18" s="1"/>
  <c r="AU116" i="1" l="1"/>
  <c r="AS82" i="1"/>
  <c r="AS80" i="1"/>
  <c r="AS91" i="1"/>
  <c r="AL12" i="9"/>
  <c r="AM11" i="9"/>
  <c r="AM12" i="9" s="1"/>
  <c r="AY133" i="1"/>
  <c r="AR14" i="9"/>
  <c r="AS84" i="1"/>
  <c r="AS86" i="1" s="1"/>
  <c r="AU67" i="1"/>
  <c r="AU86" i="1"/>
  <c r="AU75" i="1"/>
  <c r="AU76" i="1" s="1"/>
  <c r="AT133" i="1"/>
  <c r="R40" i="3"/>
  <c r="R43" i="3" s="1"/>
  <c r="AK90" i="1"/>
  <c r="AK91" i="1" s="1"/>
  <c r="AK87" i="1"/>
  <c r="AK75" i="1" s="1"/>
  <c r="AK76" i="1" s="1"/>
  <c r="R27" i="3"/>
  <c r="BQ66" i="9"/>
  <c r="BQ79" i="9" s="1"/>
  <c r="AS129" i="1"/>
  <c r="BX12" i="2"/>
  <c r="BY12" i="2" s="1"/>
  <c r="BZ12" i="2" s="1"/>
  <c r="CA12" i="2" s="1"/>
  <c r="CB12" i="2" s="1"/>
  <c r="CC12" i="2" s="1"/>
  <c r="CF12" i="2" s="1"/>
  <c r="CG12" i="2" s="1"/>
  <c r="BW13" i="2"/>
  <c r="BW24" i="2" s="1"/>
  <c r="AR56" i="9"/>
  <c r="BZ66" i="9"/>
  <c r="BZ71" i="9" s="1"/>
  <c r="CE73" i="9"/>
  <c r="CE67" i="9" s="1"/>
  <c r="BX67" i="9"/>
  <c r="CC73" i="9" s="1"/>
  <c r="CA73" i="9"/>
  <c r="BZ68" i="9"/>
  <c r="AX133" i="1"/>
  <c r="AH115" i="1"/>
  <c r="AH118" i="1" s="1"/>
  <c r="BQ36" i="2"/>
  <c r="BR36" i="2" s="1"/>
  <c r="BP100" i="1"/>
  <c r="AH84" i="1"/>
  <c r="AH87" i="1" s="1"/>
  <c r="AH92" i="1" s="1"/>
  <c r="AF87" i="1"/>
  <c r="AF6" i="3" s="1"/>
  <c r="AF26" i="3" s="1"/>
  <c r="AF56" i="3" s="1"/>
  <c r="AO90" i="1"/>
  <c r="AO91" i="1" s="1"/>
  <c r="H31" i="20"/>
  <c r="F31" i="20"/>
  <c r="BU15" i="1"/>
  <c r="BU16" i="1"/>
  <c r="BV68" i="9"/>
  <c r="BS68" i="9"/>
  <c r="BR79" i="9"/>
  <c r="BR72" i="9"/>
  <c r="BC40" i="1"/>
  <c r="BC41" i="1" s="1"/>
  <c r="I21" i="18"/>
  <c r="BC138" i="1"/>
  <c r="BP95" i="1"/>
  <c r="BQ95" i="1" s="1"/>
  <c r="BL16" i="2"/>
  <c r="BM16" i="2" s="1"/>
  <c r="AG91" i="1"/>
  <c r="T6" i="3"/>
  <c r="T26" i="3" s="1"/>
  <c r="T27" i="3" s="1"/>
  <c r="T75" i="1"/>
  <c r="T76" i="1" s="1"/>
  <c r="T88" i="1"/>
  <c r="BP16" i="1"/>
  <c r="AH68" i="9"/>
  <c r="AH74" i="9"/>
  <c r="AY144" i="1"/>
  <c r="AY145" i="1"/>
  <c r="BG49" i="8"/>
  <c r="BN79" i="9"/>
  <c r="BN71" i="9"/>
  <c r="BN72" i="9" s="1"/>
  <c r="BO80" i="9"/>
  <c r="BP15" i="1"/>
  <c r="BM10" i="1"/>
  <c r="BM80" i="9"/>
  <c r="BN80" i="9"/>
  <c r="BM71" i="9"/>
  <c r="BM79" i="9"/>
  <c r="BM11" i="9"/>
  <c r="AX80" i="1"/>
  <c r="Y116" i="1"/>
  <c r="T129" i="1"/>
  <c r="AM115" i="1"/>
  <c r="AM118" i="1" s="1"/>
  <c r="AC107" i="1"/>
  <c r="AC113" i="1" s="1"/>
  <c r="AC115" i="1" s="1"/>
  <c r="AC118" i="1" s="1"/>
  <c r="AC66" i="1"/>
  <c r="AC67" i="1" s="1"/>
  <c r="AC78" i="1"/>
  <c r="AC81" i="1" s="1"/>
  <c r="Y67" i="1"/>
  <c r="BH16" i="1"/>
  <c r="X118" i="1"/>
  <c r="X119" i="1" s="1"/>
  <c r="V86" i="1"/>
  <c r="AD118" i="1"/>
  <c r="AI119" i="1" s="1"/>
  <c r="AM82" i="1"/>
  <c r="H35" i="20" s="1"/>
  <c r="X81" i="1"/>
  <c r="X82" i="1" s="1"/>
  <c r="AM80" i="1"/>
  <c r="BH72" i="9"/>
  <c r="BH95" i="9"/>
  <c r="BH96" i="9" s="1"/>
  <c r="BL71" i="9"/>
  <c r="BL72" i="9" s="1"/>
  <c r="BI16" i="1"/>
  <c r="BC60" i="2"/>
  <c r="BC55" i="2"/>
  <c r="BC62" i="2"/>
  <c r="BF47" i="8"/>
  <c r="BC56" i="2"/>
  <c r="BC63" i="2"/>
  <c r="BC59" i="2"/>
  <c r="BK15" i="1"/>
  <c r="BH4" i="9"/>
  <c r="BH8" i="9"/>
  <c r="BH15" i="1"/>
  <c r="BL14" i="1"/>
  <c r="BL15" i="1" s="1"/>
  <c r="BH122" i="1"/>
  <c r="BJ9" i="1"/>
  <c r="BI122" i="1"/>
  <c r="BI10" i="1"/>
  <c r="BI9" i="1"/>
  <c r="Z82" i="1"/>
  <c r="BG12" i="1"/>
  <c r="BC47" i="1"/>
  <c r="BC49" i="1"/>
  <c r="AN87" i="1"/>
  <c r="AN75" i="1" s="1"/>
  <c r="AN76" i="1" s="1"/>
  <c r="BD25" i="1"/>
  <c r="AG30" i="2"/>
  <c r="AF33" i="2"/>
  <c r="AF40" i="2" s="1"/>
  <c r="AF43" i="2" s="1"/>
  <c r="AF44" i="2" s="1"/>
  <c r="AF47" i="2" s="1"/>
  <c r="AD92" i="1"/>
  <c r="AI93" i="1" s="1"/>
  <c r="AD75" i="1"/>
  <c r="AD76" i="1" s="1"/>
  <c r="AD88" i="1"/>
  <c r="AD6" i="3"/>
  <c r="AD26" i="3" s="1"/>
  <c r="AI6" i="3"/>
  <c r="AI26" i="3" s="1"/>
  <c r="AI40" i="3" s="1"/>
  <c r="AI43" i="3" s="1"/>
  <c r="AW107" i="1"/>
  <c r="AW113" i="1" s="1"/>
  <c r="AW66" i="1"/>
  <c r="AW78" i="1"/>
  <c r="AW55" i="1"/>
  <c r="J31" i="20" s="1"/>
  <c r="AT67" i="1"/>
  <c r="AT84" i="1"/>
  <c r="W92" i="1"/>
  <c r="AB93" i="1" s="1"/>
  <c r="AI75" i="1"/>
  <c r="AI76" i="1" s="1"/>
  <c r="AT81" i="1"/>
  <c r="AT80" i="1"/>
  <c r="AT114" i="1"/>
  <c r="AT115" i="1" s="1"/>
  <c r="AA119" i="1"/>
  <c r="BC123" i="1"/>
  <c r="AB119" i="1"/>
  <c r="AI88" i="1"/>
  <c r="W75" i="1"/>
  <c r="W76" i="1" s="1"/>
  <c r="AV115" i="1"/>
  <c r="AV116" i="1" s="1"/>
  <c r="W6" i="3"/>
  <c r="W26" i="3" s="1"/>
  <c r="W99" i="1" s="1"/>
  <c r="AL119" i="1"/>
  <c r="AB91" i="1"/>
  <c r="AI82" i="1"/>
  <c r="AI90" i="1"/>
  <c r="AL87" i="1"/>
  <c r="AL86" i="1"/>
  <c r="BD124" i="1"/>
  <c r="BD128" i="1" s="1"/>
  <c r="BD129" i="1" s="1"/>
  <c r="BD126" i="1"/>
  <c r="BD127" i="1" s="1"/>
  <c r="AV12" i="9"/>
  <c r="AV95" i="9"/>
  <c r="AW11" i="9"/>
  <c r="AW12" i="9" s="1"/>
  <c r="BA12" i="9"/>
  <c r="BA95" i="9"/>
  <c r="BB11" i="9"/>
  <c r="BB12" i="9" s="1"/>
  <c r="AX100" i="9"/>
  <c r="AV100" i="9"/>
  <c r="AV99" i="9"/>
  <c r="AW94" i="9"/>
  <c r="AW99" i="9" s="1"/>
  <c r="BC24" i="1"/>
  <c r="BD49" i="2"/>
  <c r="BA4" i="9"/>
  <c r="BA8" i="9"/>
  <c r="BB7" i="9"/>
  <c r="AV81" i="1"/>
  <c r="AV80" i="1"/>
  <c r="AT60" i="2"/>
  <c r="AT24" i="2"/>
  <c r="AT43" i="2" s="1"/>
  <c r="AT44" i="2" s="1"/>
  <c r="AT47" i="2" s="1"/>
  <c r="AV84" i="1"/>
  <c r="AV67" i="1"/>
  <c r="H86" i="1"/>
  <c r="H87" i="1"/>
  <c r="AQ116" i="1"/>
  <c r="Y86" i="1"/>
  <c r="Y87" i="1"/>
  <c r="AJ118" i="1"/>
  <c r="AJ119" i="1" s="1"/>
  <c r="L92" i="1"/>
  <c r="L88" i="1"/>
  <c r="AJ91" i="1"/>
  <c r="S88" i="1"/>
  <c r="S92" i="1"/>
  <c r="S93" i="1" s="1"/>
  <c r="R133" i="1"/>
  <c r="R129" i="1"/>
  <c r="V133" i="1"/>
  <c r="V129" i="1"/>
  <c r="U129" i="1"/>
  <c r="U133" i="1"/>
  <c r="M133" i="1"/>
  <c r="M129" i="1"/>
  <c r="AV129" i="1"/>
  <c r="AV133" i="1"/>
  <c r="AB7" i="9"/>
  <c r="AB14" i="9"/>
  <c r="AC13" i="9"/>
  <c r="AC14" i="9" s="1"/>
  <c r="AA14" i="9"/>
  <c r="AR114" i="1"/>
  <c r="AR115" i="1" s="1"/>
  <c r="AR116" i="1" s="1"/>
  <c r="AX43" i="2"/>
  <c r="AX44" i="2" s="1"/>
  <c r="AX47" i="2" s="1"/>
  <c r="Q88" i="1"/>
  <c r="Q92" i="1"/>
  <c r="BG15" i="1"/>
  <c r="AX86" i="1"/>
  <c r="AX87" i="1"/>
  <c r="AX75" i="1"/>
  <c r="AX76" i="1" s="1"/>
  <c r="BE122" i="1"/>
  <c r="BE123" i="1" s="1"/>
  <c r="BE9" i="1"/>
  <c r="BF10" i="1"/>
  <c r="BG8" i="1"/>
  <c r="BE10" i="1"/>
  <c r="AQ44" i="2"/>
  <c r="AR43" i="2"/>
  <c r="BA124" i="1"/>
  <c r="BA128" i="1" s="1"/>
  <c r="BA129" i="1" s="1"/>
  <c r="BA126" i="1"/>
  <c r="BA127" i="1" s="1"/>
  <c r="AQ80" i="1"/>
  <c r="AQ81" i="1"/>
  <c r="AV30" i="2"/>
  <c r="AU33" i="2"/>
  <c r="AU40" i="2" s="1"/>
  <c r="AU43" i="2" s="1"/>
  <c r="AU44" i="2" s="1"/>
  <c r="AU47" i="2" s="1"/>
  <c r="AZ23" i="1"/>
  <c r="AZ6" i="1"/>
  <c r="AZ7" i="1"/>
  <c r="AO36" i="2"/>
  <c r="AN40" i="2"/>
  <c r="AN43" i="2" s="1"/>
  <c r="AN44" i="2" s="1"/>
  <c r="AN47" i="2" s="1"/>
  <c r="AN100" i="1"/>
  <c r="AN101" i="1" s="1"/>
  <c r="AZ124" i="1"/>
  <c r="AZ128" i="1" s="1"/>
  <c r="AZ129" i="1" s="1"/>
  <c r="AZ126" i="1"/>
  <c r="AZ127" i="1" s="1"/>
  <c r="AX90" i="1"/>
  <c r="D23" i="18" s="1"/>
  <c r="AX82" i="1"/>
  <c r="AZ99" i="9"/>
  <c r="AZ100" i="9"/>
  <c r="BE8" i="9"/>
  <c r="G92" i="1"/>
  <c r="G88" i="1"/>
  <c r="AQ67" i="1"/>
  <c r="AQ84" i="1"/>
  <c r="AL96" i="9"/>
  <c r="AM95" i="9"/>
  <c r="AM96" i="9" s="1"/>
  <c r="BD51" i="2"/>
  <c r="BD41" i="1"/>
  <c r="BD33" i="2"/>
  <c r="BD40" i="2" s="1"/>
  <c r="BD52" i="1"/>
  <c r="BD54" i="1" s="1"/>
  <c r="BG30" i="2"/>
  <c r="BG20" i="3"/>
  <c r="BG35" i="2"/>
  <c r="AU91" i="1"/>
  <c r="AL91" i="1"/>
  <c r="AG75" i="1"/>
  <c r="AG76" i="1" s="1"/>
  <c r="AG6" i="3"/>
  <c r="AG26" i="3" s="1"/>
  <c r="AG88" i="1"/>
  <c r="AG92" i="1"/>
  <c r="AG93" i="1" s="1"/>
  <c r="AR82" i="1"/>
  <c r="I35" i="20" s="1"/>
  <c r="AR90" i="1"/>
  <c r="M88" i="1"/>
  <c r="M92" i="1"/>
  <c r="AB99" i="1"/>
  <c r="AB40" i="3"/>
  <c r="AB43" i="3" s="1"/>
  <c r="AB27" i="3"/>
  <c r="AB56" i="3"/>
  <c r="AM75" i="1"/>
  <c r="AM76" i="1" s="1"/>
  <c r="AM88" i="1"/>
  <c r="AM6" i="3"/>
  <c r="AM26" i="3" s="1"/>
  <c r="AM92" i="1"/>
  <c r="AR86" i="1"/>
  <c r="AR87" i="1"/>
  <c r="X87" i="1"/>
  <c r="X86" i="1"/>
  <c r="AU88" i="1"/>
  <c r="AU6" i="3"/>
  <c r="AU26" i="3" s="1"/>
  <c r="AU92" i="1"/>
  <c r="T93" i="1"/>
  <c r="P93" i="1"/>
  <c r="AJ6" i="3"/>
  <c r="AJ26" i="3" s="1"/>
  <c r="AJ88" i="1"/>
  <c r="AJ75" i="1"/>
  <c r="AJ76" i="1" s="1"/>
  <c r="AJ92" i="1"/>
  <c r="AJ93" i="1" s="1"/>
  <c r="U88" i="1"/>
  <c r="U75" i="1"/>
  <c r="U76" i="1" s="1"/>
  <c r="U6" i="3"/>
  <c r="U26" i="3" s="1"/>
  <c r="U92" i="1"/>
  <c r="U93" i="1" s="1"/>
  <c r="V91" i="1"/>
  <c r="AA91" i="1"/>
  <c r="AP6" i="3"/>
  <c r="AP26" i="3" s="1"/>
  <c r="AP92" i="1"/>
  <c r="AP75" i="1"/>
  <c r="AP76" i="1" s="1"/>
  <c r="AP88" i="1"/>
  <c r="AP119" i="1"/>
  <c r="AU119" i="1"/>
  <c r="V88" i="1"/>
  <c r="V6" i="3"/>
  <c r="V26" i="3" s="1"/>
  <c r="V92" i="1"/>
  <c r="V75" i="1"/>
  <c r="V76" i="1" s="1"/>
  <c r="N93" i="1"/>
  <c r="AA42" i="3"/>
  <c r="AA43" i="3"/>
  <c r="Z88" i="1"/>
  <c r="Z6" i="3"/>
  <c r="Z26" i="3" s="1"/>
  <c r="Z75" i="1"/>
  <c r="Z76" i="1" s="1"/>
  <c r="Z92" i="1"/>
  <c r="Z91" i="1"/>
  <c r="AE91" i="1"/>
  <c r="AO6" i="3"/>
  <c r="AO26" i="3" s="1"/>
  <c r="AO88" i="1"/>
  <c r="AO75" i="1"/>
  <c r="AO76" i="1" s="1"/>
  <c r="AO92" i="1"/>
  <c r="AY87" i="1"/>
  <c r="AY92" i="1" s="1"/>
  <c r="AY86" i="1"/>
  <c r="AY75" i="1"/>
  <c r="AY76" i="1" s="1"/>
  <c r="AK6" i="3" l="1"/>
  <c r="AK26" i="3" s="1"/>
  <c r="AK99" i="1" s="1"/>
  <c r="AS87" i="1"/>
  <c r="AS75" i="1" s="1"/>
  <c r="AS76" i="1" s="1"/>
  <c r="AP91" i="1"/>
  <c r="AK92" i="1"/>
  <c r="AP93" i="1" s="1"/>
  <c r="AK88" i="1"/>
  <c r="CH12" i="2"/>
  <c r="BZ80" i="9"/>
  <c r="CE68" i="9"/>
  <c r="CE66" i="9"/>
  <c r="CB80" i="9"/>
  <c r="CC67" i="9"/>
  <c r="CF73" i="9"/>
  <c r="CF74" i="9" s="1"/>
  <c r="CA67" i="9"/>
  <c r="CA68" i="9" s="1"/>
  <c r="CA74" i="9"/>
  <c r="AM119" i="1"/>
  <c r="AH116" i="1"/>
  <c r="BX66" i="9"/>
  <c r="BX68" i="9"/>
  <c r="BR100" i="1"/>
  <c r="BR101" i="1" s="1"/>
  <c r="AH119" i="1"/>
  <c r="AH75" i="1"/>
  <c r="AH76" i="1" s="1"/>
  <c r="AH86" i="1"/>
  <c r="AH6" i="3"/>
  <c r="AH26" i="3" s="1"/>
  <c r="AH40" i="3" s="1"/>
  <c r="AH88" i="1"/>
  <c r="AM93" i="1"/>
  <c r="AF75" i="1"/>
  <c r="AF76" i="1" s="1"/>
  <c r="AF88" i="1"/>
  <c r="AF92" i="1"/>
  <c r="AF93" i="1" s="1"/>
  <c r="BP101" i="1"/>
  <c r="AF99" i="1"/>
  <c r="AF40" i="3"/>
  <c r="AF43" i="3" s="1"/>
  <c r="AF27" i="3"/>
  <c r="F21" i="18"/>
  <c r="AZ138" i="1"/>
  <c r="BN16" i="2"/>
  <c r="BS79" i="9"/>
  <c r="BS80" i="9"/>
  <c r="BT80" i="9"/>
  <c r="T99" i="1"/>
  <c r="T40" i="3"/>
  <c r="T43" i="3" s="1"/>
  <c r="BN15" i="1"/>
  <c r="BO16" i="1"/>
  <c r="BM72" i="9"/>
  <c r="BQ71" i="9"/>
  <c r="BQ72" i="9" s="1"/>
  <c r="BN16" i="1"/>
  <c r="BM15" i="1"/>
  <c r="BQ14" i="1"/>
  <c r="BM16" i="1"/>
  <c r="BM122" i="1"/>
  <c r="BM12" i="9"/>
  <c r="BM95" i="9"/>
  <c r="BM8" i="9"/>
  <c r="BD52" i="2"/>
  <c r="AM116" i="1"/>
  <c r="X90" i="1"/>
  <c r="AC116" i="1"/>
  <c r="AC80" i="1"/>
  <c r="BF49" i="8"/>
  <c r="BG48" i="8"/>
  <c r="AC84" i="1"/>
  <c r="AC87" i="1" s="1"/>
  <c r="AC88" i="1" s="1"/>
  <c r="AD119" i="1"/>
  <c r="BG32" i="1"/>
  <c r="BG33" i="1" s="1"/>
  <c r="BH19" i="9"/>
  <c r="BH94" i="9"/>
  <c r="AN92" i="1"/>
  <c r="AN93" i="1" s="1"/>
  <c r="BL8" i="1"/>
  <c r="BL9" i="1" s="1"/>
  <c r="BK10" i="1"/>
  <c r="BJ10" i="1"/>
  <c r="AN6" i="3"/>
  <c r="AN26" i="3" s="1"/>
  <c r="AN27" i="3" s="1"/>
  <c r="BI123" i="1"/>
  <c r="BH123" i="1"/>
  <c r="BH126" i="1" s="1"/>
  <c r="BH127" i="1" s="1"/>
  <c r="BG9" i="1"/>
  <c r="BC126" i="1"/>
  <c r="BC127" i="1" s="1"/>
  <c r="BC51" i="2"/>
  <c r="BC98" i="1"/>
  <c r="AN88" i="1"/>
  <c r="W93" i="1"/>
  <c r="AH30" i="2"/>
  <c r="AI30" i="2" s="1"/>
  <c r="AG33" i="2"/>
  <c r="AI27" i="3"/>
  <c r="AI99" i="1"/>
  <c r="AV118" i="1"/>
  <c r="AV119" i="1" s="1"/>
  <c r="AD40" i="3"/>
  <c r="AD43" i="3" s="1"/>
  <c r="AD27" i="3"/>
  <c r="AD56" i="3"/>
  <c r="AD59" i="3" s="1"/>
  <c r="AE58" i="3" s="1"/>
  <c r="AE59" i="3" s="1"/>
  <c r="AF58" i="3" s="1"/>
  <c r="AF59" i="3" s="1"/>
  <c r="AG58" i="3" s="1"/>
  <c r="AD99" i="1"/>
  <c r="AI56" i="3"/>
  <c r="AT118" i="1"/>
  <c r="AT119" i="1" s="1"/>
  <c r="AT116" i="1"/>
  <c r="AW81" i="1"/>
  <c r="AW80" i="1"/>
  <c r="BC124" i="1"/>
  <c r="BC128" i="1" s="1"/>
  <c r="BC129" i="1" s="1"/>
  <c r="AT87" i="1"/>
  <c r="AT86" i="1"/>
  <c r="AW67" i="1"/>
  <c r="AW84" i="1"/>
  <c r="AW114" i="1"/>
  <c r="AW115" i="1" s="1"/>
  <c r="AT82" i="1"/>
  <c r="AT90" i="1"/>
  <c r="BF123" i="1"/>
  <c r="W40" i="3"/>
  <c r="W43" i="3" s="1"/>
  <c r="W27" i="3"/>
  <c r="AB28" i="3"/>
  <c r="AO119" i="1"/>
  <c r="AI91" i="1"/>
  <c r="AN91" i="1"/>
  <c r="AC119" i="1"/>
  <c r="AL6" i="3"/>
  <c r="AL26" i="3" s="1"/>
  <c r="AL92" i="1"/>
  <c r="AL93" i="1" s="1"/>
  <c r="AL88" i="1"/>
  <c r="AL75" i="1"/>
  <c r="AL76" i="1" s="1"/>
  <c r="BA19" i="9"/>
  <c r="BA94" i="9"/>
  <c r="BF18" i="9"/>
  <c r="BC20" i="9"/>
  <c r="BA20" i="9"/>
  <c r="BC33" i="2"/>
  <c r="BC40" i="2" s="1"/>
  <c r="BA96" i="9"/>
  <c r="BB95" i="9"/>
  <c r="BB96" i="9" s="1"/>
  <c r="AC82" i="1"/>
  <c r="F35" i="20" s="1"/>
  <c r="AC90" i="1"/>
  <c r="AH91" i="1" s="1"/>
  <c r="BG13" i="9"/>
  <c r="BG14" i="9" s="1"/>
  <c r="BC52" i="1"/>
  <c r="BC54" i="1" s="1"/>
  <c r="BB8" i="9"/>
  <c r="BB4" i="9"/>
  <c r="BB19" i="9" s="1"/>
  <c r="AV96" i="9"/>
  <c r="AW95" i="9"/>
  <c r="AW96" i="9" s="1"/>
  <c r="BC47" i="8"/>
  <c r="AZ63" i="2"/>
  <c r="AZ55" i="2"/>
  <c r="AZ62" i="2"/>
  <c r="AZ56" i="2"/>
  <c r="AZ59" i="2"/>
  <c r="AZ60" i="2"/>
  <c r="H92" i="1"/>
  <c r="M93" i="1" s="1"/>
  <c r="H88" i="1"/>
  <c r="AV87" i="1"/>
  <c r="AV75" i="1"/>
  <c r="AV76" i="1" s="1"/>
  <c r="AV86" i="1"/>
  <c r="AV90" i="1"/>
  <c r="AV82" i="1"/>
  <c r="AZ47" i="1"/>
  <c r="AZ49" i="1"/>
  <c r="L93" i="1"/>
  <c r="Q93" i="1"/>
  <c r="Y92" i="1"/>
  <c r="Y88" i="1"/>
  <c r="Y6" i="3"/>
  <c r="Y26" i="3" s="1"/>
  <c r="Y99" i="1" s="1"/>
  <c r="Y75" i="1"/>
  <c r="Y76" i="1" s="1"/>
  <c r="AB8" i="9"/>
  <c r="AG14" i="9"/>
  <c r="AC7" i="9"/>
  <c r="AG8" i="9"/>
  <c r="AR118" i="1"/>
  <c r="AR119" i="1" s="1"/>
  <c r="R93" i="1"/>
  <c r="AZ38" i="1"/>
  <c r="AZ40" i="1" s="1"/>
  <c r="AV33" i="2"/>
  <c r="AW30" i="2"/>
  <c r="BE126" i="1"/>
  <c r="BE127" i="1" s="1"/>
  <c r="BE124" i="1"/>
  <c r="BE128" i="1" s="1"/>
  <c r="BE129" i="1" s="1"/>
  <c r="AO100" i="1"/>
  <c r="AO101" i="1" s="1"/>
  <c r="AO40" i="2"/>
  <c r="AO43" i="2" s="1"/>
  <c r="AO44" i="2" s="1"/>
  <c r="AO47" i="2" s="1"/>
  <c r="AP36" i="2"/>
  <c r="AZ98" i="1"/>
  <c r="AZ24" i="1"/>
  <c r="AZ25" i="1"/>
  <c r="AX6" i="3"/>
  <c r="AX26" i="3" s="1"/>
  <c r="AX92" i="1"/>
  <c r="AX88" i="1"/>
  <c r="AQ86" i="1"/>
  <c r="AQ87" i="1"/>
  <c r="AX91" i="1"/>
  <c r="AQ90" i="1"/>
  <c r="AQ82" i="1"/>
  <c r="AQ47" i="2"/>
  <c r="AR44" i="2"/>
  <c r="AR47" i="2" s="1"/>
  <c r="BD55" i="1"/>
  <c r="J31" i="18" s="1"/>
  <c r="BD66" i="1"/>
  <c r="BD78" i="1"/>
  <c r="AR92" i="1"/>
  <c r="AR88" i="1"/>
  <c r="AR75" i="1"/>
  <c r="AR76" i="1" s="1"/>
  <c r="AR6" i="3"/>
  <c r="AR26" i="3" s="1"/>
  <c r="AU56" i="3"/>
  <c r="AU40" i="3"/>
  <c r="AU43" i="3" s="1"/>
  <c r="AU27" i="3"/>
  <c r="AU99" i="1"/>
  <c r="AR91" i="1"/>
  <c r="AG29" i="3"/>
  <c r="AG27" i="3"/>
  <c r="AG99" i="1"/>
  <c r="AG56" i="3"/>
  <c r="AG40" i="3"/>
  <c r="AG43" i="3" s="1"/>
  <c r="X88" i="1"/>
  <c r="X92" i="1"/>
  <c r="X93" i="1" s="1"/>
  <c r="X6" i="3"/>
  <c r="X26" i="3" s="1"/>
  <c r="X75" i="1"/>
  <c r="X76" i="1" s="1"/>
  <c r="AM56" i="3"/>
  <c r="AM99" i="1"/>
  <c r="AM27" i="3"/>
  <c r="AM40" i="3"/>
  <c r="Z99" i="1"/>
  <c r="Z27" i="3"/>
  <c r="Z56" i="3"/>
  <c r="Z59" i="3" s="1"/>
  <c r="AA58" i="3" s="1"/>
  <c r="AA59" i="3" s="1"/>
  <c r="AB58" i="3" s="1"/>
  <c r="AB59" i="3" s="1"/>
  <c r="Z40" i="3"/>
  <c r="AU93" i="1"/>
  <c r="U40" i="3"/>
  <c r="U43" i="3" s="1"/>
  <c r="U27" i="3"/>
  <c r="U99" i="1"/>
  <c r="AO27" i="3"/>
  <c r="AO40" i="3"/>
  <c r="AO43" i="3" s="1"/>
  <c r="AO56" i="3"/>
  <c r="AO99" i="1"/>
  <c r="V93" i="1"/>
  <c r="AA93" i="1"/>
  <c r="AP27" i="3"/>
  <c r="AP56" i="3"/>
  <c r="AP40" i="3"/>
  <c r="AP43" i="3" s="1"/>
  <c r="AP99" i="1"/>
  <c r="AJ99" i="1"/>
  <c r="AJ27" i="3"/>
  <c r="AJ56" i="3"/>
  <c r="AJ40" i="3"/>
  <c r="AJ43" i="3" s="1"/>
  <c r="AO93" i="1"/>
  <c r="Z93" i="1"/>
  <c r="AE93" i="1"/>
  <c r="V40" i="3"/>
  <c r="V43" i="3" s="1"/>
  <c r="V27" i="3"/>
  <c r="V99" i="1"/>
  <c r="AY88" i="1"/>
  <c r="AY6" i="3"/>
  <c r="AK40" i="3" l="1"/>
  <c r="AK43" i="3" s="1"/>
  <c r="AS88" i="1"/>
  <c r="AS6" i="3"/>
  <c r="AS26" i="3" s="1"/>
  <c r="AS56" i="3" s="1"/>
  <c r="AS92" i="1"/>
  <c r="AS93" i="1" s="1"/>
  <c r="AK27" i="3"/>
  <c r="AK56" i="3"/>
  <c r="CH13" i="2"/>
  <c r="CH24" i="2" s="1"/>
  <c r="CH43" i="2" s="1"/>
  <c r="CH44" i="2" s="1"/>
  <c r="CH47" i="2" s="1"/>
  <c r="CI12" i="2"/>
  <c r="CI13" i="2" s="1"/>
  <c r="CI24" i="2" s="1"/>
  <c r="CI43" i="2" s="1"/>
  <c r="CI44" i="2" s="1"/>
  <c r="CI47" i="2" s="1"/>
  <c r="CK12" i="2"/>
  <c r="CP12" i="2" s="1"/>
  <c r="CQ12" i="2" s="1"/>
  <c r="CR12" i="2" s="1"/>
  <c r="CS12" i="2" s="1"/>
  <c r="CT12" i="2" s="1"/>
  <c r="CU12" i="2" s="1"/>
  <c r="BZ16" i="1"/>
  <c r="BZ15" i="1"/>
  <c r="CE71" i="9"/>
  <c r="CE72" i="9" s="1"/>
  <c r="CE79" i="9"/>
  <c r="CE80" i="9"/>
  <c r="CC68" i="9"/>
  <c r="CC66" i="9"/>
  <c r="CF67" i="9"/>
  <c r="CF68" i="9" s="1"/>
  <c r="BX79" i="9"/>
  <c r="BX80" i="9"/>
  <c r="BX71" i="9"/>
  <c r="BY80" i="9"/>
  <c r="CA66" i="9"/>
  <c r="BU36" i="2"/>
  <c r="BT100" i="1"/>
  <c r="BT101" i="1" s="1"/>
  <c r="AK93" i="1"/>
  <c r="AH43" i="3"/>
  <c r="AH99" i="1"/>
  <c r="AH56" i="3"/>
  <c r="AH27" i="3"/>
  <c r="DB10" i="1"/>
  <c r="DB16" i="1"/>
  <c r="BS15" i="1"/>
  <c r="BS16" i="1"/>
  <c r="BV14" i="1"/>
  <c r="BT16" i="1"/>
  <c r="BO16" i="2"/>
  <c r="BS72" i="9"/>
  <c r="BQ15" i="1"/>
  <c r="BM19" i="9"/>
  <c r="BM94" i="9"/>
  <c r="BM96" i="9"/>
  <c r="BC52" i="2"/>
  <c r="BD139" i="1"/>
  <c r="BD140" i="1" s="1"/>
  <c r="AC75" i="1"/>
  <c r="AC76" i="1" s="1"/>
  <c r="AC92" i="1"/>
  <c r="AH93" i="1" s="1"/>
  <c r="AC86" i="1"/>
  <c r="BD80" i="1"/>
  <c r="AN99" i="1"/>
  <c r="BH99" i="9"/>
  <c r="BH6" i="1"/>
  <c r="BH23" i="1"/>
  <c r="BH149" i="1" s="1"/>
  <c r="AN56" i="3"/>
  <c r="AN40" i="3"/>
  <c r="AN43" i="3" s="1"/>
  <c r="BH124" i="1"/>
  <c r="BH128" i="1" s="1"/>
  <c r="BI126" i="1"/>
  <c r="BI127" i="1" s="1"/>
  <c r="BI124" i="1"/>
  <c r="BI128" i="1" s="1"/>
  <c r="BI129" i="1" s="1"/>
  <c r="BF124" i="1"/>
  <c r="BF128" i="1" s="1"/>
  <c r="BF129" i="1" s="1"/>
  <c r="AH33" i="2"/>
  <c r="AG40" i="2"/>
  <c r="AI33" i="2"/>
  <c r="AI40" i="2" s="1"/>
  <c r="AI43" i="2" s="1"/>
  <c r="AI44" i="2" s="1"/>
  <c r="AI47" i="2" s="1"/>
  <c r="AJ30" i="2"/>
  <c r="BF126" i="1"/>
  <c r="BF127" i="1" s="1"/>
  <c r="AW87" i="1"/>
  <c r="AW75" i="1"/>
  <c r="AW76" i="1" s="1"/>
  <c r="AW86" i="1"/>
  <c r="AT91" i="1"/>
  <c r="AY91" i="1"/>
  <c r="AW118" i="1"/>
  <c r="AW119" i="1" s="1"/>
  <c r="AW116" i="1"/>
  <c r="AT6" i="3"/>
  <c r="AT26" i="3" s="1"/>
  <c r="AT75" i="1"/>
  <c r="AT76" i="1" s="1"/>
  <c r="AT88" i="1"/>
  <c r="AT92" i="1"/>
  <c r="AW82" i="1"/>
  <c r="J35" i="20" s="1"/>
  <c r="AW90" i="1"/>
  <c r="BC49" i="8"/>
  <c r="AL27" i="3"/>
  <c r="AL56" i="3"/>
  <c r="AL40" i="3"/>
  <c r="AL43" i="3" s="1"/>
  <c r="AL99" i="1"/>
  <c r="AC91" i="1"/>
  <c r="BC66" i="1"/>
  <c r="BC55" i="1"/>
  <c r="I31" i="18" s="1"/>
  <c r="BC78" i="1"/>
  <c r="BC80" i="1" s="1"/>
  <c r="BA99" i="9"/>
  <c r="BC100" i="9"/>
  <c r="BA100" i="9"/>
  <c r="BB94" i="9"/>
  <c r="BB99" i="9" s="1"/>
  <c r="BF8" i="9"/>
  <c r="BG7" i="9"/>
  <c r="BC7" i="1"/>
  <c r="BA23" i="1"/>
  <c r="BA6" i="1"/>
  <c r="BA7" i="1"/>
  <c r="BB5" i="1"/>
  <c r="AV88" i="1"/>
  <c r="AV6" i="3"/>
  <c r="AV26" i="3" s="1"/>
  <c r="AV92" i="1"/>
  <c r="Y27" i="3"/>
  <c r="AC6" i="3"/>
  <c r="AC26" i="3" s="1"/>
  <c r="AC56" i="3" s="1"/>
  <c r="AC59" i="3" s="1"/>
  <c r="AH58" i="3" s="1"/>
  <c r="Y40" i="3"/>
  <c r="Y43" i="3" s="1"/>
  <c r="BC48" i="8"/>
  <c r="AD93" i="1"/>
  <c r="Y93" i="1"/>
  <c r="AH14" i="9"/>
  <c r="AC8" i="9"/>
  <c r="AH8" i="9"/>
  <c r="AG59" i="3"/>
  <c r="AI58" i="3" s="1"/>
  <c r="AI59" i="3" s="1"/>
  <c r="AJ58" i="3" s="1"/>
  <c r="AJ59" i="3" s="1"/>
  <c r="AK58" i="3" s="1"/>
  <c r="AZ41" i="1"/>
  <c r="AP100" i="1"/>
  <c r="AP101" i="1" s="1"/>
  <c r="AP40" i="2"/>
  <c r="AP43" i="2" s="1"/>
  <c r="AP44" i="2" s="1"/>
  <c r="AP47" i="2" s="1"/>
  <c r="AZ51" i="2"/>
  <c r="AZ52" i="1"/>
  <c r="AZ54" i="1" s="1"/>
  <c r="AZ131" i="1"/>
  <c r="AQ92" i="1"/>
  <c r="AQ88" i="1"/>
  <c r="AQ75" i="1"/>
  <c r="AQ76" i="1" s="1"/>
  <c r="AQ6" i="3"/>
  <c r="AQ26" i="3" s="1"/>
  <c r="AQ91" i="1"/>
  <c r="AV91" i="1"/>
  <c r="AX56" i="3"/>
  <c r="AX27" i="3"/>
  <c r="AX99" i="1"/>
  <c r="AX40" i="3"/>
  <c r="AX43" i="3" s="1"/>
  <c r="AZ49" i="2"/>
  <c r="AZ33" i="2"/>
  <c r="AZ40" i="2" s="1"/>
  <c r="AW33" i="2"/>
  <c r="AV40" i="2"/>
  <c r="BE23" i="1"/>
  <c r="BE6" i="1"/>
  <c r="BE7" i="1"/>
  <c r="BD67" i="1"/>
  <c r="BD84" i="1"/>
  <c r="BD75" i="1" s="1"/>
  <c r="BD81" i="1"/>
  <c r="X40" i="3"/>
  <c r="X27" i="3"/>
  <c r="X99" i="1"/>
  <c r="AR99" i="1"/>
  <c r="AR40" i="3"/>
  <c r="AR56" i="3"/>
  <c r="AR27" i="3"/>
  <c r="AM43" i="3"/>
  <c r="AR93" i="1"/>
  <c r="Z42" i="3"/>
  <c r="Z43" i="3"/>
  <c r="AS99" i="1" l="1"/>
  <c r="AS40" i="3"/>
  <c r="AS43" i="3" s="1"/>
  <c r="AK59" i="3"/>
  <c r="AL58" i="3" s="1"/>
  <c r="AL59" i="3" s="1"/>
  <c r="AN58" i="3" s="1"/>
  <c r="AN59" i="3" s="1"/>
  <c r="AO58" i="3" s="1"/>
  <c r="AO59" i="3" s="1"/>
  <c r="AP58" i="3" s="1"/>
  <c r="AP59" i="3" s="1"/>
  <c r="AQ58" i="3" s="1"/>
  <c r="AX93" i="1"/>
  <c r="AS27" i="3"/>
  <c r="CE16" i="1"/>
  <c r="CE15" i="1"/>
  <c r="CC79" i="9"/>
  <c r="CC15" i="1"/>
  <c r="CD80" i="9"/>
  <c r="CC71" i="9"/>
  <c r="CC94" i="9"/>
  <c r="CF66" i="9"/>
  <c r="CF79" i="9" s="1"/>
  <c r="CC80" i="9"/>
  <c r="BV36" i="2"/>
  <c r="BW36" i="2" s="1"/>
  <c r="BU100" i="1"/>
  <c r="BU101" i="1" s="1"/>
  <c r="BX72" i="9"/>
  <c r="CA71" i="9"/>
  <c r="BX15" i="1"/>
  <c r="BX16" i="1"/>
  <c r="BY16" i="1"/>
  <c r="CA14" i="1"/>
  <c r="G32" i="20"/>
  <c r="G33" i="20" s="1"/>
  <c r="AH59" i="3"/>
  <c r="AM58" i="3" s="1"/>
  <c r="AM59" i="3" s="1"/>
  <c r="AR58" i="3" s="1"/>
  <c r="AR59" i="3" s="1"/>
  <c r="AW58" i="3" s="1"/>
  <c r="BW16" i="1"/>
  <c r="H32" i="20"/>
  <c r="H33" i="20" s="1"/>
  <c r="BD47" i="8"/>
  <c r="BF48" i="8" s="1"/>
  <c r="G21" i="18"/>
  <c r="BA138" i="1"/>
  <c r="AZ133" i="1"/>
  <c r="AZ135" i="1"/>
  <c r="BH63" i="2"/>
  <c r="BH62" i="2"/>
  <c r="BH59" i="2"/>
  <c r="BH56" i="2"/>
  <c r="BH55" i="2"/>
  <c r="BK47" i="8"/>
  <c r="BH60" i="2"/>
  <c r="BQ16" i="2"/>
  <c r="BV16" i="2" s="1"/>
  <c r="CA16" i="2" s="1"/>
  <c r="CF16" i="2" s="1"/>
  <c r="CK16" i="2" s="1"/>
  <c r="CP16" i="2" s="1"/>
  <c r="CQ16" i="2" s="1"/>
  <c r="CR16" i="2" s="1"/>
  <c r="CS16" i="2" s="1"/>
  <c r="CT16" i="2" s="1"/>
  <c r="CU16" i="2" s="1"/>
  <c r="K21" i="18"/>
  <c r="BE138" i="1"/>
  <c r="BV15" i="1"/>
  <c r="AZ52" i="2"/>
  <c r="AZ139" i="1"/>
  <c r="AZ140" i="1" s="1"/>
  <c r="BM99" i="9"/>
  <c r="BM6" i="1"/>
  <c r="BM23" i="1"/>
  <c r="BD141" i="1"/>
  <c r="BH49" i="1"/>
  <c r="BH51" i="1"/>
  <c r="BH47" i="1"/>
  <c r="BH38" i="1"/>
  <c r="BH40" i="1" s="1"/>
  <c r="BH138" i="1"/>
  <c r="N21" i="18"/>
  <c r="AC93" i="1"/>
  <c r="BE56" i="2"/>
  <c r="BE63" i="2"/>
  <c r="BE62" i="2"/>
  <c r="BE59" i="2"/>
  <c r="BH47" i="8"/>
  <c r="BE60" i="2"/>
  <c r="BE55" i="2"/>
  <c r="AC40" i="3"/>
  <c r="AC43" i="3" s="1"/>
  <c r="BE49" i="1"/>
  <c r="BE47" i="1"/>
  <c r="BD76" i="1"/>
  <c r="BD86" i="1"/>
  <c r="BK30" i="2"/>
  <c r="BK33" i="2" s="1"/>
  <c r="BH98" i="1"/>
  <c r="BH24" i="1"/>
  <c r="BH129" i="1"/>
  <c r="BC81" i="1"/>
  <c r="BC90" i="1" s="1"/>
  <c r="I23" i="18" s="1"/>
  <c r="AK30" i="2"/>
  <c r="AJ33" i="2"/>
  <c r="AJ40" i="2" s="1"/>
  <c r="AJ43" i="2" s="1"/>
  <c r="AJ44" i="2" s="1"/>
  <c r="AJ47" i="2" s="1"/>
  <c r="AG43" i="2"/>
  <c r="AH40" i="2"/>
  <c r="AC27" i="3"/>
  <c r="AW91" i="1"/>
  <c r="AC99" i="1"/>
  <c r="AT93" i="1"/>
  <c r="AY93" i="1"/>
  <c r="AW88" i="1"/>
  <c r="AW6" i="3"/>
  <c r="AW26" i="3" s="1"/>
  <c r="AW92" i="1"/>
  <c r="AW93" i="1" s="1"/>
  <c r="AT56" i="3"/>
  <c r="AT40" i="3"/>
  <c r="AT43" i="3" s="1"/>
  <c r="AT27" i="3"/>
  <c r="AT99" i="1"/>
  <c r="BA60" i="2"/>
  <c r="BA56" i="2"/>
  <c r="BA55" i="2"/>
  <c r="BA62" i="2"/>
  <c r="BA63" i="2"/>
  <c r="BA59" i="2"/>
  <c r="BA47" i="1"/>
  <c r="BA49" i="1"/>
  <c r="BF23" i="1"/>
  <c r="BB6" i="1"/>
  <c r="BB23" i="1"/>
  <c r="BB48" i="1"/>
  <c r="BB14" i="2"/>
  <c r="BA24" i="1"/>
  <c r="BA98" i="1"/>
  <c r="BC25" i="1"/>
  <c r="BA25" i="1"/>
  <c r="BA38" i="1"/>
  <c r="BA40" i="1" s="1"/>
  <c r="BA41" i="1" s="1"/>
  <c r="BB28" i="1"/>
  <c r="BC84" i="1"/>
  <c r="BC86" i="1" s="1"/>
  <c r="BC67" i="1"/>
  <c r="BG8" i="9"/>
  <c r="AV56" i="3"/>
  <c r="AV99" i="1"/>
  <c r="AV27" i="3"/>
  <c r="AV40" i="3"/>
  <c r="AV43" i="3" s="1"/>
  <c r="AZ66" i="1"/>
  <c r="AZ55" i="1"/>
  <c r="F31" i="18" s="1"/>
  <c r="AZ78" i="1"/>
  <c r="BE38" i="1"/>
  <c r="BE40" i="1" s="1"/>
  <c r="BE24" i="1"/>
  <c r="BE25" i="1"/>
  <c r="AQ93" i="1"/>
  <c r="AV93" i="1"/>
  <c r="AW40" i="2"/>
  <c r="AV43" i="2"/>
  <c r="AQ27" i="3"/>
  <c r="AQ99" i="1"/>
  <c r="AQ40" i="3"/>
  <c r="AQ43" i="3" s="1"/>
  <c r="AQ56" i="3"/>
  <c r="BD90" i="1"/>
  <c r="J23" i="18" s="1"/>
  <c r="BD82" i="1"/>
  <c r="AR43" i="3"/>
  <c r="X43" i="3"/>
  <c r="AY13" i="2"/>
  <c r="AY24" i="2" s="1"/>
  <c r="BM149" i="1" l="1"/>
  <c r="BM45" i="1"/>
  <c r="BX36" i="2"/>
  <c r="BW100" i="1"/>
  <c r="BW101" i="1" s="1"/>
  <c r="CC72" i="9"/>
  <c r="CC95" i="9"/>
  <c r="CF71" i="9"/>
  <c r="CF72" i="9" s="1"/>
  <c r="CD16" i="1"/>
  <c r="CC23" i="1"/>
  <c r="T111" i="21" s="1"/>
  <c r="CF14" i="1"/>
  <c r="E6" i="24" s="1"/>
  <c r="CC16" i="1"/>
  <c r="CA15" i="1"/>
  <c r="BD49" i="8"/>
  <c r="BM150" i="1"/>
  <c r="BD48" i="8"/>
  <c r="BD46" i="8"/>
  <c r="BD45" i="8" s="1"/>
  <c r="I32" i="20"/>
  <c r="I33" i="20" s="1"/>
  <c r="F32" i="20"/>
  <c r="F33" i="20" s="1"/>
  <c r="BM63" i="2"/>
  <c r="BM62" i="2"/>
  <c r="BM49" i="1"/>
  <c r="BM59" i="2"/>
  <c r="BP47" i="8"/>
  <c r="BP49" i="8" s="1"/>
  <c r="BM56" i="2"/>
  <c r="BM55" i="2"/>
  <c r="BM47" i="1"/>
  <c r="BM60" i="2"/>
  <c r="H21" i="18"/>
  <c r="BB138" i="1"/>
  <c r="BK49" i="8"/>
  <c r="BF62" i="2"/>
  <c r="BF63" i="2"/>
  <c r="BF55" i="2"/>
  <c r="BF56" i="2"/>
  <c r="BF59" i="2"/>
  <c r="BI47" i="8"/>
  <c r="BI49" i="8" s="1"/>
  <c r="L21" i="18"/>
  <c r="BF60" i="2"/>
  <c r="AZ143" i="1"/>
  <c r="AZ142" i="1"/>
  <c r="AZ141" i="1"/>
  <c r="BM38" i="1"/>
  <c r="BM40" i="1" s="1"/>
  <c r="S21" i="18"/>
  <c r="BM98" i="1"/>
  <c r="BM138" i="1"/>
  <c r="BM51" i="1"/>
  <c r="BM24" i="1"/>
  <c r="BH54" i="1"/>
  <c r="BH41" i="1"/>
  <c r="BF47" i="1"/>
  <c r="BF49" i="1"/>
  <c r="BF138" i="1"/>
  <c r="BH48" i="8"/>
  <c r="BH49" i="8"/>
  <c r="BL30" i="2"/>
  <c r="BM30" i="2" s="1"/>
  <c r="BM33" i="2" s="1"/>
  <c r="BL20" i="3"/>
  <c r="BH52" i="2"/>
  <c r="BH7" i="1"/>
  <c r="BL35" i="2"/>
  <c r="BQ35" i="2" s="1"/>
  <c r="BC82" i="1"/>
  <c r="AG44" i="2"/>
  <c r="AH43" i="2"/>
  <c r="AL30" i="2"/>
  <c r="AK33" i="2"/>
  <c r="AK40" i="2" s="1"/>
  <c r="AK43" i="2" s="1"/>
  <c r="AK44" i="2" s="1"/>
  <c r="AK47" i="2" s="1"/>
  <c r="AQ59" i="3"/>
  <c r="AS58" i="3" s="1"/>
  <c r="AS59" i="3" s="1"/>
  <c r="AT58" i="3" s="1"/>
  <c r="AT59" i="3" s="1"/>
  <c r="AU58" i="3" s="1"/>
  <c r="AU59" i="3" s="1"/>
  <c r="AV58" i="3" s="1"/>
  <c r="AV59" i="3" s="1"/>
  <c r="AX58" i="3" s="1"/>
  <c r="AX59" i="3" s="1"/>
  <c r="AY58" i="3" s="1"/>
  <c r="AW40" i="3"/>
  <c r="AW99" i="1"/>
  <c r="AW56" i="3"/>
  <c r="AW59" i="3" s="1"/>
  <c r="BB58" i="3" s="1"/>
  <c r="AW27" i="3"/>
  <c r="BB49" i="1"/>
  <c r="BA33" i="2"/>
  <c r="BB27" i="2"/>
  <c r="BB22" i="3"/>
  <c r="BC75" i="1"/>
  <c r="BC76" i="1" s="1"/>
  <c r="BB38" i="1"/>
  <c r="BB40" i="1" s="1"/>
  <c r="BB41" i="1" s="1"/>
  <c r="BB29" i="1"/>
  <c r="BB11" i="2"/>
  <c r="BB21" i="3"/>
  <c r="BF6" i="1"/>
  <c r="BG5" i="1"/>
  <c r="BF7" i="1"/>
  <c r="BB29" i="2"/>
  <c r="BA51" i="2"/>
  <c r="BA139" i="1" s="1"/>
  <c r="BA140" i="1" s="1"/>
  <c r="BB24" i="3"/>
  <c r="BB7" i="2"/>
  <c r="BC49" i="2"/>
  <c r="BB18" i="3"/>
  <c r="BA49" i="2"/>
  <c r="BB51" i="1"/>
  <c r="BB24" i="1"/>
  <c r="BC91" i="1"/>
  <c r="BA52" i="1"/>
  <c r="BA54" i="1" s="1"/>
  <c r="BD131" i="1"/>
  <c r="BA131" i="1"/>
  <c r="BB46" i="1"/>
  <c r="BC131" i="1"/>
  <c r="AZ80" i="1"/>
  <c r="BE41" i="1"/>
  <c r="AZ81" i="1"/>
  <c r="AV44" i="2"/>
  <c r="AW43" i="2"/>
  <c r="BE51" i="2"/>
  <c r="BE33" i="2"/>
  <c r="BE40" i="2" s="1"/>
  <c r="BE49" i="2"/>
  <c r="BE52" i="1"/>
  <c r="BE54" i="1" s="1"/>
  <c r="BE78" i="1" s="1"/>
  <c r="BE80" i="1" s="1"/>
  <c r="BE131" i="1"/>
  <c r="AZ67" i="1"/>
  <c r="AZ84" i="1"/>
  <c r="AZ86" i="1" s="1"/>
  <c r="BD87" i="1"/>
  <c r="BD91" i="1"/>
  <c r="AY43" i="2"/>
  <c r="AY44" i="2" s="1"/>
  <c r="AY47" i="2" s="1"/>
  <c r="T112" i="21" l="1"/>
  <c r="CH24" i="1"/>
  <c r="BY36" i="2"/>
  <c r="BX100" i="1"/>
  <c r="BX101" i="1" s="1"/>
  <c r="CC55" i="2"/>
  <c r="CC63" i="2"/>
  <c r="CC45" i="1"/>
  <c r="CC56" i="2"/>
  <c r="CC59" i="2"/>
  <c r="CC47" i="1"/>
  <c r="CC60" i="2"/>
  <c r="CC62" i="2"/>
  <c r="CC49" i="1"/>
  <c r="CC40" i="1"/>
  <c r="CC41" i="1" s="1"/>
  <c r="CF15" i="1"/>
  <c r="E7" i="24" s="1"/>
  <c r="CK15" i="1"/>
  <c r="F7" i="24" s="1"/>
  <c r="AI21" i="18"/>
  <c r="CC138" i="1"/>
  <c r="BC133" i="1"/>
  <c r="BC135" i="1"/>
  <c r="BA133" i="1"/>
  <c r="BA135" i="1"/>
  <c r="BK48" i="8"/>
  <c r="BD133" i="1"/>
  <c r="BD135" i="1"/>
  <c r="BI48" i="8"/>
  <c r="BE133" i="1"/>
  <c r="BE135" i="1"/>
  <c r="BA142" i="1"/>
  <c r="BA143" i="1"/>
  <c r="BA141" i="1"/>
  <c r="BB140" i="1"/>
  <c r="BB141" i="1" s="1"/>
  <c r="AZ145" i="1"/>
  <c r="AZ144" i="1"/>
  <c r="BN30" i="2"/>
  <c r="BN33" i="2" s="1"/>
  <c r="BM41" i="1"/>
  <c r="BM54" i="1"/>
  <c r="BM51" i="2"/>
  <c r="BM52" i="2" s="1"/>
  <c r="BM40" i="2"/>
  <c r="BH78" i="1"/>
  <c r="BH80" i="1" s="1"/>
  <c r="BH55" i="1"/>
  <c r="BE52" i="2"/>
  <c r="BE139" i="1"/>
  <c r="BE140" i="1" s="1"/>
  <c r="BA52" i="2"/>
  <c r="BC139" i="1"/>
  <c r="BC140" i="1" s="1"/>
  <c r="BH66" i="1"/>
  <c r="BH25" i="1"/>
  <c r="BC87" i="1"/>
  <c r="AL33" i="2"/>
  <c r="AM30" i="2"/>
  <c r="AG47" i="2"/>
  <c r="AH44" i="2"/>
  <c r="AH47" i="2" s="1"/>
  <c r="AW43" i="3"/>
  <c r="BG23" i="1"/>
  <c r="BG6" i="1"/>
  <c r="BB33" i="2"/>
  <c r="BA40" i="2"/>
  <c r="BB40" i="2" s="1"/>
  <c r="BF38" i="1"/>
  <c r="BF40" i="1" s="1"/>
  <c r="BF41" i="1" s="1"/>
  <c r="BG28" i="1"/>
  <c r="BG38" i="1" s="1"/>
  <c r="BB47" i="1"/>
  <c r="BB52" i="1"/>
  <c r="BB54" i="1" s="1"/>
  <c r="BF24" i="1"/>
  <c r="BG14" i="2"/>
  <c r="BH49" i="2"/>
  <c r="BF25" i="1"/>
  <c r="BA66" i="1"/>
  <c r="BA55" i="1"/>
  <c r="G31" i="18" s="1"/>
  <c r="BA78" i="1"/>
  <c r="BE66" i="1"/>
  <c r="BE55" i="1"/>
  <c r="K31" i="18" s="1"/>
  <c r="AZ90" i="1"/>
  <c r="F23" i="18" s="1"/>
  <c r="AZ82" i="1"/>
  <c r="AZ75" i="1"/>
  <c r="AZ76" i="1" s="1"/>
  <c r="AW44" i="2"/>
  <c r="AW47" i="2" s="1"/>
  <c r="AV47" i="2"/>
  <c r="BD92" i="1"/>
  <c r="BD88" i="1"/>
  <c r="BD6" i="3"/>
  <c r="BD26" i="3" s="1"/>
  <c r="X114" i="21" l="1"/>
  <c r="W112" i="21"/>
  <c r="Y113" i="21"/>
  <c r="Z113" i="21" s="1"/>
  <c r="BZ36" i="2"/>
  <c r="BY100" i="1"/>
  <c r="BY101" i="1" s="1"/>
  <c r="CC52" i="1"/>
  <c r="CC54" i="1" s="1"/>
  <c r="J32" i="20"/>
  <c r="J33" i="20" s="1"/>
  <c r="BG138" i="1"/>
  <c r="M21" i="18"/>
  <c r="BA145" i="1"/>
  <c r="BA144" i="1"/>
  <c r="BO30" i="2"/>
  <c r="BM78" i="1"/>
  <c r="BM80" i="1" s="1"/>
  <c r="BM55" i="1"/>
  <c r="S31" i="18" s="1"/>
  <c r="BM66" i="1"/>
  <c r="BE141" i="1"/>
  <c r="BE143" i="1"/>
  <c r="BE144" i="1" s="1"/>
  <c r="BE142" i="1"/>
  <c r="BC141" i="1"/>
  <c r="BC142" i="1"/>
  <c r="BC143" i="1"/>
  <c r="BD143" i="1"/>
  <c r="BD142" i="1"/>
  <c r="N31" i="18"/>
  <c r="BG48" i="1"/>
  <c r="BG49" i="1" s="1"/>
  <c r="BD99" i="1"/>
  <c r="BD40" i="3"/>
  <c r="BD43" i="3" s="1"/>
  <c r="BH84" i="1"/>
  <c r="BH75" i="1" s="1"/>
  <c r="BH67" i="1"/>
  <c r="BH131" i="1"/>
  <c r="BC92" i="1"/>
  <c r="BC93" i="1" s="1"/>
  <c r="BC88" i="1"/>
  <c r="BC6" i="3"/>
  <c r="BD93" i="1"/>
  <c r="AM33" i="2"/>
  <c r="AL40" i="2"/>
  <c r="BA80" i="1"/>
  <c r="BG7" i="2"/>
  <c r="BF49" i="2"/>
  <c r="BG18" i="3"/>
  <c r="BG27" i="2"/>
  <c r="BG22" i="3"/>
  <c r="BG29" i="1"/>
  <c r="BB55" i="1"/>
  <c r="BB78" i="1"/>
  <c r="BB66" i="1"/>
  <c r="BA81" i="1"/>
  <c r="BB79" i="1"/>
  <c r="BF51" i="2"/>
  <c r="BG29" i="2"/>
  <c r="BG24" i="3"/>
  <c r="BF52" i="1"/>
  <c r="BF54" i="1" s="1"/>
  <c r="BF131" i="1"/>
  <c r="BG46" i="1"/>
  <c r="BA84" i="1"/>
  <c r="BA86" i="1" s="1"/>
  <c r="BA67" i="1"/>
  <c r="BG11" i="2"/>
  <c r="BG21" i="3"/>
  <c r="BG51" i="1"/>
  <c r="BG24" i="1"/>
  <c r="BG40" i="1"/>
  <c r="BG41" i="1" s="1"/>
  <c r="AZ87" i="1"/>
  <c r="BE81" i="1"/>
  <c r="AZ91" i="1"/>
  <c r="BE67" i="1"/>
  <c r="BE84" i="1"/>
  <c r="BE86" i="1" s="1"/>
  <c r="BD56" i="3"/>
  <c r="BD27" i="3"/>
  <c r="BG8" i="3"/>
  <c r="X115" i="21" l="1"/>
  <c r="AC115" i="21"/>
  <c r="AB113" i="21"/>
  <c r="CA36" i="2"/>
  <c r="CB36" i="2" s="1"/>
  <c r="BZ100" i="1"/>
  <c r="BZ101" i="1" s="1"/>
  <c r="CC78" i="1"/>
  <c r="CC80" i="1" s="1"/>
  <c r="CC66" i="1"/>
  <c r="CC84" i="1" s="1"/>
  <c r="CC86" i="1" s="1"/>
  <c r="CC55" i="1"/>
  <c r="H31" i="18"/>
  <c r="K31" i="20"/>
  <c r="BV35" i="2"/>
  <c r="BF139" i="1"/>
  <c r="BF140" i="1" s="1"/>
  <c r="BF142" i="1" s="1"/>
  <c r="BH139" i="1"/>
  <c r="BH140" i="1" s="1"/>
  <c r="BP30" i="2"/>
  <c r="BP33" i="2" s="1"/>
  <c r="BM67" i="1"/>
  <c r="BM84" i="1"/>
  <c r="BH86" i="1"/>
  <c r="BE145" i="1"/>
  <c r="BD144" i="1"/>
  <c r="BD145" i="1"/>
  <c r="BC144" i="1"/>
  <c r="BC145" i="1"/>
  <c r="BH81" i="1"/>
  <c r="BH82" i="1" s="1"/>
  <c r="BF133" i="1"/>
  <c r="BF135" i="1"/>
  <c r="BH133" i="1"/>
  <c r="BH135" i="1"/>
  <c r="BF52" i="2"/>
  <c r="AM40" i="2"/>
  <c r="AL43" i="2"/>
  <c r="BB80" i="1"/>
  <c r="BF78" i="1"/>
  <c r="BF66" i="1"/>
  <c r="BF55" i="1"/>
  <c r="L31" i="18" s="1"/>
  <c r="BA75" i="1"/>
  <c r="BA76" i="1" s="1"/>
  <c r="BA82" i="1"/>
  <c r="BA90" i="1"/>
  <c r="G23" i="18" s="1"/>
  <c r="BG47" i="1"/>
  <c r="BG52" i="1"/>
  <c r="BG54" i="1" s="1"/>
  <c r="BB67" i="1"/>
  <c r="BB84" i="1"/>
  <c r="BB75" i="1" s="1"/>
  <c r="BB76" i="1" s="1"/>
  <c r="BB81" i="1"/>
  <c r="BG33" i="2"/>
  <c r="BF40" i="2"/>
  <c r="BG40" i="2" s="1"/>
  <c r="BE90" i="1"/>
  <c r="K23" i="18" s="1"/>
  <c r="BE82" i="1"/>
  <c r="AZ92" i="1"/>
  <c r="AZ93" i="1" s="1"/>
  <c r="AZ6" i="3"/>
  <c r="AZ88" i="1"/>
  <c r="BE75" i="1"/>
  <c r="BE76" i="1" s="1"/>
  <c r="BG9" i="3"/>
  <c r="AI31" i="18" l="1"/>
  <c r="G6" i="23"/>
  <c r="CB100" i="1"/>
  <c r="CB101" i="1" s="1"/>
  <c r="CC36" i="2"/>
  <c r="CC81" i="1"/>
  <c r="CC90" i="1" s="1"/>
  <c r="CH91" i="1" s="1"/>
  <c r="CC67" i="1"/>
  <c r="BX35" i="2"/>
  <c r="BW51" i="2"/>
  <c r="BG140" i="1"/>
  <c r="BG141" i="1" s="1"/>
  <c r="BF143" i="1"/>
  <c r="BF144" i="1" s="1"/>
  <c r="BF141" i="1"/>
  <c r="BH141" i="1"/>
  <c r="BH143" i="1"/>
  <c r="BH144" i="1" s="1"/>
  <c r="BH142" i="1"/>
  <c r="BM86" i="1"/>
  <c r="BM75" i="1"/>
  <c r="BQ20" i="3"/>
  <c r="BQ30" i="2"/>
  <c r="BR30" i="2" s="1"/>
  <c r="BR33" i="2" s="1"/>
  <c r="BH76" i="1"/>
  <c r="BH90" i="1"/>
  <c r="N23" i="18" s="1"/>
  <c r="BH87" i="1"/>
  <c r="BH88" i="1" s="1"/>
  <c r="AL44" i="2"/>
  <c r="AM43" i="2"/>
  <c r="BA91" i="1"/>
  <c r="BA87" i="1"/>
  <c r="BB85" i="1"/>
  <c r="BF84" i="1"/>
  <c r="BF67" i="1"/>
  <c r="BB82" i="1"/>
  <c r="K35" i="20" s="1"/>
  <c r="BB90" i="1"/>
  <c r="H23" i="18" s="1"/>
  <c r="BG66" i="1"/>
  <c r="BG78" i="1"/>
  <c r="BG55" i="1"/>
  <c r="BF81" i="1"/>
  <c r="BG79" i="1"/>
  <c r="BE87" i="1"/>
  <c r="BE91" i="1"/>
  <c r="CD36" i="2" l="1"/>
  <c r="CC100" i="1"/>
  <c r="CC101" i="1" s="1"/>
  <c r="CC82" i="1"/>
  <c r="AI23" i="18"/>
  <c r="BF145" i="1"/>
  <c r="BH145" i="1"/>
  <c r="M31" i="18"/>
  <c r="L31" i="20"/>
  <c r="BS30" i="2"/>
  <c r="BS33" i="2" s="1"/>
  <c r="BF86" i="1"/>
  <c r="BF75" i="1"/>
  <c r="BF76" i="1" s="1"/>
  <c r="BH6" i="3"/>
  <c r="BH92" i="1"/>
  <c r="BH91" i="1"/>
  <c r="BL8" i="3"/>
  <c r="AL47" i="2"/>
  <c r="AM44" i="2"/>
  <c r="AM47" i="2" s="1"/>
  <c r="BG80" i="1"/>
  <c r="BA88" i="1"/>
  <c r="BA6" i="3"/>
  <c r="BA26" i="3" s="1"/>
  <c r="BA92" i="1"/>
  <c r="BA93" i="1" s="1"/>
  <c r="BF90" i="1"/>
  <c r="L23" i="18" s="1"/>
  <c r="BF82" i="1"/>
  <c r="BB86" i="1"/>
  <c r="BB87" i="1"/>
  <c r="BG81" i="1"/>
  <c r="BB91" i="1"/>
  <c r="BG84" i="1"/>
  <c r="BG75" i="1" s="1"/>
  <c r="BG76" i="1" s="1"/>
  <c r="BG67" i="1"/>
  <c r="AZ13" i="2"/>
  <c r="AZ24" i="2" s="1"/>
  <c r="AZ43" i="2" s="1"/>
  <c r="AZ44" i="2" s="1"/>
  <c r="AZ47" i="2" s="1"/>
  <c r="BE88" i="1"/>
  <c r="BE99" i="1"/>
  <c r="BE92" i="1"/>
  <c r="CE36" i="2" l="1"/>
  <c r="CD100" i="1"/>
  <c r="CD101" i="1" s="1"/>
  <c r="CC87" i="1"/>
  <c r="CC75" i="1" s="1"/>
  <c r="BT30" i="2"/>
  <c r="BT33" i="2" s="1"/>
  <c r="BH93" i="1"/>
  <c r="BL9" i="3"/>
  <c r="BL15" i="2"/>
  <c r="BM62" i="3" s="1"/>
  <c r="BE93" i="1"/>
  <c r="BA99" i="1"/>
  <c r="BB6" i="3"/>
  <c r="BB26" i="3" s="1"/>
  <c r="BB99" i="1" s="1"/>
  <c r="BB92" i="1"/>
  <c r="BB93" i="1" s="1"/>
  <c r="BB88" i="1"/>
  <c r="BF91" i="1"/>
  <c r="BA40" i="3"/>
  <c r="BA43" i="3" s="1"/>
  <c r="BA27" i="3"/>
  <c r="BA56" i="3"/>
  <c r="BG82" i="1"/>
  <c r="L35" i="20" s="1"/>
  <c r="BG90" i="1"/>
  <c r="M23" i="18" s="1"/>
  <c r="BF87" i="1"/>
  <c r="BG85" i="1"/>
  <c r="BE56" i="3"/>
  <c r="BE27" i="3"/>
  <c r="BE43" i="3"/>
  <c r="CF36" i="2" l="1"/>
  <c r="CG36" i="2" s="1"/>
  <c r="CE100" i="1"/>
  <c r="CE101" i="1" s="1"/>
  <c r="CC88" i="1"/>
  <c r="CC92" i="1"/>
  <c r="CH93" i="1" s="1"/>
  <c r="CA35" i="2"/>
  <c r="BU30" i="2"/>
  <c r="BU33" i="2" s="1"/>
  <c r="BT20" i="3"/>
  <c r="BQ8" i="3"/>
  <c r="BM76" i="1"/>
  <c r="BB6" i="2"/>
  <c r="BA100" i="1"/>
  <c r="BA101" i="1" s="1"/>
  <c r="BF88" i="1"/>
  <c r="BF92" i="1"/>
  <c r="BA13" i="2"/>
  <c r="BB13" i="2" s="1"/>
  <c r="BB24" i="2" s="1"/>
  <c r="BG91" i="1"/>
  <c r="BG86" i="1"/>
  <c r="BG87" i="1"/>
  <c r="BB27" i="3"/>
  <c r="BB56" i="3"/>
  <c r="BB59" i="3" s="1"/>
  <c r="BG58" i="3" s="1"/>
  <c r="BB40" i="3"/>
  <c r="BB43" i="3" s="1"/>
  <c r="K32" i="20" s="1"/>
  <c r="K33" i="20" s="1"/>
  <c r="CK36" i="2" l="1"/>
  <c r="CM36" i="2" s="1"/>
  <c r="CG100" i="1"/>
  <c r="CG101" i="1" s="1"/>
  <c r="CF35" i="2"/>
  <c r="CC51" i="2"/>
  <c r="CH52" i="2" s="1"/>
  <c r="BV30" i="2"/>
  <c r="BU20" i="3"/>
  <c r="BV20" i="3" s="1"/>
  <c r="BQ9" i="3"/>
  <c r="BC13" i="2"/>
  <c r="BC24" i="2" s="1"/>
  <c r="BC43" i="2" s="1"/>
  <c r="BC44" i="2" s="1"/>
  <c r="BC47" i="2" s="1"/>
  <c r="BC100" i="1"/>
  <c r="BC101" i="1" s="1"/>
  <c r="BF93" i="1"/>
  <c r="BA24" i="2"/>
  <c r="BA43" i="2" s="1"/>
  <c r="BG88" i="1"/>
  <c r="BG92" i="1"/>
  <c r="BG6" i="3"/>
  <c r="BG26" i="3" s="1"/>
  <c r="BG99" i="1" s="1"/>
  <c r="CN36" i="2" l="1"/>
  <c r="CM100" i="1"/>
  <c r="CM101" i="1" s="1"/>
  <c r="BW40" i="2"/>
  <c r="BE13" i="2"/>
  <c r="BE24" i="2" s="1"/>
  <c r="BE43" i="2" s="1"/>
  <c r="BE44" i="2" s="1"/>
  <c r="BE47" i="2" s="1"/>
  <c r="BD100" i="1"/>
  <c r="BD101" i="1" s="1"/>
  <c r="BD13" i="2"/>
  <c r="BD24" i="2" s="1"/>
  <c r="BD43" i="2" s="1"/>
  <c r="BD44" i="2" s="1"/>
  <c r="BD47" i="2" s="1"/>
  <c r="BG93" i="1"/>
  <c r="BG40" i="3"/>
  <c r="BG43" i="3" s="1"/>
  <c r="L32" i="20" s="1"/>
  <c r="L33" i="20" s="1"/>
  <c r="BG27" i="3"/>
  <c r="BG56" i="3"/>
  <c r="BG59" i="3" s="1"/>
  <c r="BL58" i="3" s="1"/>
  <c r="BB43" i="2"/>
  <c r="BA44" i="2"/>
  <c r="CO36" i="2" l="1"/>
  <c r="CP36" i="2" s="1"/>
  <c r="CQ36" i="2" s="1"/>
  <c r="CR36" i="2" s="1"/>
  <c r="CS36" i="2" s="1"/>
  <c r="CT36" i="2" s="1"/>
  <c r="CU36" i="2" s="1"/>
  <c r="CN100" i="1"/>
  <c r="CN101" i="1" s="1"/>
  <c r="BY30" i="2"/>
  <c r="BY33" i="2" s="1"/>
  <c r="BG6" i="2"/>
  <c r="BH100" i="1" s="1"/>
  <c r="BH101" i="1" s="1"/>
  <c r="BB44" i="2"/>
  <c r="BB47" i="2" s="1"/>
  <c r="BA47" i="2"/>
  <c r="AY100" i="1"/>
  <c r="AY101" i="1" s="1"/>
  <c r="CI139" i="1" l="1"/>
  <c r="CI140" i="1" s="1"/>
  <c r="BF13" i="2"/>
  <c r="BG13" i="2" s="1"/>
  <c r="BH13" i="2"/>
  <c r="BH24" i="2" s="1"/>
  <c r="BH43" i="2" s="1"/>
  <c r="BH44" i="2" s="1"/>
  <c r="BH47" i="2" s="1"/>
  <c r="CI142" i="1" l="1"/>
  <c r="CK35" i="2"/>
  <c r="CA30" i="2"/>
  <c r="CA20" i="3"/>
  <c r="BF24" i="2"/>
  <c r="BF43" i="2" s="1"/>
  <c r="BG43" i="2" l="1"/>
  <c r="BF44" i="2"/>
  <c r="CL139" i="1" l="1"/>
  <c r="CL140" i="1" s="1"/>
  <c r="CC40" i="2"/>
  <c r="BG44" i="2"/>
  <c r="BF47" i="2"/>
  <c r="AZ100" i="1"/>
  <c r="AZ101" i="1" s="1"/>
  <c r="CN51" i="2" l="1"/>
  <c r="CN52" i="2" s="1"/>
  <c r="AY26" i="3"/>
  <c r="AY27" i="3" s="1"/>
  <c r="AZ26" i="3"/>
  <c r="AZ27" i="3" s="1"/>
  <c r="AY62" i="3"/>
  <c r="AZ62" i="3"/>
  <c r="CP35" i="2" l="1"/>
  <c r="CQ35" i="2" s="1"/>
  <c r="CF30" i="2"/>
  <c r="AY99" i="1"/>
  <c r="AZ99" i="1"/>
  <c r="AZ56" i="3"/>
  <c r="AY56" i="3"/>
  <c r="AY59" i="3" s="1"/>
  <c r="AZ58" i="3" s="1"/>
  <c r="AZ40" i="3"/>
  <c r="AZ43" i="3" s="1"/>
  <c r="AY40" i="3"/>
  <c r="AY43" i="3" s="1"/>
  <c r="CR35" i="2" l="1"/>
  <c r="CQ51" i="2"/>
  <c r="CQ52" i="2" s="1"/>
  <c r="CG40" i="2"/>
  <c r="AZ59" i="3"/>
  <c r="BA58" i="3" s="1"/>
  <c r="BA59" i="3" s="1"/>
  <c r="BC58" i="3" s="1"/>
  <c r="CS35" i="2" l="1"/>
  <c r="BC26" i="3"/>
  <c r="BC40" i="3" s="1"/>
  <c r="BC43" i="3" s="1"/>
  <c r="BC62" i="3"/>
  <c r="CT35" i="2" l="1"/>
  <c r="CS51" i="2"/>
  <c r="CS52" i="2" s="1"/>
  <c r="BC27" i="3"/>
  <c r="BC99" i="1"/>
  <c r="BC56" i="3"/>
  <c r="BC59" i="3" s="1"/>
  <c r="BD58" i="3" s="1"/>
  <c r="BD59" i="3" s="1"/>
  <c r="BE58" i="3" s="1"/>
  <c r="BE59" i="3" s="1"/>
  <c r="BF58" i="3" s="1"/>
  <c r="CU35" i="2" l="1"/>
  <c r="CK30" i="2"/>
  <c r="BM81" i="1"/>
  <c r="BM90" i="1" s="1"/>
  <c r="BM82" i="1" l="1"/>
  <c r="BM91" i="1"/>
  <c r="S23" i="18"/>
  <c r="BM87" i="1"/>
  <c r="BM6" i="3" s="1"/>
  <c r="CN30" i="2" l="1"/>
  <c r="BM88" i="1"/>
  <c r="BM92" i="1"/>
  <c r="BM93" i="1" s="1"/>
  <c r="BE16" i="9"/>
  <c r="BE11" i="9"/>
  <c r="BE12" i="9" s="1"/>
  <c r="BE9" i="9"/>
  <c r="CN33" i="2" l="1"/>
  <c r="CN40" i="2" s="1"/>
  <c r="CO30" i="2"/>
  <c r="CP20" i="3" s="1"/>
  <c r="BE4" i="9"/>
  <c r="BE10" i="9"/>
  <c r="CP30" i="2" l="1"/>
  <c r="CQ30" i="2" s="1"/>
  <c r="CQ33" i="2" s="1"/>
  <c r="BE19" i="9"/>
  <c r="BJ18" i="9"/>
  <c r="BE20" i="9"/>
  <c r="BE55" i="9"/>
  <c r="BE95" i="9" s="1"/>
  <c r="BE53" i="9"/>
  <c r="CR30" i="2" l="1"/>
  <c r="CQ40" i="2"/>
  <c r="BE54" i="9"/>
  <c r="BJ54" i="9"/>
  <c r="BE50" i="9"/>
  <c r="BE96" i="9"/>
  <c r="BE56" i="9"/>
  <c r="CS30" i="2" l="1"/>
  <c r="CS33" i="2" s="1"/>
  <c r="CR20" i="3"/>
  <c r="BJ50" i="9"/>
  <c r="BE63" i="9"/>
  <c r="BE64" i="9"/>
  <c r="BE94" i="9"/>
  <c r="CS20" i="3" l="1"/>
  <c r="CT30" i="2"/>
  <c r="CS40" i="2"/>
  <c r="BE100" i="9"/>
  <c r="BE99" i="9"/>
  <c r="BJ55" i="9"/>
  <c r="BJ64" i="9"/>
  <c r="BJ63" i="9"/>
  <c r="CU30" i="2" l="1"/>
  <c r="CT20" i="3"/>
  <c r="CU20" i="3" s="1"/>
  <c r="BT56" i="9"/>
  <c r="BT63" i="9"/>
  <c r="BO63" i="9"/>
  <c r="BO64" i="9"/>
  <c r="BT12" i="1"/>
  <c r="BJ13" i="1"/>
  <c r="BJ122" i="1"/>
  <c r="BJ123" i="1" s="1"/>
  <c r="BJ12" i="1"/>
  <c r="BJ56" i="9"/>
  <c r="BO56" i="9" l="1"/>
  <c r="BJ124" i="1"/>
  <c r="BJ128" i="1" s="1"/>
  <c r="BJ129" i="1" s="1"/>
  <c r="BJ126" i="1"/>
  <c r="BJ127" i="1" s="1"/>
  <c r="BO12" i="1"/>
  <c r="BO13" i="1"/>
  <c r="BF16" i="9" l="1"/>
  <c r="BF11" i="9"/>
  <c r="BG11" i="9" s="1"/>
  <c r="BG12" i="9" s="1"/>
  <c r="BF9" i="9"/>
  <c r="BG15" i="9"/>
  <c r="BG16" i="9" s="1"/>
  <c r="BF12" i="9" l="1"/>
  <c r="BF4" i="9"/>
  <c r="BF10" i="9"/>
  <c r="BG9" i="9"/>
  <c r="BG10" i="9" l="1"/>
  <c r="BG4" i="9"/>
  <c r="BK18" i="9"/>
  <c r="BH20" i="9"/>
  <c r="BF19" i="9"/>
  <c r="BF20" i="9"/>
  <c r="BG19" i="9" l="1"/>
  <c r="BG59" i="9"/>
  <c r="BF55" i="9"/>
  <c r="BF95" i="9" s="1"/>
  <c r="BG95" i="9" s="1"/>
  <c r="BG96" i="9" s="1"/>
  <c r="BF53" i="9"/>
  <c r="BG53" i="9" l="1"/>
  <c r="BG54" i="9" s="1"/>
  <c r="BF54" i="9"/>
  <c r="BK54" i="9"/>
  <c r="BF56" i="9"/>
  <c r="BG55" i="9"/>
  <c r="BG56" i="9" s="1"/>
  <c r="BF50" i="9"/>
  <c r="BF96" i="9"/>
  <c r="BF64" i="9" l="1"/>
  <c r="BH64" i="9"/>
  <c r="BF63" i="9"/>
  <c r="BG50" i="9"/>
  <c r="BG63" i="9" s="1"/>
  <c r="BF94" i="9"/>
  <c r="BL53" i="9"/>
  <c r="BL54" i="9" s="1"/>
  <c r="BK50" i="9"/>
  <c r="BQ53" i="9" l="1"/>
  <c r="BL59" i="9"/>
  <c r="BK55" i="9"/>
  <c r="BK63" i="9"/>
  <c r="BK64" i="9"/>
  <c r="BL50" i="9"/>
  <c r="BL63" i="9" s="1"/>
  <c r="BM64" i="9"/>
  <c r="BF99" i="9"/>
  <c r="BG94" i="9"/>
  <c r="BG99" i="9" s="1"/>
  <c r="BF100" i="9"/>
  <c r="BH100" i="9"/>
  <c r="BU63" i="9" l="1"/>
  <c r="BR64" i="9"/>
  <c r="BU56" i="9"/>
  <c r="BQ54" i="9"/>
  <c r="BV54" i="9"/>
  <c r="BK13" i="1"/>
  <c r="BK12" i="1"/>
  <c r="BM13" i="1"/>
  <c r="BK122" i="1"/>
  <c r="BL11" i="1"/>
  <c r="BP63" i="9"/>
  <c r="BQ50" i="9"/>
  <c r="BP64" i="9"/>
  <c r="BQ59" i="9"/>
  <c r="BK56" i="9"/>
  <c r="BL55" i="9"/>
  <c r="BL56" i="9" s="1"/>
  <c r="BR13" i="1" l="1"/>
  <c r="BU12" i="1"/>
  <c r="BQ63" i="9"/>
  <c r="BV63" i="9"/>
  <c r="BP13" i="1"/>
  <c r="BP12" i="1"/>
  <c r="BQ11" i="1"/>
  <c r="BV12" i="1" s="1"/>
  <c r="BP56" i="9"/>
  <c r="BQ55" i="9"/>
  <c r="BL12" i="1"/>
  <c r="BM123" i="1"/>
  <c r="BK123" i="1"/>
  <c r="BL32" i="1"/>
  <c r="BQ56" i="9" l="1"/>
  <c r="BV56" i="9"/>
  <c r="BL33" i="1"/>
  <c r="BK124" i="1"/>
  <c r="BK128" i="1" s="1"/>
  <c r="BK129" i="1" s="1"/>
  <c r="BK126" i="1"/>
  <c r="BK127" i="1" s="1"/>
  <c r="BM126" i="1"/>
  <c r="BM127" i="1" s="1"/>
  <c r="BM124" i="1"/>
  <c r="BM128" i="1" s="1"/>
  <c r="BM129" i="1" s="1"/>
  <c r="BQ12" i="1"/>
  <c r="BI16" i="9" l="1"/>
  <c r="BI9" i="9" l="1"/>
  <c r="BI10" i="9" l="1"/>
  <c r="BN16" i="9"/>
  <c r="BN10" i="9"/>
  <c r="BI7" i="1" l="1"/>
  <c r="BI6" i="1"/>
  <c r="BI23" i="1"/>
  <c r="BI149" i="1" s="1"/>
  <c r="BI151" i="1" s="1"/>
  <c r="BL47" i="8" l="1"/>
  <c r="BI62" i="2"/>
  <c r="BI63" i="2"/>
  <c r="BI55" i="2"/>
  <c r="BI59" i="2"/>
  <c r="BI56" i="2"/>
  <c r="BI60" i="2"/>
  <c r="BI49" i="1"/>
  <c r="BI47" i="1"/>
  <c r="BI38" i="1"/>
  <c r="BI40" i="1" s="1"/>
  <c r="BI138" i="1"/>
  <c r="O21" i="18"/>
  <c r="BI25" i="1"/>
  <c r="BI24" i="1"/>
  <c r="BL48" i="8" l="1"/>
  <c r="BL49" i="8"/>
  <c r="BI41" i="1"/>
  <c r="BI51" i="2"/>
  <c r="BI139" i="1" s="1"/>
  <c r="BI40" i="2"/>
  <c r="BI52" i="1"/>
  <c r="BI54" i="1" s="1"/>
  <c r="BI131" i="1"/>
  <c r="BI49" i="2"/>
  <c r="BI135" i="1" l="1"/>
  <c r="BI133" i="1"/>
  <c r="BI140" i="1"/>
  <c r="BI55" i="1"/>
  <c r="O31" i="18" s="1"/>
  <c r="BI78" i="1"/>
  <c r="BI80" i="1" s="1"/>
  <c r="BI66" i="1"/>
  <c r="BI52" i="2"/>
  <c r="BI141" i="1" l="1"/>
  <c r="BI142" i="1"/>
  <c r="BI143" i="1"/>
  <c r="BI67" i="1"/>
  <c r="BI84" i="1"/>
  <c r="BI75" i="1" l="1"/>
  <c r="BI86" i="1"/>
  <c r="BI145" i="1"/>
  <c r="BI144" i="1"/>
  <c r="BI81" i="1"/>
  <c r="BI76" i="1" l="1"/>
  <c r="BI87" i="1"/>
  <c r="BI88" i="1" s="1"/>
  <c r="BI90" i="1"/>
  <c r="BI82" i="1"/>
  <c r="BI92" i="1" l="1"/>
  <c r="BI93" i="1" s="1"/>
  <c r="BI91" i="1"/>
  <c r="O23" i="18"/>
  <c r="BI13" i="2" l="1"/>
  <c r="BI24" i="2" s="1"/>
  <c r="BI43" i="2" l="1"/>
  <c r="BI44" i="2" s="1"/>
  <c r="BI47" i="2" s="1"/>
  <c r="BJ16" i="9"/>
  <c r="BJ9" i="9" l="1"/>
  <c r="BJ6" i="1" l="1"/>
  <c r="BJ7" i="1"/>
  <c r="BJ23" i="1"/>
  <c r="BJ149" i="1" s="1"/>
  <c r="BJ151" i="1" s="1"/>
  <c r="BJ10" i="9"/>
  <c r="BO16" i="9"/>
  <c r="BO10" i="9"/>
  <c r="BJ56" i="2" l="1"/>
  <c r="BJ59" i="2"/>
  <c r="BJ55" i="2"/>
  <c r="BJ63" i="2"/>
  <c r="BJ62" i="2"/>
  <c r="BM47" i="8"/>
  <c r="BJ49" i="1"/>
  <c r="BJ47" i="1"/>
  <c r="BJ60" i="2"/>
  <c r="BJ40" i="1"/>
  <c r="BJ24" i="1"/>
  <c r="P21" i="18"/>
  <c r="BJ138" i="1"/>
  <c r="BJ25" i="1"/>
  <c r="BM48" i="8" l="1"/>
  <c r="BM49" i="8"/>
  <c r="BJ40" i="2"/>
  <c r="BJ52" i="1"/>
  <c r="BJ54" i="1" s="1"/>
  <c r="BJ131" i="1"/>
  <c r="BJ51" i="2"/>
  <c r="BJ139" i="1" s="1"/>
  <c r="BJ41" i="1"/>
  <c r="BJ49" i="2"/>
  <c r="BJ55" i="1" l="1"/>
  <c r="P31" i="18" s="1"/>
  <c r="BJ66" i="1"/>
  <c r="BJ78" i="1"/>
  <c r="BJ80" i="1" s="1"/>
  <c r="BJ135" i="1"/>
  <c r="BJ133" i="1"/>
  <c r="BJ52" i="2"/>
  <c r="BJ140" i="1"/>
  <c r="BJ142" i="1" l="1"/>
  <c r="BJ143" i="1"/>
  <c r="BJ141" i="1"/>
  <c r="BJ67" i="1"/>
  <c r="BJ84" i="1"/>
  <c r="BJ75" i="1" s="1"/>
  <c r="BJ76" i="1" l="1"/>
  <c r="BJ86" i="1"/>
  <c r="BJ81" i="1"/>
  <c r="BJ90" i="1" s="1"/>
  <c r="BJ144" i="1"/>
  <c r="BJ145" i="1"/>
  <c r="BJ82" i="1" l="1"/>
  <c r="BJ87" i="1"/>
  <c r="BJ92" i="1" s="1"/>
  <c r="P23" i="18"/>
  <c r="BJ91" i="1"/>
  <c r="BJ88" i="1" l="1"/>
  <c r="BJ6" i="3"/>
  <c r="BJ26" i="3" s="1"/>
  <c r="BJ40" i="3" s="1"/>
  <c r="BJ93" i="1"/>
  <c r="BJ27" i="3" l="1"/>
  <c r="BJ99" i="1"/>
  <c r="BJ56" i="3"/>
  <c r="BJ43" i="3"/>
  <c r="BJ13" i="2" l="1"/>
  <c r="BJ24" i="2" s="1"/>
  <c r="BJ43" i="2" l="1"/>
  <c r="BJ44" i="2" s="1"/>
  <c r="BJ47" i="2" s="1"/>
  <c r="BK16" i="9"/>
  <c r="BL15" i="9"/>
  <c r="BL16" i="9" s="1"/>
  <c r="BK9" i="9" l="1"/>
  <c r="BK10" i="9" l="1"/>
  <c r="BL9" i="9"/>
  <c r="BP10" i="9"/>
  <c r="BP16" i="9"/>
  <c r="BM7" i="1" l="1"/>
  <c r="BK7" i="1"/>
  <c r="BK6" i="1"/>
  <c r="BL5" i="1"/>
  <c r="BK23" i="1"/>
  <c r="BK149" i="1" s="1"/>
  <c r="BQ16" i="9"/>
  <c r="BL10" i="9"/>
  <c r="BQ10" i="9"/>
  <c r="BK151" i="1" l="1"/>
  <c r="BM151" i="1"/>
  <c r="BN47" i="8"/>
  <c r="BP48" i="8" s="1"/>
  <c r="BK55" i="2"/>
  <c r="BK56" i="2"/>
  <c r="BK63" i="2"/>
  <c r="BK62" i="2"/>
  <c r="BK59" i="2"/>
  <c r="BK60" i="2"/>
  <c r="BK47" i="1"/>
  <c r="BK49" i="1"/>
  <c r="BK25" i="1"/>
  <c r="BM25" i="1"/>
  <c r="BL14" i="2"/>
  <c r="BK138" i="1"/>
  <c r="BK24" i="1"/>
  <c r="Q21" i="18"/>
  <c r="BK98" i="1"/>
  <c r="BL6" i="1"/>
  <c r="BL23" i="1"/>
  <c r="F7" i="20" s="1"/>
  <c r="H7" i="20" s="1"/>
  <c r="H8" i="20" s="1"/>
  <c r="BK38" i="1"/>
  <c r="BK40" i="1" s="1"/>
  <c r="BL28" i="1"/>
  <c r="BL38" i="1" s="1"/>
  <c r="F10" i="20" s="1"/>
  <c r="BN49" i="8" l="1"/>
  <c r="BN48" i="8"/>
  <c r="H10" i="20"/>
  <c r="H11" i="20" s="1"/>
  <c r="F11" i="20"/>
  <c r="CW13" i="1"/>
  <c r="CW12" i="1"/>
  <c r="BL48" i="1"/>
  <c r="BL49" i="1" s="1"/>
  <c r="BK41" i="1"/>
  <c r="BL29" i="1"/>
  <c r="BK52" i="1"/>
  <c r="BK54" i="1" s="1"/>
  <c r="BK131" i="1"/>
  <c r="BM131" i="1"/>
  <c r="BL46" i="1"/>
  <c r="BL27" i="2"/>
  <c r="BL22" i="3"/>
  <c r="BL24" i="1"/>
  <c r="F8" i="20" s="1"/>
  <c r="R21" i="18"/>
  <c r="BL138" i="1"/>
  <c r="DB11" i="1"/>
  <c r="DB12" i="1" s="1"/>
  <c r="BL51" i="1"/>
  <c r="BL40" i="1"/>
  <c r="BM49" i="2"/>
  <c r="BK49" i="2"/>
  <c r="BL7" i="2"/>
  <c r="BL11" i="2"/>
  <c r="BL21" i="3"/>
  <c r="BK51" i="2"/>
  <c r="BL29" i="2"/>
  <c r="BM139" i="1" l="1"/>
  <c r="BM140" i="1" s="1"/>
  <c r="BK139" i="1"/>
  <c r="BK140" i="1" s="1"/>
  <c r="BM26" i="3"/>
  <c r="BL33" i="2"/>
  <c r="BK40" i="2"/>
  <c r="BL40" i="2" s="1"/>
  <c r="BM135" i="1"/>
  <c r="BM133" i="1"/>
  <c r="BK52" i="2"/>
  <c r="BL52" i="1"/>
  <c r="BL54" i="1" s="1"/>
  <c r="BL47" i="1"/>
  <c r="BK135" i="1"/>
  <c r="BK133" i="1"/>
  <c r="BK55" i="1"/>
  <c r="Q31" i="18" s="1"/>
  <c r="BK78" i="1"/>
  <c r="BK80" i="1" s="1"/>
  <c r="BK66" i="1"/>
  <c r="BL41" i="1"/>
  <c r="BL24" i="3"/>
  <c r="BM99" i="1" l="1"/>
  <c r="BM40" i="3"/>
  <c r="BM43" i="3" s="1"/>
  <c r="BK67" i="1"/>
  <c r="BK84" i="1"/>
  <c r="BL55" i="1"/>
  <c r="BL78" i="1"/>
  <c r="F16" i="20" s="1"/>
  <c r="H16" i="20" s="1"/>
  <c r="BL66" i="1"/>
  <c r="BK142" i="1"/>
  <c r="BL140" i="1"/>
  <c r="BL141" i="1" s="1"/>
  <c r="BK141" i="1"/>
  <c r="BK143" i="1"/>
  <c r="BM141" i="1"/>
  <c r="BM142" i="1"/>
  <c r="BM143" i="1"/>
  <c r="BM56" i="3"/>
  <c r="R31" i="18" l="1"/>
  <c r="M31" i="20"/>
  <c r="BK86" i="1"/>
  <c r="BK75" i="1"/>
  <c r="BL79" i="1"/>
  <c r="BL80" i="1" s="1"/>
  <c r="F17" i="20" s="1"/>
  <c r="BK144" i="1"/>
  <c r="BK145" i="1"/>
  <c r="BL67" i="1"/>
  <c r="BL84" i="1"/>
  <c r="BM145" i="1"/>
  <c r="BM144" i="1"/>
  <c r="BK81" i="1"/>
  <c r="CW75" i="1" l="1"/>
  <c r="BL75" i="1"/>
  <c r="BK76" i="1"/>
  <c r="BL81" i="1"/>
  <c r="BL85" i="1"/>
  <c r="BL86" i="1" s="1"/>
  <c r="BK87" i="1"/>
  <c r="BK92" i="1" s="1"/>
  <c r="BK82" i="1"/>
  <c r="BK90" i="1"/>
  <c r="BL82" i="1" l="1"/>
  <c r="M35" i="20" s="1"/>
  <c r="F18" i="20"/>
  <c r="BL76" i="1"/>
  <c r="F13" i="20"/>
  <c r="BL90" i="1"/>
  <c r="BL87" i="1"/>
  <c r="BL6" i="3" s="1"/>
  <c r="BL26" i="3" s="1"/>
  <c r="BK88" i="1"/>
  <c r="BK6" i="3"/>
  <c r="BK26" i="3" s="1"/>
  <c r="BK93" i="1"/>
  <c r="Q23" i="18"/>
  <c r="BK91" i="1"/>
  <c r="BL91" i="1" l="1"/>
  <c r="F21" i="20"/>
  <c r="F19" i="20"/>
  <c r="H18" i="20"/>
  <c r="BK40" i="3"/>
  <c r="BK43" i="3" s="1"/>
  <c r="F14" i="20"/>
  <c r="H13" i="20"/>
  <c r="H14" i="20" s="1"/>
  <c r="BL99" i="1"/>
  <c r="BL40" i="3"/>
  <c r="R23" i="18"/>
  <c r="BL92" i="1"/>
  <c r="BL88" i="1"/>
  <c r="BK99" i="1"/>
  <c r="BK56" i="3"/>
  <c r="BK100" i="1" s="1"/>
  <c r="BK101" i="1" s="1"/>
  <c r="BK27" i="3"/>
  <c r="BL56" i="3"/>
  <c r="BL59" i="3" s="1"/>
  <c r="BL27" i="3"/>
  <c r="BL43" i="3" l="1"/>
  <c r="M32" i="20" s="1"/>
  <c r="M33" i="20" s="1"/>
  <c r="BL41" i="3"/>
  <c r="H21" i="20"/>
  <c r="H19" i="20"/>
  <c r="BL93" i="1"/>
  <c r="BK13" i="2"/>
  <c r="BL6" i="2"/>
  <c r="BM100" i="1" s="1"/>
  <c r="BM101" i="1" s="1"/>
  <c r="BQ58" i="3"/>
  <c r="BM58" i="3"/>
  <c r="BM59" i="3" s="1"/>
  <c r="BN58" i="3" s="1"/>
  <c r="BM13" i="2" l="1"/>
  <c r="BM24" i="2" s="1"/>
  <c r="BK24" i="2"/>
  <c r="BL13" i="2"/>
  <c r="BL24" i="2" s="1"/>
  <c r="BM43" i="2" l="1"/>
  <c r="BM44" i="2" s="1"/>
  <c r="BM47" i="2" s="1"/>
  <c r="BK43" i="2"/>
  <c r="BL43" i="2" l="1"/>
  <c r="BK44" i="2"/>
  <c r="BL44" i="2" l="1"/>
  <c r="BL47" i="2" s="1"/>
  <c r="BK47" i="2"/>
  <c r="BG15" i="2" l="1"/>
  <c r="BG24" i="2" s="1"/>
  <c r="BG47" i="2" s="1"/>
  <c r="BF26" i="3"/>
  <c r="BF62" i="3"/>
  <c r="BF56" i="3" l="1"/>
  <c r="BF59" i="3" s="1"/>
  <c r="BH58" i="3" s="1"/>
  <c r="BF27" i="3"/>
  <c r="BF99" i="1"/>
  <c r="BF40" i="3"/>
  <c r="BF43" i="3" s="1"/>
  <c r="BH26" i="3"/>
  <c r="BH62" i="3"/>
  <c r="BH99" i="1" l="1"/>
  <c r="BH40" i="3"/>
  <c r="BH43" i="3" s="1"/>
  <c r="BH27" i="3"/>
  <c r="BH56" i="3"/>
  <c r="BH59" i="3" s="1"/>
  <c r="BI58" i="3" s="1"/>
  <c r="BI62" i="3"/>
  <c r="BI26" i="3"/>
  <c r="BK28" i="3" s="1"/>
  <c r="BI27" i="3" l="1"/>
  <c r="BI40" i="3"/>
  <c r="BI43" i="3" s="1"/>
  <c r="BI56" i="3"/>
  <c r="BI59" i="3" s="1"/>
  <c r="BJ58" i="3" s="1"/>
  <c r="BJ59" i="3" s="1"/>
  <c r="BK58" i="3" s="1"/>
  <c r="BK59" i="3" s="1"/>
  <c r="BI99" i="1"/>
  <c r="BI7" i="9" l="1"/>
  <c r="BI11" i="9"/>
  <c r="BI12" i="9" l="1"/>
  <c r="BI8" i="9"/>
  <c r="BI4" i="9"/>
  <c r="BN18" i="9" l="1"/>
  <c r="BI19" i="9"/>
  <c r="BI20" i="9"/>
  <c r="BN7" i="1" l="1"/>
  <c r="BN6" i="1"/>
  <c r="BJ11" i="9"/>
  <c r="BJ12" i="9" l="1"/>
  <c r="BJ7" i="9"/>
  <c r="BJ8" i="9" l="1"/>
  <c r="BJ4" i="9"/>
  <c r="BO18" i="9" l="1"/>
  <c r="BJ19" i="9"/>
  <c r="BJ20" i="9"/>
  <c r="BO8" i="9" l="1"/>
  <c r="BT18" i="9"/>
  <c r="BO12" i="9"/>
  <c r="BT8" i="9" l="1"/>
  <c r="BT12" i="9"/>
  <c r="BY18" i="9"/>
  <c r="BO19" i="9"/>
  <c r="BY11" i="9" l="1"/>
  <c r="BY12" i="9" s="1"/>
  <c r="BT19" i="9"/>
  <c r="BO7" i="1"/>
  <c r="BO6" i="1"/>
  <c r="BL13" i="9"/>
  <c r="BL14" i="9" s="1"/>
  <c r="BY8" i="9" l="1"/>
  <c r="CD13" i="9"/>
  <c r="BT6" i="1"/>
  <c r="BK7" i="9"/>
  <c r="BP13" i="9" s="1"/>
  <c r="BK11" i="9"/>
  <c r="CD11" i="9" l="1"/>
  <c r="CD95" i="9" s="1"/>
  <c r="CD7" i="9"/>
  <c r="CD18" i="9"/>
  <c r="BY19" i="9"/>
  <c r="BP4" i="9"/>
  <c r="BP11" i="9"/>
  <c r="BL11" i="9"/>
  <c r="BL12" i="9" s="1"/>
  <c r="BK12" i="9"/>
  <c r="BK8" i="9"/>
  <c r="BL7" i="9"/>
  <c r="BK4" i="9"/>
  <c r="CD12" i="9" l="1"/>
  <c r="CD8" i="9"/>
  <c r="CD4" i="9"/>
  <c r="BY6" i="1"/>
  <c r="BL8" i="9"/>
  <c r="BL4" i="9"/>
  <c r="BL19" i="9" s="1"/>
  <c r="BM20" i="9"/>
  <c r="BK19" i="9"/>
  <c r="BP18" i="9"/>
  <c r="BK20" i="9"/>
  <c r="BU13" i="9"/>
  <c r="CD20" i="9" l="1"/>
  <c r="CD94" i="9"/>
  <c r="CD100" i="9" s="1"/>
  <c r="CD19" i="9"/>
  <c r="BU11" i="9"/>
  <c r="BP8" i="9"/>
  <c r="BP12" i="9"/>
  <c r="CD7" i="1" l="1"/>
  <c r="CD6" i="1"/>
  <c r="BU8" i="9"/>
  <c r="BZ13" i="9"/>
  <c r="BU18" i="9"/>
  <c r="BR20" i="9"/>
  <c r="BU4" i="9"/>
  <c r="BU12" i="9"/>
  <c r="BP20" i="9"/>
  <c r="BP19" i="9"/>
  <c r="BR7" i="1"/>
  <c r="CD38" i="1" l="1"/>
  <c r="CD40" i="1" s="1"/>
  <c r="CD41" i="1" s="1"/>
  <c r="CD138" i="1"/>
  <c r="AJ21" i="18"/>
  <c r="CD25" i="1"/>
  <c r="BZ7" i="9"/>
  <c r="BZ18" i="9"/>
  <c r="BW20" i="9"/>
  <c r="BU19" i="9"/>
  <c r="BU20" i="9"/>
  <c r="BP6" i="1"/>
  <c r="BP7" i="1"/>
  <c r="BQ5" i="1"/>
  <c r="CD52" i="1" l="1"/>
  <c r="CD54" i="1" s="1"/>
  <c r="CD49" i="2"/>
  <c r="CD51" i="2"/>
  <c r="CI52" i="2" s="1"/>
  <c r="CD40" i="2"/>
  <c r="CE13" i="9"/>
  <c r="CE7" i="9" s="1"/>
  <c r="BZ8" i="9"/>
  <c r="BU6" i="1"/>
  <c r="BU7" i="1"/>
  <c r="BQ28" i="1"/>
  <c r="BQ6" i="1"/>
  <c r="CD139" i="1" l="1"/>
  <c r="CD140" i="1" s="1"/>
  <c r="CI141" i="1" s="1"/>
  <c r="CD78" i="1"/>
  <c r="CD80" i="1" s="1"/>
  <c r="CD55" i="1"/>
  <c r="CD66" i="1"/>
  <c r="CF13" i="9"/>
  <c r="CE8" i="9"/>
  <c r="CF7" i="9"/>
  <c r="BQ29" i="1"/>
  <c r="BK23" i="9"/>
  <c r="BK35" i="9" s="1"/>
  <c r="BK27" i="9"/>
  <c r="AJ31" i="18" l="1"/>
  <c r="H6" i="23"/>
  <c r="BK36" i="9"/>
  <c r="BP36" i="9"/>
  <c r="CD81" i="1"/>
  <c r="CD90" i="1" s="1"/>
  <c r="CI91" i="1" s="1"/>
  <c r="CD67" i="1"/>
  <c r="CD84" i="1"/>
  <c r="CD86" i="1" s="1"/>
  <c r="BK24" i="9"/>
  <c r="BK28" i="9"/>
  <c r="BK95" i="9"/>
  <c r="BK96" i="9" s="1"/>
  <c r="BK22" i="9"/>
  <c r="CD82" i="1" l="1"/>
  <c r="AJ23" i="18"/>
  <c r="BK38" i="9"/>
  <c r="BM39" i="9"/>
  <c r="BK94" i="9"/>
  <c r="BP27" i="9"/>
  <c r="CD87" i="1" l="1"/>
  <c r="BU27" i="9"/>
  <c r="BM100" i="9"/>
  <c r="BK99" i="9"/>
  <c r="BP24" i="9"/>
  <c r="BP22" i="9"/>
  <c r="BR39" i="9" s="1"/>
  <c r="BP28" i="9"/>
  <c r="BP95" i="9"/>
  <c r="BP96" i="9" s="1"/>
  <c r="CD88" i="1" l="1"/>
  <c r="CD75" i="1"/>
  <c r="CD6" i="3"/>
  <c r="CD92" i="1"/>
  <c r="CI93" i="1" s="1"/>
  <c r="CE23" i="9"/>
  <c r="CE22" i="9" s="1"/>
  <c r="CE27" i="9"/>
  <c r="BZ27" i="9"/>
  <c r="BZ23" i="9"/>
  <c r="BZ22" i="9" s="1"/>
  <c r="BU24" i="9"/>
  <c r="BW39" i="9"/>
  <c r="BU28" i="9"/>
  <c r="BP38" i="9"/>
  <c r="BP94" i="9"/>
  <c r="BR10" i="1"/>
  <c r="CE28" i="9" l="1"/>
  <c r="CE24" i="9"/>
  <c r="BZ24" i="9"/>
  <c r="BZ28" i="9"/>
  <c r="BU38" i="9"/>
  <c r="BP122" i="1"/>
  <c r="BP9" i="1"/>
  <c r="BP23" i="1"/>
  <c r="BP45" i="1" s="1"/>
  <c r="BP99" i="9"/>
  <c r="CE39" i="9" l="1"/>
  <c r="CE9" i="1"/>
  <c r="CE38" i="9"/>
  <c r="BZ38" i="9"/>
  <c r="BP149" i="1"/>
  <c r="BP63" i="2"/>
  <c r="BP47" i="1"/>
  <c r="BP60" i="2"/>
  <c r="BP55" i="2"/>
  <c r="BP56" i="2"/>
  <c r="BP62" i="2"/>
  <c r="BP59" i="2"/>
  <c r="BP49" i="1"/>
  <c r="BP38" i="1"/>
  <c r="BP40" i="1" s="1"/>
  <c r="BU9" i="1"/>
  <c r="BU122" i="1"/>
  <c r="BU23" i="1"/>
  <c r="BP24" i="1"/>
  <c r="BQ14" i="2"/>
  <c r="BQ11" i="2"/>
  <c r="BP138" i="1"/>
  <c r="V21" i="18"/>
  <c r="BU45" i="1" l="1"/>
  <c r="L111" i="21"/>
  <c r="L112" i="21" s="1"/>
  <c r="Q113" i="21" s="1"/>
  <c r="BU59" i="2"/>
  <c r="BU60" i="2"/>
  <c r="BU57" i="2"/>
  <c r="BU62" i="2"/>
  <c r="BU56" i="2"/>
  <c r="BU63" i="2"/>
  <c r="BU55" i="2"/>
  <c r="BU49" i="1"/>
  <c r="BU47" i="1"/>
  <c r="CE10" i="1"/>
  <c r="BZ122" i="1"/>
  <c r="CD123" i="1" s="1"/>
  <c r="CI124" i="1" s="1"/>
  <c r="BZ9" i="1"/>
  <c r="BU38" i="1"/>
  <c r="BU40" i="1" s="1"/>
  <c r="BP150" i="1"/>
  <c r="AA21" i="18"/>
  <c r="BV11" i="2"/>
  <c r="BU138" i="1"/>
  <c r="BV14" i="2"/>
  <c r="BU24" i="1"/>
  <c r="BQ27" i="2"/>
  <c r="BQ29" i="2"/>
  <c r="BP51" i="2"/>
  <c r="BP41" i="1"/>
  <c r="BP54" i="1"/>
  <c r="BQ7" i="2"/>
  <c r="CD126" i="1" l="1"/>
  <c r="CD127" i="1" s="1"/>
  <c r="CI128" i="1" s="1"/>
  <c r="CI129" i="1" s="1"/>
  <c r="BU41" i="1"/>
  <c r="BU54" i="1"/>
  <c r="BU78" i="1" s="1"/>
  <c r="BU80" i="1" s="1"/>
  <c r="CA11" i="2"/>
  <c r="BV27" i="2"/>
  <c r="BV7" i="2"/>
  <c r="BV29" i="2"/>
  <c r="BU51" i="2"/>
  <c r="BP55" i="1"/>
  <c r="V31" i="18" s="1"/>
  <c r="BP78" i="1"/>
  <c r="BP80" i="1" s="1"/>
  <c r="BP66" i="1"/>
  <c r="BP40" i="2"/>
  <c r="BQ40" i="2" s="1"/>
  <c r="BQ33" i="2"/>
  <c r="BP52" i="2"/>
  <c r="BV33" i="2" l="1"/>
  <c r="BU40" i="2"/>
  <c r="BV40" i="2" s="1"/>
  <c r="BW139" i="1"/>
  <c r="BW140" i="1" s="1"/>
  <c r="BW49" i="2"/>
  <c r="BU55" i="1"/>
  <c r="AA31" i="18" s="1"/>
  <c r="BU66" i="1"/>
  <c r="BU84" i="1" s="1"/>
  <c r="BU52" i="2"/>
  <c r="BP67" i="1"/>
  <c r="BP84" i="1"/>
  <c r="BU81" i="1" l="1"/>
  <c r="BU82" i="1" s="1"/>
  <c r="BU87" i="1"/>
  <c r="BU6" i="3" s="1"/>
  <c r="BP75" i="1"/>
  <c r="BP76" i="1" s="1"/>
  <c r="BP86" i="1"/>
  <c r="BU67" i="1"/>
  <c r="BP81" i="1"/>
  <c r="BP82" i="1" s="1"/>
  <c r="BU92" i="1" l="1"/>
  <c r="BU88" i="1"/>
  <c r="BU90" i="1"/>
  <c r="AA23" i="18" s="1"/>
  <c r="BP87" i="1"/>
  <c r="BP88" i="1" s="1"/>
  <c r="BP90" i="1"/>
  <c r="BU91" i="1" l="1"/>
  <c r="BP6" i="3"/>
  <c r="BP26" i="3" s="1"/>
  <c r="V23" i="18"/>
  <c r="BP91" i="1"/>
  <c r="BP92" i="1"/>
  <c r="BU93" i="1" s="1"/>
  <c r="BJ27" i="9"/>
  <c r="BJ23" i="9"/>
  <c r="BJ35" i="9" s="1"/>
  <c r="BJ36" i="9" l="1"/>
  <c r="BO36" i="9"/>
  <c r="BP99" i="1"/>
  <c r="BP40" i="3"/>
  <c r="BP93" i="1"/>
  <c r="BJ28" i="9"/>
  <c r="BJ95" i="9"/>
  <c r="BJ96" i="9" s="1"/>
  <c r="BJ24" i="9"/>
  <c r="BJ22" i="9"/>
  <c r="BJ38" i="9" l="1"/>
  <c r="BK39" i="9"/>
  <c r="BJ94" i="9"/>
  <c r="BO24" i="9" l="1"/>
  <c r="BO22" i="9"/>
  <c r="BK100" i="9"/>
  <c r="BJ99" i="9"/>
  <c r="BY27" i="9" l="1"/>
  <c r="BY23" i="9"/>
  <c r="BY22" i="9" s="1"/>
  <c r="BT24" i="9"/>
  <c r="BT28" i="9"/>
  <c r="BT95" i="9"/>
  <c r="BO38" i="9"/>
  <c r="BP39" i="9"/>
  <c r="BO94" i="9"/>
  <c r="CD28" i="9" l="1"/>
  <c r="CD24" i="9"/>
  <c r="BY24" i="9"/>
  <c r="BY28" i="9"/>
  <c r="BY95" i="9"/>
  <c r="BT38" i="9"/>
  <c r="BU39" i="9"/>
  <c r="BT96" i="9"/>
  <c r="BP100" i="9"/>
  <c r="BO99" i="9"/>
  <c r="BO9" i="1"/>
  <c r="BO122" i="1"/>
  <c r="BP10" i="1"/>
  <c r="BO23" i="1"/>
  <c r="BO149" i="1" l="1"/>
  <c r="BP151" i="1" s="1"/>
  <c r="BO45" i="1"/>
  <c r="CD9" i="1"/>
  <c r="CD38" i="9"/>
  <c r="BY23" i="1"/>
  <c r="BY122" i="1"/>
  <c r="BZ10" i="1"/>
  <c r="BY96" i="9"/>
  <c r="BY38" i="9"/>
  <c r="BZ39" i="9"/>
  <c r="BY94" i="9"/>
  <c r="BT99" i="9"/>
  <c r="BO55" i="2"/>
  <c r="BO56" i="2"/>
  <c r="BO59" i="2"/>
  <c r="BO63" i="2"/>
  <c r="BO62" i="2"/>
  <c r="BO49" i="1"/>
  <c r="BO47" i="1"/>
  <c r="BO60" i="2"/>
  <c r="BT122" i="1"/>
  <c r="BT9" i="1"/>
  <c r="BT23" i="1"/>
  <c r="BU10" i="1"/>
  <c r="BO38" i="1"/>
  <c r="BO40" i="1" s="1"/>
  <c r="BO24" i="1"/>
  <c r="U21" i="18"/>
  <c r="BO138" i="1"/>
  <c r="BP25" i="1"/>
  <c r="BY45" i="1" l="1"/>
  <c r="P111" i="21"/>
  <c r="P112" i="21" s="1"/>
  <c r="BT45" i="1"/>
  <c r="K111" i="21"/>
  <c r="K112" i="21" s="1"/>
  <c r="BO150" i="1"/>
  <c r="CD24" i="1"/>
  <c r="BY62" i="2"/>
  <c r="BY63" i="2"/>
  <c r="BY56" i="2"/>
  <c r="U113" i="21"/>
  <c r="BY49" i="1"/>
  <c r="BY55" i="2"/>
  <c r="BY59" i="2"/>
  <c r="BY60" i="2"/>
  <c r="BY47" i="1"/>
  <c r="BT57" i="2"/>
  <c r="BT55" i="2"/>
  <c r="BT56" i="2"/>
  <c r="BT59" i="2"/>
  <c r="BT60" i="2"/>
  <c r="BT62" i="2"/>
  <c r="BT63" i="2"/>
  <c r="BT49" i="1"/>
  <c r="BT47" i="1"/>
  <c r="CC123" i="1"/>
  <c r="CH124" i="1" s="1"/>
  <c r="BY38" i="1"/>
  <c r="BY40" i="1" s="1"/>
  <c r="BY41" i="1" s="1"/>
  <c r="BY9" i="1"/>
  <c r="CD96" i="9"/>
  <c r="CD99" i="9"/>
  <c r="AE21" i="18"/>
  <c r="BY24" i="1"/>
  <c r="BY138" i="1"/>
  <c r="BY99" i="9"/>
  <c r="Z21" i="18"/>
  <c r="BT98" i="1"/>
  <c r="BU21" i="3"/>
  <c r="BV21" i="3" s="1"/>
  <c r="BT138" i="1"/>
  <c r="BU25" i="1"/>
  <c r="BT38" i="1"/>
  <c r="BT40" i="1" s="1"/>
  <c r="BT41" i="1" s="1"/>
  <c r="BT24" i="1"/>
  <c r="BO41" i="1"/>
  <c r="BP49" i="2"/>
  <c r="BO54" i="1"/>
  <c r="BO33" i="2"/>
  <c r="BO40" i="2" s="1"/>
  <c r="BO51" i="2"/>
  <c r="CH135" i="1" l="1"/>
  <c r="P113" i="21"/>
  <c r="CC126" i="1"/>
  <c r="CC127" i="1" s="1"/>
  <c r="CH128" i="1" s="1"/>
  <c r="BY54" i="1"/>
  <c r="BY40" i="2"/>
  <c r="BY51" i="2"/>
  <c r="BT40" i="2"/>
  <c r="BT54" i="1"/>
  <c r="BT78" i="1" s="1"/>
  <c r="BT80" i="1" s="1"/>
  <c r="BT51" i="2"/>
  <c r="BU49" i="2"/>
  <c r="BO78" i="1"/>
  <c r="BO80" i="1" s="1"/>
  <c r="BO55" i="1"/>
  <c r="U31" i="18" s="1"/>
  <c r="BO66" i="1"/>
  <c r="BP139" i="1"/>
  <c r="BP140" i="1" s="1"/>
  <c r="BO52" i="2"/>
  <c r="CH129" i="1" l="1"/>
  <c r="CH133" i="1"/>
  <c r="CD52" i="2"/>
  <c r="BY78" i="1"/>
  <c r="BY80" i="1" s="1"/>
  <c r="BY66" i="1"/>
  <c r="BY55" i="1"/>
  <c r="AE31" i="18" s="1"/>
  <c r="BT66" i="1"/>
  <c r="BT67" i="1" s="1"/>
  <c r="BU139" i="1"/>
  <c r="BU140" i="1" s="1"/>
  <c r="BU141" i="1" s="1"/>
  <c r="BY52" i="2"/>
  <c r="BT52" i="2"/>
  <c r="BT55" i="1"/>
  <c r="Z31" i="18" s="1"/>
  <c r="BP141" i="1"/>
  <c r="BP27" i="3"/>
  <c r="BP43" i="3"/>
  <c r="BP56" i="3"/>
  <c r="BO67" i="1"/>
  <c r="BO84" i="1"/>
  <c r="BY81" i="1" l="1"/>
  <c r="BY82" i="1" s="1"/>
  <c r="BT81" i="1"/>
  <c r="BT90" i="1" s="1"/>
  <c r="Z23" i="18" s="1"/>
  <c r="BY67" i="1"/>
  <c r="BY84" i="1"/>
  <c r="BY86" i="1" s="1"/>
  <c r="BT84" i="1"/>
  <c r="BT75" i="1" s="1"/>
  <c r="BW142" i="1"/>
  <c r="BO75" i="1"/>
  <c r="BO76" i="1" s="1"/>
  <c r="BO86" i="1"/>
  <c r="BO81" i="1"/>
  <c r="BO90" i="1" s="1"/>
  <c r="BY90" i="1" l="1"/>
  <c r="CD91" i="1" s="1"/>
  <c r="BT82" i="1"/>
  <c r="BT91" i="1"/>
  <c r="BT87" i="1"/>
  <c r="BT88" i="1" s="1"/>
  <c r="BO82" i="1"/>
  <c r="BO87" i="1"/>
  <c r="BO92" i="1" s="1"/>
  <c r="U23" i="18"/>
  <c r="BO91" i="1"/>
  <c r="BL29" i="9"/>
  <c r="BL30" i="9" s="1"/>
  <c r="AE23" i="18" l="1"/>
  <c r="BY91" i="1"/>
  <c r="BY87" i="1"/>
  <c r="BY92" i="1" s="1"/>
  <c r="CD93" i="1" s="1"/>
  <c r="BT92" i="1"/>
  <c r="BT6" i="3"/>
  <c r="BO6" i="3"/>
  <c r="BO26" i="3" s="1"/>
  <c r="BO40" i="3" s="1"/>
  <c r="BO88" i="1"/>
  <c r="BO93" i="1"/>
  <c r="BI23" i="9"/>
  <c r="BI35" i="9" s="1"/>
  <c r="BI27" i="9"/>
  <c r="BI36" i="9" l="1"/>
  <c r="BN36" i="9"/>
  <c r="BY93" i="1"/>
  <c r="BY6" i="3"/>
  <c r="BY88" i="1"/>
  <c r="BT93" i="1"/>
  <c r="BI24" i="9"/>
  <c r="BL23" i="9"/>
  <c r="BL35" i="9" s="1"/>
  <c r="BL36" i="9" s="1"/>
  <c r="BI22" i="9"/>
  <c r="BL27" i="9"/>
  <c r="BI28" i="9"/>
  <c r="BI95" i="9"/>
  <c r="BL24" i="9" l="1"/>
  <c r="BL95" i="9"/>
  <c r="BL96" i="9" s="1"/>
  <c r="BI96" i="9"/>
  <c r="BI38" i="9"/>
  <c r="BJ39" i="9"/>
  <c r="BI39" i="9"/>
  <c r="BL22" i="9"/>
  <c r="BL38" i="9" s="1"/>
  <c r="BI94" i="9"/>
  <c r="BS27" i="9" l="1"/>
  <c r="BQ23" i="9"/>
  <c r="BQ35" i="9" s="1"/>
  <c r="BQ36" i="9" s="1"/>
  <c r="BN24" i="9"/>
  <c r="BN22" i="9"/>
  <c r="BI100" i="9"/>
  <c r="BJ100" i="9"/>
  <c r="BL94" i="9"/>
  <c r="BL99" i="9" s="1"/>
  <c r="BI99" i="9"/>
  <c r="BQ24" i="9" l="1"/>
  <c r="BS24" i="9"/>
  <c r="BV35" i="9"/>
  <c r="BS28" i="9"/>
  <c r="BN38" i="9"/>
  <c r="BN39" i="9"/>
  <c r="BO39" i="9"/>
  <c r="BQ22" i="9"/>
  <c r="BQ38" i="9" s="1"/>
  <c r="BV24" i="9" l="1"/>
  <c r="BS38" i="9"/>
  <c r="BS39" i="9"/>
  <c r="BT39" i="9"/>
  <c r="BN10" i="1"/>
  <c r="BN9" i="1"/>
  <c r="BN122" i="1"/>
  <c r="BO10" i="1"/>
  <c r="BQ8" i="1"/>
  <c r="BN23" i="1"/>
  <c r="BN149" i="1" l="1"/>
  <c r="BN150" i="1" s="1"/>
  <c r="BN45" i="1"/>
  <c r="CC24" i="9"/>
  <c r="BX28" i="9"/>
  <c r="BX24" i="9"/>
  <c r="BV38" i="9"/>
  <c r="BN63" i="2"/>
  <c r="BN55" i="2"/>
  <c r="BN62" i="2"/>
  <c r="BN59" i="2"/>
  <c r="BN56" i="2"/>
  <c r="BN60" i="2"/>
  <c r="BS9" i="1"/>
  <c r="BS122" i="1"/>
  <c r="BW123" i="1" s="1"/>
  <c r="BS10" i="1"/>
  <c r="BV8" i="1"/>
  <c r="BT10" i="1"/>
  <c r="BN49" i="1"/>
  <c r="BN47" i="1"/>
  <c r="BN25" i="1"/>
  <c r="T21" i="18"/>
  <c r="BO25" i="1"/>
  <c r="BN24" i="1"/>
  <c r="BN138" i="1"/>
  <c r="BN40" i="1"/>
  <c r="BQ32" i="1"/>
  <c r="BQ38" i="1" s="1"/>
  <c r="J10" i="20" s="1"/>
  <c r="BP123" i="1"/>
  <c r="BO123" i="1"/>
  <c r="BN123" i="1"/>
  <c r="BQ9" i="1"/>
  <c r="BQ23" i="1"/>
  <c r="BN151" i="1" l="1"/>
  <c r="BO151" i="1"/>
  <c r="J7" i="20"/>
  <c r="M7" i="20" s="1"/>
  <c r="M8" i="20" s="1"/>
  <c r="BQ45" i="1"/>
  <c r="CC28" i="9"/>
  <c r="CC38" i="9"/>
  <c r="CC9" i="1"/>
  <c r="BX38" i="9"/>
  <c r="BX39" i="9"/>
  <c r="BY39" i="9"/>
  <c r="BW10" i="1"/>
  <c r="BV32" i="1"/>
  <c r="BV33" i="1" s="1"/>
  <c r="BW126" i="1"/>
  <c r="BW127" i="1" s="1"/>
  <c r="M10" i="20"/>
  <c r="BV9" i="1"/>
  <c r="BQ48" i="1"/>
  <c r="BQ49" i="1" s="1"/>
  <c r="BN41" i="1"/>
  <c r="BQ24" i="1"/>
  <c r="J8" i="20" s="1"/>
  <c r="W21" i="18"/>
  <c r="BQ51" i="1"/>
  <c r="BQ138" i="1"/>
  <c r="BQ40" i="1"/>
  <c r="BO124" i="1"/>
  <c r="BO128" i="1" s="1"/>
  <c r="BO129" i="1" s="1"/>
  <c r="BO126" i="1"/>
  <c r="BO127" i="1" s="1"/>
  <c r="BN54" i="1"/>
  <c r="BQ46" i="1"/>
  <c r="BO131" i="1"/>
  <c r="BN131" i="1"/>
  <c r="BN49" i="2"/>
  <c r="BO49" i="2"/>
  <c r="BQ33" i="1"/>
  <c r="BP124" i="1"/>
  <c r="BP126" i="1"/>
  <c r="BP127" i="1" s="1"/>
  <c r="BN51" i="2"/>
  <c r="BN124" i="1"/>
  <c r="BN128" i="1" s="1"/>
  <c r="BN129" i="1" s="1"/>
  <c r="BN126" i="1"/>
  <c r="BN127" i="1" s="1"/>
  <c r="BN40" i="2"/>
  <c r="J11" i="20" l="1"/>
  <c r="M11" i="20"/>
  <c r="BQ52" i="1"/>
  <c r="BQ54" i="1" s="1"/>
  <c r="CA8" i="1"/>
  <c r="BX122" i="1"/>
  <c r="CB123" i="1" s="1"/>
  <c r="CG124" i="1" s="1"/>
  <c r="BY10" i="1"/>
  <c r="BX10" i="1"/>
  <c r="BX9" i="1"/>
  <c r="BP128" i="1"/>
  <c r="BP129" i="1" s="1"/>
  <c r="BP135" i="1"/>
  <c r="BQ18" i="3"/>
  <c r="BQ22" i="3"/>
  <c r="BN55" i="1"/>
  <c r="T31" i="18" s="1"/>
  <c r="BN78" i="1"/>
  <c r="BN80" i="1" s="1"/>
  <c r="BN66" i="1"/>
  <c r="BN52" i="2"/>
  <c r="BO139" i="1"/>
  <c r="BO140" i="1" s="1"/>
  <c r="BN139" i="1"/>
  <c r="BN140" i="1" s="1"/>
  <c r="BQ21" i="3"/>
  <c r="BQ24" i="3"/>
  <c r="BQ47" i="1"/>
  <c r="BN133" i="1"/>
  <c r="BN135" i="1"/>
  <c r="BQ41" i="1"/>
  <c r="BO99" i="1"/>
  <c r="BO133" i="1"/>
  <c r="BO135" i="1"/>
  <c r="CG135" i="1" l="1"/>
  <c r="CB126" i="1"/>
  <c r="CB127" i="1" s="1"/>
  <c r="CG128" i="1" s="1"/>
  <c r="CB124" i="1"/>
  <c r="CB128" i="1" s="1"/>
  <c r="CB129" i="1" s="1"/>
  <c r="BP133" i="1"/>
  <c r="CA9" i="1"/>
  <c r="CA32" i="1"/>
  <c r="BZ123" i="1"/>
  <c r="BY123" i="1"/>
  <c r="BX123" i="1"/>
  <c r="BQ55" i="1"/>
  <c r="BQ78" i="1"/>
  <c r="J16" i="20" s="1"/>
  <c r="M16" i="20" s="1"/>
  <c r="BQ66" i="1"/>
  <c r="BO27" i="3"/>
  <c r="BO43" i="3"/>
  <c r="BO56" i="3"/>
  <c r="BN67" i="1"/>
  <c r="BN84" i="1"/>
  <c r="BN75" i="1" s="1"/>
  <c r="BQ75" i="1" s="1"/>
  <c r="BN142" i="1"/>
  <c r="BQ140" i="1"/>
  <c r="BN141" i="1"/>
  <c r="BN143" i="1"/>
  <c r="BO142" i="1"/>
  <c r="BO141" i="1"/>
  <c r="BO143" i="1"/>
  <c r="BP143" i="1"/>
  <c r="BP142" i="1"/>
  <c r="CG129" i="1" l="1"/>
  <c r="CG133" i="1"/>
  <c r="BX126" i="1"/>
  <c r="BX127" i="1" s="1"/>
  <c r="CC124" i="1"/>
  <c r="BY126" i="1"/>
  <c r="BY127" i="1" s="1"/>
  <c r="CD124" i="1"/>
  <c r="BZ126" i="1"/>
  <c r="BZ127" i="1" s="1"/>
  <c r="CE124" i="1"/>
  <c r="CA33" i="1"/>
  <c r="W31" i="18"/>
  <c r="N31" i="20"/>
  <c r="BN76" i="1"/>
  <c r="BN86" i="1"/>
  <c r="BQ141" i="1"/>
  <c r="BQ79" i="1"/>
  <c r="BQ81" i="1" s="1"/>
  <c r="J18" i="20" s="1"/>
  <c r="BN81" i="1"/>
  <c r="BN82" i="1" s="1"/>
  <c r="BO144" i="1"/>
  <c r="BO145" i="1"/>
  <c r="BN145" i="1"/>
  <c r="BN144" i="1"/>
  <c r="BQ67" i="1"/>
  <c r="BQ84" i="1"/>
  <c r="BP145" i="1"/>
  <c r="BP144" i="1"/>
  <c r="CC128" i="1" l="1"/>
  <c r="CC129" i="1" s="1"/>
  <c r="CD128" i="1"/>
  <c r="CD129" i="1" s="1"/>
  <c r="CE128" i="1"/>
  <c r="CE129" i="1" s="1"/>
  <c r="J19" i="20"/>
  <c r="M18" i="20"/>
  <c r="BQ80" i="1"/>
  <c r="J17" i="20" s="1"/>
  <c r="BQ85" i="1"/>
  <c r="BQ86" i="1" s="1"/>
  <c r="BN90" i="1"/>
  <c r="BQ82" i="1"/>
  <c r="N35" i="20" s="1"/>
  <c r="BQ90" i="1"/>
  <c r="J21" i="20" s="1"/>
  <c r="BN87" i="1"/>
  <c r="M21" i="20" l="1"/>
  <c r="M19" i="20"/>
  <c r="BQ76" i="1"/>
  <c r="J13" i="20"/>
  <c r="T23" i="18"/>
  <c r="BQ87" i="1"/>
  <c r="BQ6" i="3" s="1"/>
  <c r="BQ26" i="3" s="1"/>
  <c r="BQ40" i="3" s="1"/>
  <c r="BQ41" i="3" s="1"/>
  <c r="BN91" i="1"/>
  <c r="BN88" i="1"/>
  <c r="BN92" i="1"/>
  <c r="BN6" i="3"/>
  <c r="BN26" i="3" s="1"/>
  <c r="W23" i="18"/>
  <c r="BQ91" i="1"/>
  <c r="BN99" i="1" l="1"/>
  <c r="BN40" i="3"/>
  <c r="BN43" i="3" s="1"/>
  <c r="M13" i="20"/>
  <c r="M14" i="20" s="1"/>
  <c r="J14" i="20"/>
  <c r="BQ88" i="1"/>
  <c r="BN93" i="1"/>
  <c r="BQ92" i="1"/>
  <c r="BQ27" i="3"/>
  <c r="BQ56" i="3"/>
  <c r="BQ59" i="3" s="1"/>
  <c r="BQ43" i="3"/>
  <c r="N32" i="20" s="1"/>
  <c r="BN27" i="3"/>
  <c r="BN56" i="3"/>
  <c r="N33" i="20" l="1"/>
  <c r="P32" i="20"/>
  <c r="BR58" i="3"/>
  <c r="BV58" i="3"/>
  <c r="BQ93" i="1"/>
  <c r="BN59" i="3"/>
  <c r="BO58" i="3" s="1"/>
  <c r="BO59" i="3" s="1"/>
  <c r="BP58" i="3" s="1"/>
  <c r="BP59" i="3" s="1"/>
  <c r="BN13" i="2" l="1"/>
  <c r="BN24" i="2" s="1"/>
  <c r="BN43" i="2" l="1"/>
  <c r="BN44" i="2" s="1"/>
  <c r="BN47" i="2" s="1"/>
  <c r="BO13" i="2"/>
  <c r="BO24" i="2" s="1"/>
  <c r="BO43" i="2" l="1"/>
  <c r="BO44" i="2" s="1"/>
  <c r="BO47" i="2" s="1"/>
  <c r="BQ6" i="2"/>
  <c r="BP13" i="2"/>
  <c r="BQ13" i="2" l="1"/>
  <c r="BQ24" i="2" s="1"/>
  <c r="BP24" i="2"/>
  <c r="BP43" i="2" l="1"/>
  <c r="BQ43" i="2" l="1"/>
  <c r="BP44" i="2"/>
  <c r="BQ44" i="2" l="1"/>
  <c r="BP47" i="2"/>
  <c r="BV29" i="9" l="1"/>
  <c r="BV30" i="9" l="1"/>
  <c r="BT76" i="1"/>
  <c r="BR28" i="9"/>
  <c r="BV27" i="9"/>
  <c r="BR88" i="9"/>
  <c r="BR87" i="9"/>
  <c r="BS88" i="9"/>
  <c r="BV82" i="9"/>
  <c r="CA83" i="9" s="1"/>
  <c r="BV87" i="9" l="1"/>
  <c r="CA87" i="9"/>
  <c r="BS19" i="1"/>
  <c r="BV17" i="1"/>
  <c r="BR122" i="1"/>
  <c r="BR18" i="1"/>
  <c r="BR19" i="1"/>
  <c r="BU26" i="3" l="1"/>
  <c r="BW19" i="1"/>
  <c r="CA18" i="1"/>
  <c r="BU75" i="1"/>
  <c r="BU76" i="1" s="1"/>
  <c r="L17" i="12"/>
  <c r="H17" i="12"/>
  <c r="I17" i="12" s="1"/>
  <c r="E17" i="12"/>
  <c r="BV15" i="2"/>
  <c r="BW62" i="3" s="1"/>
  <c r="BV34" i="1"/>
  <c r="BV35" i="1" s="1"/>
  <c r="BV18" i="1"/>
  <c r="BS123" i="1"/>
  <c r="BX124" i="1" s="1"/>
  <c r="BR123" i="1"/>
  <c r="BW124" i="1" s="1"/>
  <c r="BT123" i="1"/>
  <c r="BY124" i="1" s="1"/>
  <c r="BU123" i="1"/>
  <c r="BZ124" i="1" s="1"/>
  <c r="BU40" i="3" l="1"/>
  <c r="BU43" i="3" s="1"/>
  <c r="BU99" i="1"/>
  <c r="BU56" i="3"/>
  <c r="BU27" i="3"/>
  <c r="F17" i="12"/>
  <c r="BU124" i="1"/>
  <c r="BU126" i="1"/>
  <c r="BU127" i="1" s="1"/>
  <c r="BZ128" i="1" s="1"/>
  <c r="BT126" i="1"/>
  <c r="BT127" i="1" s="1"/>
  <c r="BY128" i="1" s="1"/>
  <c r="BT124" i="1"/>
  <c r="BR124" i="1"/>
  <c r="BR126" i="1"/>
  <c r="BR127" i="1" s="1"/>
  <c r="BW128" i="1" s="1"/>
  <c r="BW129" i="1" s="1"/>
  <c r="BS124" i="1"/>
  <c r="BS126" i="1"/>
  <c r="BS127" i="1" s="1"/>
  <c r="BX128" i="1" s="1"/>
  <c r="BW76" i="1" l="1"/>
  <c r="BW26" i="3"/>
  <c r="BW99" i="1" s="1"/>
  <c r="BY129" i="1"/>
  <c r="BX129" i="1"/>
  <c r="BZ129" i="1"/>
  <c r="BT128" i="1"/>
  <c r="BS128" i="1"/>
  <c r="BR128" i="1"/>
  <c r="BU128" i="1"/>
  <c r="BW27" i="3" l="1"/>
  <c r="BW56" i="3"/>
  <c r="BW40" i="3"/>
  <c r="BW43" i="3" s="1"/>
  <c r="BR129" i="1"/>
  <c r="BU129" i="1"/>
  <c r="BS129" i="1"/>
  <c r="BT129" i="1"/>
  <c r="BS91" i="9"/>
  <c r="BR90" i="9"/>
  <c r="BR91" i="9"/>
  <c r="BV89" i="9"/>
  <c r="BR94" i="9"/>
  <c r="BR95" i="9"/>
  <c r="BR96" i="9" s="1"/>
  <c r="BV90" i="9" l="1"/>
  <c r="CA90" i="9"/>
  <c r="BW99" i="9"/>
  <c r="BY75" i="1"/>
  <c r="BR22" i="1"/>
  <c r="BR99" i="9"/>
  <c r="BR100" i="9"/>
  <c r="BS22" i="1"/>
  <c r="BR21" i="1"/>
  <c r="BV20" i="1"/>
  <c r="BR23" i="1"/>
  <c r="I111" i="21" s="1"/>
  <c r="M111" i="21" l="1"/>
  <c r="I112" i="21"/>
  <c r="M112" i="21" s="1"/>
  <c r="BR45" i="1"/>
  <c r="BR149" i="1"/>
  <c r="BW150" i="1" s="1"/>
  <c r="BW24" i="1"/>
  <c r="BY76" i="1"/>
  <c r="BW22" i="1"/>
  <c r="CA21" i="1"/>
  <c r="BR56" i="2"/>
  <c r="BR55" i="2"/>
  <c r="BR49" i="1"/>
  <c r="BR60" i="2"/>
  <c r="BR59" i="2"/>
  <c r="BR47" i="1"/>
  <c r="X21" i="18"/>
  <c r="BV36" i="1"/>
  <c r="BV37" i="1" s="1"/>
  <c r="BR38" i="1"/>
  <c r="BR40" i="1" s="1"/>
  <c r="BV21" i="1"/>
  <c r="BR24" i="1"/>
  <c r="BR138" i="1"/>
  <c r="BR25" i="1"/>
  <c r="BR51" i="1"/>
  <c r="N113" i="21" l="1"/>
  <c r="BR151" i="1"/>
  <c r="BR150" i="1"/>
  <c r="CA15" i="2"/>
  <c r="CB62" i="3" s="1"/>
  <c r="CA8" i="3"/>
  <c r="BR49" i="2"/>
  <c r="BR41" i="1"/>
  <c r="CA9" i="3" l="1"/>
  <c r="BR131" i="1"/>
  <c r="BR133" i="1" s="1"/>
  <c r="BR54" i="1"/>
  <c r="BR78" i="1" s="1"/>
  <c r="BR80" i="1" s="1"/>
  <c r="BR135" i="1" l="1"/>
  <c r="BR66" i="1"/>
  <c r="BR67" i="1" s="1"/>
  <c r="BR55" i="1"/>
  <c r="X31" i="18" s="1"/>
  <c r="CC76" i="1" l="1"/>
  <c r="BR84" i="1"/>
  <c r="BR81" i="1"/>
  <c r="BR90" i="1" s="1"/>
  <c r="BW91" i="1" s="1"/>
  <c r="CD76" i="1" l="1"/>
  <c r="CD26" i="3"/>
  <c r="CD99" i="1" s="1"/>
  <c r="BR75" i="1"/>
  <c r="BR86" i="1"/>
  <c r="BR91" i="1"/>
  <c r="X23" i="18"/>
  <c r="BR82" i="1"/>
  <c r="BR76" i="1" l="1"/>
  <c r="CD27" i="3"/>
  <c r="CD56" i="3"/>
  <c r="CD40" i="3"/>
  <c r="BR87" i="1"/>
  <c r="CD43" i="3" l="1"/>
  <c r="CD41" i="3"/>
  <c r="CF15" i="2"/>
  <c r="CG62" i="3" s="1"/>
  <c r="CF8" i="3"/>
  <c r="BR92" i="1"/>
  <c r="BR6" i="3"/>
  <c r="BR26" i="3" s="1"/>
  <c r="BR88" i="1"/>
  <c r="CF9" i="3" l="1"/>
  <c r="BR93" i="1"/>
  <c r="BW93" i="1"/>
  <c r="BR13" i="2"/>
  <c r="BR24" i="2" s="1"/>
  <c r="CG76" i="1" l="1"/>
  <c r="BR27" i="3"/>
  <c r="BR99" i="1"/>
  <c r="BN11" i="9"/>
  <c r="BN4" i="9" l="1"/>
  <c r="BO20" i="9" s="1"/>
  <c r="BN12" i="9"/>
  <c r="BQ11" i="9"/>
  <c r="BQ12" i="9" s="1"/>
  <c r="BN8" i="9"/>
  <c r="BQ13" i="9"/>
  <c r="BQ14" i="9" s="1"/>
  <c r="BS13" i="9"/>
  <c r="BQ7" i="9"/>
  <c r="CH99" i="1" l="1"/>
  <c r="BN94" i="9"/>
  <c r="BO100" i="9" s="1"/>
  <c r="BN20" i="9"/>
  <c r="BS18" i="9"/>
  <c r="BN19" i="9"/>
  <c r="BQ4" i="9"/>
  <c r="BQ19" i="9" s="1"/>
  <c r="BQ8" i="9"/>
  <c r="BS11" i="9"/>
  <c r="BV13" i="9"/>
  <c r="BV14" i="9" s="1"/>
  <c r="BN99" i="9" l="1"/>
  <c r="BQ94" i="9"/>
  <c r="BQ99" i="9" s="1"/>
  <c r="BN100" i="9"/>
  <c r="BX18" i="9"/>
  <c r="BS12" i="9"/>
  <c r="BS95" i="9"/>
  <c r="BV11" i="9"/>
  <c r="BV12" i="9" s="1"/>
  <c r="CI99" i="1" l="1"/>
  <c r="BX11" i="9"/>
  <c r="CA13" i="9"/>
  <c r="CA14" i="9" s="1"/>
  <c r="BS96" i="9"/>
  <c r="BS19" i="9"/>
  <c r="BS94" i="9"/>
  <c r="BS20" i="9"/>
  <c r="BT20" i="9"/>
  <c r="BV8" i="9"/>
  <c r="BV4" i="9"/>
  <c r="BV19" i="9" s="1"/>
  <c r="CK8" i="3" l="1"/>
  <c r="CK9" i="3" s="1"/>
  <c r="CJ76" i="1"/>
  <c r="CK15" i="2"/>
  <c r="CL62" i="3" s="1"/>
  <c r="CA7" i="9"/>
  <c r="BX12" i="9"/>
  <c r="BX95" i="9"/>
  <c r="BT7" i="1"/>
  <c r="BV5" i="1"/>
  <c r="BS6" i="1"/>
  <c r="BS7" i="1"/>
  <c r="BS99" i="9"/>
  <c r="BT100" i="9"/>
  <c r="BS100" i="9"/>
  <c r="CF14" i="9" l="1"/>
  <c r="CF8" i="9"/>
  <c r="BX96" i="9"/>
  <c r="CA8" i="9"/>
  <c r="BY20" i="9"/>
  <c r="CC6" i="1"/>
  <c r="BX20" i="9"/>
  <c r="BX19" i="9"/>
  <c r="BX94" i="9"/>
  <c r="BS60" i="2"/>
  <c r="BS56" i="2"/>
  <c r="BS59" i="2"/>
  <c r="BS55" i="2"/>
  <c r="BS63" i="2"/>
  <c r="BS62" i="2"/>
  <c r="BS47" i="1"/>
  <c r="BS51" i="1"/>
  <c r="BS49" i="1"/>
  <c r="Y21" i="18"/>
  <c r="BW7" i="1"/>
  <c r="BS38" i="1"/>
  <c r="BS40" i="1" s="1"/>
  <c r="BV28" i="1"/>
  <c r="BV38" i="1" s="1"/>
  <c r="R10" i="20" s="1"/>
  <c r="T10" i="20" s="1"/>
  <c r="BS25" i="1"/>
  <c r="BS138" i="1"/>
  <c r="BT25" i="1"/>
  <c r="BS24" i="1"/>
  <c r="BV23" i="1"/>
  <c r="BV45" i="1" s="1"/>
  <c r="BV6" i="1"/>
  <c r="CC96" i="9" l="1"/>
  <c r="CC99" i="9"/>
  <c r="BX100" i="9"/>
  <c r="BY100" i="9"/>
  <c r="BX99" i="9"/>
  <c r="BX7" i="1"/>
  <c r="BY7" i="1"/>
  <c r="BX23" i="1"/>
  <c r="BX6" i="1"/>
  <c r="BW131" i="1"/>
  <c r="BV48" i="1"/>
  <c r="BV49" i="1" s="1"/>
  <c r="CW26" i="1"/>
  <c r="CW28" i="1" s="1"/>
  <c r="BW25" i="1"/>
  <c r="BS40" i="2"/>
  <c r="AB21" i="18"/>
  <c r="R7" i="20"/>
  <c r="CV23" i="1"/>
  <c r="BV29" i="1"/>
  <c r="BS49" i="2"/>
  <c r="BT49" i="2"/>
  <c r="BS54" i="1"/>
  <c r="BS78" i="1" s="1"/>
  <c r="BS131" i="1"/>
  <c r="BV46" i="1"/>
  <c r="BU131" i="1"/>
  <c r="BT131" i="1"/>
  <c r="BV138" i="1"/>
  <c r="BV40" i="1"/>
  <c r="BV24" i="1"/>
  <c r="R8" i="20" s="1"/>
  <c r="BV51" i="1"/>
  <c r="BS51" i="2"/>
  <c r="BS41" i="1"/>
  <c r="BV52" i="1" l="1"/>
  <c r="BV54" i="1" s="1"/>
  <c r="BV78" i="1" s="1"/>
  <c r="CW23" i="1"/>
  <c r="BX45" i="1"/>
  <c r="O111" i="21"/>
  <c r="BS81" i="1"/>
  <c r="BS80" i="1"/>
  <c r="BX55" i="2"/>
  <c r="BX56" i="2"/>
  <c r="BX59" i="2"/>
  <c r="BX49" i="1"/>
  <c r="BX60" i="2"/>
  <c r="BX62" i="2"/>
  <c r="BX63" i="2"/>
  <c r="BX47" i="1"/>
  <c r="CC24" i="1"/>
  <c r="BX38" i="1"/>
  <c r="BX40" i="1" s="1"/>
  <c r="BX41" i="1" s="1"/>
  <c r="AD21" i="18"/>
  <c r="BX25" i="1"/>
  <c r="BY25" i="1"/>
  <c r="BX138" i="1"/>
  <c r="BX24" i="1"/>
  <c r="BT26" i="3"/>
  <c r="BW133" i="1"/>
  <c r="BW135" i="1"/>
  <c r="DB17" i="1"/>
  <c r="DB19" i="1" s="1"/>
  <c r="DB21" i="1" s="1"/>
  <c r="T7" i="20"/>
  <c r="F46" i="20"/>
  <c r="R11" i="20"/>
  <c r="BS55" i="1"/>
  <c r="Y31" i="18" s="1"/>
  <c r="BS66" i="1"/>
  <c r="BV47" i="1"/>
  <c r="BV41" i="1"/>
  <c r="BU135" i="1"/>
  <c r="BU133" i="1"/>
  <c r="BT139" i="1"/>
  <c r="BT140" i="1" s="1"/>
  <c r="BS52" i="2"/>
  <c r="BS135" i="1"/>
  <c r="BS133" i="1"/>
  <c r="BT133" i="1"/>
  <c r="BT135" i="1"/>
  <c r="O112" i="21" l="1"/>
  <c r="R112" i="21" s="1"/>
  <c r="R111" i="21"/>
  <c r="BX51" i="2"/>
  <c r="CC52" i="2" s="1"/>
  <c r="BY131" i="1"/>
  <c r="BX131" i="1"/>
  <c r="BX54" i="1"/>
  <c r="BY49" i="2"/>
  <c r="BX49" i="2"/>
  <c r="BX40" i="2"/>
  <c r="BT40" i="3"/>
  <c r="BT43" i="3" s="1"/>
  <c r="BT99" i="1"/>
  <c r="BS83" i="1"/>
  <c r="M46" i="20"/>
  <c r="O46" i="20" s="1"/>
  <c r="O59" i="20" s="1"/>
  <c r="F52" i="20"/>
  <c r="F55" i="20"/>
  <c r="F47" i="20"/>
  <c r="M47" i="20" s="1"/>
  <c r="H46" i="20"/>
  <c r="H59" i="20" s="1"/>
  <c r="I59" i="20" s="1"/>
  <c r="J59" i="20" s="1"/>
  <c r="F49" i="20"/>
  <c r="T8" i="20"/>
  <c r="T11" i="20"/>
  <c r="R16" i="20"/>
  <c r="T16" i="20" s="1"/>
  <c r="BV66" i="1"/>
  <c r="BV55" i="1"/>
  <c r="AB31" i="18" s="1"/>
  <c r="BT141" i="1"/>
  <c r="BU142" i="1"/>
  <c r="BS67" i="1"/>
  <c r="BS84" i="1"/>
  <c r="BT56" i="3"/>
  <c r="BT27" i="3"/>
  <c r="O113" i="21" l="1"/>
  <c r="T113" i="21"/>
  <c r="W113" i="21"/>
  <c r="R113" i="21"/>
  <c r="BS86" i="1"/>
  <c r="BS75" i="1"/>
  <c r="BV75" i="1" s="1"/>
  <c r="BY26" i="3"/>
  <c r="CA21" i="3"/>
  <c r="BX135" i="1"/>
  <c r="BX133" i="1"/>
  <c r="BY135" i="1"/>
  <c r="BY133" i="1"/>
  <c r="BX139" i="1"/>
  <c r="BX140" i="1" s="1"/>
  <c r="BY139" i="1"/>
  <c r="BY140" i="1" s="1"/>
  <c r="CD141" i="1" s="1"/>
  <c r="BX52" i="2"/>
  <c r="BX66" i="1"/>
  <c r="BX78" i="1"/>
  <c r="BX80" i="1" s="1"/>
  <c r="BX55" i="1"/>
  <c r="AD31" i="18" s="1"/>
  <c r="BV79" i="1"/>
  <c r="BV80" i="1" s="1"/>
  <c r="R17" i="20" s="1"/>
  <c r="H49" i="20"/>
  <c r="H50" i="20" s="1"/>
  <c r="M49" i="20"/>
  <c r="O49" i="20" s="1"/>
  <c r="O50" i="20" s="1"/>
  <c r="M55" i="20"/>
  <c r="O55" i="20" s="1"/>
  <c r="H55" i="20"/>
  <c r="M52" i="20"/>
  <c r="O52" i="20" s="1"/>
  <c r="H52" i="20"/>
  <c r="P59" i="20"/>
  <c r="Q59" i="20"/>
  <c r="BS90" i="1"/>
  <c r="BV67" i="1"/>
  <c r="BV84" i="1"/>
  <c r="BY56" i="3" l="1"/>
  <c r="BY99" i="1"/>
  <c r="BY40" i="3"/>
  <c r="BY43" i="3" s="1"/>
  <c r="BY27" i="3"/>
  <c r="BX84" i="1"/>
  <c r="BX86" i="1" s="1"/>
  <c r="BX67" i="1"/>
  <c r="BY142" i="1"/>
  <c r="BY143" i="1"/>
  <c r="BY141" i="1"/>
  <c r="BX142" i="1"/>
  <c r="BX143" i="1"/>
  <c r="BV81" i="1"/>
  <c r="R18" i="20" s="1"/>
  <c r="R19" i="20" s="1"/>
  <c r="BV85" i="1"/>
  <c r="BV87" i="1" s="1"/>
  <c r="O53" i="20"/>
  <c r="P61" i="20"/>
  <c r="O61" i="20"/>
  <c r="Q61" i="20"/>
  <c r="H56" i="20"/>
  <c r="I64" i="20"/>
  <c r="J64" i="20"/>
  <c r="J65" i="20" s="1"/>
  <c r="H64" i="20"/>
  <c r="O64" i="20"/>
  <c r="O65" i="20" s="1"/>
  <c r="O56" i="20"/>
  <c r="Q64" i="20"/>
  <c r="P64" i="20"/>
  <c r="P65" i="20" s="1"/>
  <c r="H53" i="20"/>
  <c r="H61" i="20"/>
  <c r="J61" i="20"/>
  <c r="I61" i="20"/>
  <c r="BS82" i="1"/>
  <c r="BS91" i="1"/>
  <c r="Y23" i="18"/>
  <c r="BS87" i="1"/>
  <c r="BY145" i="1" l="1"/>
  <c r="BX81" i="1"/>
  <c r="BX82" i="1" s="1"/>
  <c r="BV82" i="1"/>
  <c r="BV90" i="1"/>
  <c r="T18" i="20"/>
  <c r="T19" i="20" s="1"/>
  <c r="BV86" i="1"/>
  <c r="H69" i="20"/>
  <c r="H71" i="20" s="1"/>
  <c r="H62" i="20"/>
  <c r="Q65" i="20"/>
  <c r="U70" i="20"/>
  <c r="U72" i="20" s="1"/>
  <c r="U73" i="20" s="1"/>
  <c r="I65" i="20"/>
  <c r="T70" i="20"/>
  <c r="T72" i="20" s="1"/>
  <c r="T73" i="20" s="1"/>
  <c r="Q69" i="20"/>
  <c r="Q71" i="20" s="1"/>
  <c r="Q62" i="20"/>
  <c r="O69" i="20"/>
  <c r="O71" i="20" s="1"/>
  <c r="O62" i="20"/>
  <c r="I69" i="20"/>
  <c r="I71" i="20" s="1"/>
  <c r="I62" i="20"/>
  <c r="H65" i="20"/>
  <c r="S70" i="20"/>
  <c r="S72" i="20" s="1"/>
  <c r="S73" i="20" s="1"/>
  <c r="P62" i="20"/>
  <c r="P69" i="20"/>
  <c r="P71" i="20" s="1"/>
  <c r="J69" i="20"/>
  <c r="J71" i="20" s="1"/>
  <c r="J62" i="20"/>
  <c r="BV6" i="3"/>
  <c r="BV26" i="3" s="1"/>
  <c r="BV92" i="1"/>
  <c r="BV88" i="1"/>
  <c r="BS88" i="1"/>
  <c r="BS92" i="1"/>
  <c r="BS6" i="3"/>
  <c r="BS26" i="3" s="1"/>
  <c r="BX90" i="1" l="1"/>
  <c r="CC91" i="1" s="1"/>
  <c r="BX87" i="1"/>
  <c r="AB23" i="18"/>
  <c r="R21" i="20"/>
  <c r="BV91" i="1"/>
  <c r="T21" i="20"/>
  <c r="BS93" i="1"/>
  <c r="BV93" i="1"/>
  <c r="I74" i="20"/>
  <c r="I72" i="20"/>
  <c r="I76" i="20" s="1"/>
  <c r="J74" i="20"/>
  <c r="J72" i="20"/>
  <c r="J76" i="20" s="1"/>
  <c r="O72" i="20"/>
  <c r="O76" i="20" s="1"/>
  <c r="O74" i="20"/>
  <c r="H74" i="20"/>
  <c r="H72" i="20"/>
  <c r="H76" i="20" s="1"/>
  <c r="P74" i="20"/>
  <c r="P72" i="20"/>
  <c r="P76" i="20" s="1"/>
  <c r="Q74" i="20"/>
  <c r="Q72" i="20"/>
  <c r="Q76" i="20" s="1"/>
  <c r="BX92" i="1" l="1"/>
  <c r="CC93" i="1" s="1"/>
  <c r="BX75" i="1"/>
  <c r="AD23" i="18"/>
  <c r="BX91" i="1"/>
  <c r="BX88" i="1"/>
  <c r="BX6" i="3"/>
  <c r="BX26" i="3" s="1"/>
  <c r="BN30" i="9"/>
  <c r="BN27" i="9"/>
  <c r="BN28" i="9" s="1"/>
  <c r="BX76" i="1" l="1"/>
  <c r="BX27" i="3"/>
  <c r="BX99" i="1"/>
  <c r="BX93" i="1"/>
  <c r="BX40" i="3"/>
  <c r="BX43" i="3" s="1"/>
  <c r="BX56" i="3"/>
  <c r="BN95" i="9"/>
  <c r="BN96" i="9" s="1"/>
  <c r="BO27" i="9"/>
  <c r="BO95" i="9" s="1"/>
  <c r="BO30" i="9"/>
  <c r="BQ29" i="9"/>
  <c r="BQ30" i="9" l="1"/>
  <c r="BV36" i="9"/>
  <c r="BQ27" i="9"/>
  <c r="BO96" i="9"/>
  <c r="BQ95" i="9"/>
  <c r="BQ96" i="9" s="1"/>
  <c r="BO28" i="9"/>
  <c r="BR62" i="2" l="1"/>
  <c r="BR40" i="2"/>
  <c r="BR43" i="2" s="1"/>
  <c r="BR44" i="2" s="1"/>
  <c r="BR47" i="2" s="1"/>
  <c r="BR51" i="2"/>
  <c r="BR63" i="2"/>
  <c r="BR56" i="3"/>
  <c r="BR59" i="3" s="1"/>
  <c r="BS58" i="3" s="1"/>
  <c r="BR52" i="2" l="1"/>
  <c r="BW52" i="2"/>
  <c r="BR139" i="1"/>
  <c r="BR140" i="1" s="1"/>
  <c r="BS139" i="1"/>
  <c r="BS140" i="1" s="1"/>
  <c r="BR40" i="3"/>
  <c r="BR43" i="3" s="1"/>
  <c r="BR142" i="1" l="1"/>
  <c r="BW141" i="1"/>
  <c r="BR141" i="1"/>
  <c r="BX141" i="1"/>
  <c r="BW143" i="1"/>
  <c r="BS141" i="1"/>
  <c r="BS142" i="1"/>
  <c r="BU143" i="1"/>
  <c r="BT142" i="1"/>
  <c r="BT143" i="1"/>
  <c r="BY144" i="1" s="1"/>
  <c r="BS143" i="1"/>
  <c r="BX144" i="1" s="1"/>
  <c r="BV140" i="1"/>
  <c r="BR143" i="1"/>
  <c r="BW144" i="1" l="1"/>
  <c r="BW145" i="1"/>
  <c r="BX145" i="1"/>
  <c r="BV141" i="1"/>
  <c r="BU145" i="1"/>
  <c r="BU144" i="1"/>
  <c r="BR144" i="1"/>
  <c r="BR145" i="1"/>
  <c r="BT145" i="1"/>
  <c r="BT144" i="1"/>
  <c r="BS144" i="1"/>
  <c r="BS145" i="1"/>
  <c r="BS13" i="2"/>
  <c r="BS24" i="2" s="1"/>
  <c r="BT13" i="2" l="1"/>
  <c r="BT24" i="2" s="1"/>
  <c r="BS43" i="2"/>
  <c r="BS44" i="2" s="1"/>
  <c r="BS47" i="2" s="1"/>
  <c r="BV6" i="2" l="1"/>
  <c r="BU13" i="2"/>
  <c r="BU24" i="2" s="1"/>
  <c r="BT43" i="2"/>
  <c r="BT44" i="2" s="1"/>
  <c r="BT47" i="2" s="1"/>
  <c r="BV13" i="2" l="1"/>
  <c r="BV24" i="2" s="1"/>
  <c r="BW43" i="2" l="1"/>
  <c r="BW44" i="2" s="1"/>
  <c r="BW47" i="2" s="1"/>
  <c r="BX13" i="2"/>
  <c r="BU43" i="2"/>
  <c r="BX24" i="2" l="1"/>
  <c r="BX43" i="2" s="1"/>
  <c r="BX44" i="2" s="1"/>
  <c r="BX47" i="2" s="1"/>
  <c r="BY13" i="2"/>
  <c r="BU44" i="2"/>
  <c r="BV43" i="2"/>
  <c r="BY24" i="2" l="1"/>
  <c r="BY43" i="2" s="1"/>
  <c r="BY44" i="2" s="1"/>
  <c r="BY47" i="2" s="1"/>
  <c r="BV44" i="2"/>
  <c r="BU47" i="2"/>
  <c r="BS76" i="1" l="1"/>
  <c r="BS9" i="3"/>
  <c r="BS62" i="3" l="1"/>
  <c r="BV9" i="3"/>
  <c r="BS27" i="3"/>
  <c r="BS99" i="1"/>
  <c r="BV56" i="3"/>
  <c r="BV59" i="3" s="1"/>
  <c r="BV27" i="3"/>
  <c r="BV40" i="3"/>
  <c r="BS40" i="3"/>
  <c r="BS43" i="3" s="1"/>
  <c r="BS56" i="3"/>
  <c r="BS59" i="3" s="1"/>
  <c r="BT58" i="3" s="1"/>
  <c r="BT59" i="3" s="1"/>
  <c r="BU58" i="3" s="1"/>
  <c r="BU59" i="3" s="1"/>
  <c r="BV43" i="3" l="1"/>
  <c r="BV41" i="3"/>
  <c r="R13" i="20"/>
  <c r="BV76" i="1"/>
  <c r="BW59" i="3"/>
  <c r="BX58" i="3" s="1"/>
  <c r="BX59" i="3" s="1"/>
  <c r="BY58" i="3" s="1"/>
  <c r="BY59" i="3" s="1"/>
  <c r="BZ58" i="3" s="1"/>
  <c r="CA58" i="3"/>
  <c r="T13" i="20" l="1"/>
  <c r="T14" i="20" s="1"/>
  <c r="R14" i="20"/>
  <c r="CB10" i="9" l="1"/>
  <c r="BW11" i="9"/>
  <c r="CB11" i="9"/>
  <c r="BZ9" i="9"/>
  <c r="CE15" i="9" l="1"/>
  <c r="CE9" i="9" s="1"/>
  <c r="BZ4" i="9"/>
  <c r="CC20" i="9"/>
  <c r="CB19" i="9"/>
  <c r="BZ10" i="9"/>
  <c r="CA9" i="9"/>
  <c r="BZ11" i="9"/>
  <c r="BZ12" i="9" s="1"/>
  <c r="CB12" i="9"/>
  <c r="BW12" i="9"/>
  <c r="CA15" i="9"/>
  <c r="CA16" i="9" s="1"/>
  <c r="BZ95" i="9" l="1"/>
  <c r="CA11" i="9"/>
  <c r="CA12" i="9" s="1"/>
  <c r="CC7" i="1"/>
  <c r="CB6" i="1"/>
  <c r="CE10" i="9"/>
  <c r="CF9" i="9"/>
  <c r="CF4" i="9" s="1"/>
  <c r="CE4" i="9"/>
  <c r="CE18" i="9"/>
  <c r="CB20" i="9"/>
  <c r="BZ19" i="9"/>
  <c r="BZ20" i="9"/>
  <c r="BZ94" i="9"/>
  <c r="CA10" i="9"/>
  <c r="CA4" i="9"/>
  <c r="CA19" i="9" s="1"/>
  <c r="CE11" i="9"/>
  <c r="CF15" i="9"/>
  <c r="CF16" i="9" s="1"/>
  <c r="CF10" i="9" l="1"/>
  <c r="BZ6" i="1"/>
  <c r="BZ7" i="1"/>
  <c r="BZ23" i="1"/>
  <c r="CA5" i="1"/>
  <c r="CA3" i="9" s="1"/>
  <c r="CF19" i="9"/>
  <c r="CE19" i="9"/>
  <c r="CE20" i="9"/>
  <c r="CE94" i="9"/>
  <c r="BZ100" i="9"/>
  <c r="CA94" i="9"/>
  <c r="CE12" i="9"/>
  <c r="CE95" i="9"/>
  <c r="CF11" i="9"/>
  <c r="CF12" i="9" s="1"/>
  <c r="BZ55" i="2" l="1"/>
  <c r="BZ45" i="1"/>
  <c r="BZ56" i="2"/>
  <c r="BZ59" i="2"/>
  <c r="BZ60" i="2"/>
  <c r="BZ62" i="2"/>
  <c r="BZ49" i="1"/>
  <c r="BZ47" i="1"/>
  <c r="BZ40" i="1"/>
  <c r="BZ54" i="1" s="1"/>
  <c r="CA6" i="1"/>
  <c r="CA23" i="1"/>
  <c r="CA28" i="1"/>
  <c r="CA38" i="1" s="1"/>
  <c r="CE100" i="9"/>
  <c r="CE99" i="9"/>
  <c r="BZ138" i="1"/>
  <c r="CA9" i="2"/>
  <c r="CA14" i="2"/>
  <c r="BZ24" i="1"/>
  <c r="AF21" i="18"/>
  <c r="BZ25" i="1"/>
  <c r="CE6" i="1"/>
  <c r="CE7" i="1"/>
  <c r="CE23" i="1"/>
  <c r="CE96" i="9"/>
  <c r="BZ41" i="1" l="1"/>
  <c r="CJ24" i="1"/>
  <c r="V111" i="21"/>
  <c r="W111" i="21" s="1"/>
  <c r="CE56" i="2"/>
  <c r="CE59" i="2"/>
  <c r="CE49" i="1"/>
  <c r="CE60" i="2"/>
  <c r="CE63" i="2"/>
  <c r="CE55" i="2"/>
  <c r="CE62" i="2"/>
  <c r="CE45" i="1"/>
  <c r="CE47" i="1"/>
  <c r="CX16" i="1"/>
  <c r="CA45" i="1"/>
  <c r="CK6" i="1"/>
  <c r="F11" i="24" s="1"/>
  <c r="CA48" i="1"/>
  <c r="CA49" i="1" s="1"/>
  <c r="CE138" i="1"/>
  <c r="AK21" i="18"/>
  <c r="CA40" i="1"/>
  <c r="CA41" i="1" s="1"/>
  <c r="CF28" i="1"/>
  <c r="CE38" i="1"/>
  <c r="CE40" i="1" s="1"/>
  <c r="CE41" i="1" s="1"/>
  <c r="CA29" i="1"/>
  <c r="CA51" i="1"/>
  <c r="CA24" i="1"/>
  <c r="AG21" i="18"/>
  <c r="CA138" i="1"/>
  <c r="CE25" i="1"/>
  <c r="CE24" i="1"/>
  <c r="CF9" i="2"/>
  <c r="CF14" i="2"/>
  <c r="CA46" i="1"/>
  <c r="BZ131" i="1"/>
  <c r="CA27" i="2"/>
  <c r="CA22" i="3"/>
  <c r="CF6" i="1"/>
  <c r="E11" i="24" s="1"/>
  <c r="CA7" i="2"/>
  <c r="CA18" i="3"/>
  <c r="BZ49" i="2"/>
  <c r="CA52" i="1" l="1"/>
  <c r="CA54" i="1" s="1"/>
  <c r="CE52" i="1"/>
  <c r="CE54" i="1" s="1"/>
  <c r="CF29" i="1"/>
  <c r="CF29" i="2"/>
  <c r="CE51" i="2"/>
  <c r="CA47" i="1"/>
  <c r="BZ55" i="1"/>
  <c r="AF31" i="18" s="1"/>
  <c r="BZ66" i="1"/>
  <c r="BZ78" i="1"/>
  <c r="BZ80" i="1" s="1"/>
  <c r="BZ135" i="1"/>
  <c r="BZ133" i="1"/>
  <c r="CF27" i="2"/>
  <c r="CF7" i="2"/>
  <c r="CE49" i="2"/>
  <c r="CG139" i="1" l="1"/>
  <c r="CG140" i="1" s="1"/>
  <c r="CL141" i="1" s="1"/>
  <c r="CJ52" i="2"/>
  <c r="CG49" i="2"/>
  <c r="CE139" i="1"/>
  <c r="CE140" i="1" s="1"/>
  <c r="CA66" i="1"/>
  <c r="CA78" i="1"/>
  <c r="CA55" i="1"/>
  <c r="AG31" i="18" s="1"/>
  <c r="CF33" i="2"/>
  <c r="CE40" i="2"/>
  <c r="CF40" i="2" s="1"/>
  <c r="BZ81" i="1"/>
  <c r="CA79" i="1"/>
  <c r="BZ67" i="1"/>
  <c r="BZ84" i="1"/>
  <c r="CE78" i="1"/>
  <c r="CE80" i="1" s="1"/>
  <c r="CE55" i="1"/>
  <c r="CE66" i="1"/>
  <c r="CH142" i="1" l="1"/>
  <c r="CH143" i="1"/>
  <c r="CG142" i="1"/>
  <c r="AK31" i="18"/>
  <c r="I6" i="23"/>
  <c r="BZ75" i="1"/>
  <c r="BZ86" i="1"/>
  <c r="CG26" i="3"/>
  <c r="CG99" i="1" s="1"/>
  <c r="CE142" i="1"/>
  <c r="CA80" i="1"/>
  <c r="BZ82" i="1"/>
  <c r="BZ90" i="1"/>
  <c r="CA81" i="1"/>
  <c r="CE67" i="1"/>
  <c r="CE84" i="1"/>
  <c r="CA84" i="1"/>
  <c r="CA67" i="1"/>
  <c r="BZ76" i="1" l="1"/>
  <c r="CA75" i="1"/>
  <c r="CA76" i="1" s="1"/>
  <c r="CE76" i="1"/>
  <c r="CE86" i="1"/>
  <c r="CG27" i="3"/>
  <c r="CG56" i="3"/>
  <c r="CG40" i="3"/>
  <c r="CE81" i="1"/>
  <c r="CE82" i="1" s="1"/>
  <c r="CA82" i="1"/>
  <c r="CA90" i="1"/>
  <c r="AF23" i="18"/>
  <c r="BZ91" i="1"/>
  <c r="BZ87" i="1"/>
  <c r="CA85" i="1"/>
  <c r="CG43" i="3" l="1"/>
  <c r="CG41" i="3"/>
  <c r="CE90" i="1"/>
  <c r="CJ91" i="1" s="1"/>
  <c r="CE87" i="1"/>
  <c r="CE92" i="1" s="1"/>
  <c r="CJ93" i="1" s="1"/>
  <c r="BZ6" i="3"/>
  <c r="BZ26" i="3" s="1"/>
  <c r="BZ99" i="1" s="1"/>
  <c r="BZ88" i="1"/>
  <c r="BZ92" i="1"/>
  <c r="BZ93" i="1" s="1"/>
  <c r="CA87" i="1"/>
  <c r="CA86" i="1"/>
  <c r="CA91" i="1"/>
  <c r="AG23" i="18"/>
  <c r="CE91" i="1" l="1"/>
  <c r="AK23" i="18"/>
  <c r="CE6" i="3"/>
  <c r="CE26" i="3" s="1"/>
  <c r="CE88" i="1"/>
  <c r="CE93" i="1"/>
  <c r="CA92" i="1"/>
  <c r="CA93" i="1" s="1"/>
  <c r="CA88" i="1"/>
  <c r="CA6" i="3"/>
  <c r="CE40" i="3" l="1"/>
  <c r="CE99" i="1"/>
  <c r="CE56" i="3"/>
  <c r="CE27" i="3"/>
  <c r="CE43" i="3" l="1"/>
  <c r="CE41" i="3"/>
  <c r="BZ13" i="2"/>
  <c r="CA6" i="2"/>
  <c r="BZ24" i="2" l="1"/>
  <c r="CA13" i="2"/>
  <c r="CA24" i="2" s="1"/>
  <c r="BU94" i="9" l="1"/>
  <c r="BV77" i="9"/>
  <c r="BU97" i="9"/>
  <c r="BV97" i="9" s="1"/>
  <c r="BU100" i="9" l="1"/>
  <c r="BV94" i="9"/>
  <c r="BW100" i="9"/>
  <c r="BZ99" i="9"/>
  <c r="BU99" i="9"/>
  <c r="BZ96" i="9"/>
  <c r="BW80" i="9"/>
  <c r="BV66" i="9"/>
  <c r="BZ79" i="9"/>
  <c r="BZ72" i="9"/>
  <c r="BU71" i="9"/>
  <c r="BU79" i="9"/>
  <c r="BU80" i="9"/>
  <c r="CA99" i="9" l="1"/>
  <c r="BV99" i="9"/>
  <c r="CA72" i="9"/>
  <c r="BV79" i="9"/>
  <c r="CA79" i="9"/>
  <c r="BU72" i="9"/>
  <c r="BV71" i="9"/>
  <c r="BV72" i="9" s="1"/>
  <c r="BU95" i="9"/>
  <c r="BV95" i="9" l="1"/>
  <c r="BV96" i="9" s="1"/>
  <c r="BU96" i="9"/>
  <c r="BW29" i="9" l="1"/>
  <c r="BW27" i="9" s="1"/>
  <c r="CA35" i="9"/>
  <c r="CA36" i="9" s="1"/>
  <c r="CB35" i="9"/>
  <c r="CF35" i="9" s="1"/>
  <c r="CF36" i="9" l="1"/>
  <c r="CA27" i="9"/>
  <c r="BW28" i="9"/>
  <c r="BW95" i="9"/>
  <c r="CB29" i="9"/>
  <c r="BW23" i="9"/>
  <c r="CA29" i="9"/>
  <c r="CA30" i="9" s="1"/>
  <c r="CA23" i="9" l="1"/>
  <c r="BW24" i="9"/>
  <c r="CF29" i="9"/>
  <c r="CF30" i="9" s="1"/>
  <c r="CB23" i="9"/>
  <c r="CB27" i="9"/>
  <c r="BW96" i="9"/>
  <c r="CA95" i="9"/>
  <c r="CA96" i="9" s="1"/>
  <c r="CB95" i="9" l="1"/>
  <c r="CB28" i="9"/>
  <c r="CF27" i="9"/>
  <c r="CB24" i="9"/>
  <c r="CB22" i="9"/>
  <c r="CF23" i="9"/>
  <c r="CA22" i="9"/>
  <c r="CA38" i="9" s="1"/>
  <c r="CA24" i="9"/>
  <c r="CF22" i="9" l="1"/>
  <c r="CF38" i="9" s="1"/>
  <c r="CF24" i="9"/>
  <c r="CB94" i="9"/>
  <c r="CC39" i="9"/>
  <c r="CB38" i="9"/>
  <c r="CB39" i="9"/>
  <c r="CF95" i="9"/>
  <c r="CF96" i="9" s="1"/>
  <c r="CB96" i="9"/>
  <c r="CF8" i="1" l="1"/>
  <c r="CC10" i="1"/>
  <c r="CB9" i="1"/>
  <c r="CF94" i="9"/>
  <c r="CB99" i="9"/>
  <c r="CB100" i="9"/>
  <c r="CC100" i="9"/>
  <c r="CX8" i="1" l="1"/>
  <c r="E4" i="24"/>
  <c r="CB63" i="2"/>
  <c r="CB62" i="2"/>
  <c r="CB56" i="2"/>
  <c r="CB60" i="2"/>
  <c r="CB59" i="2"/>
  <c r="CB55" i="2"/>
  <c r="CB49" i="1"/>
  <c r="CB45" i="1"/>
  <c r="CB47" i="1"/>
  <c r="CG24" i="1"/>
  <c r="AH21" i="18"/>
  <c r="CB138" i="1"/>
  <c r="CF99" i="9"/>
  <c r="CF101" i="9"/>
  <c r="CB38" i="1"/>
  <c r="CB40" i="1" s="1"/>
  <c r="CF32" i="1"/>
  <c r="CF38" i="1" s="1"/>
  <c r="CC25" i="1"/>
  <c r="CB25" i="1"/>
  <c r="CB24" i="1"/>
  <c r="CF9" i="1"/>
  <c r="E5" i="24" s="1"/>
  <c r="CF23" i="1"/>
  <c r="D10" i="26" s="1"/>
  <c r="CV24" i="1" l="1"/>
  <c r="E14" i="24"/>
  <c r="E17" i="24" s="1"/>
  <c r="S113" i="21"/>
  <c r="CF48" i="1"/>
  <c r="CF49" i="1" s="1"/>
  <c r="CX21" i="1"/>
  <c r="CY21" i="1"/>
  <c r="CF44" i="1"/>
  <c r="CF45" i="1" s="1"/>
  <c r="CG25" i="1"/>
  <c r="CB54" i="1"/>
  <c r="CB55" i="1" s="1"/>
  <c r="F6" i="23" s="1"/>
  <c r="CD131" i="1"/>
  <c r="CC131" i="1"/>
  <c r="CB131" i="1"/>
  <c r="CE131" i="1"/>
  <c r="CF138" i="1"/>
  <c r="AL21" i="18"/>
  <c r="CF33" i="1"/>
  <c r="CB41" i="1"/>
  <c r="CB51" i="2"/>
  <c r="CG52" i="2" s="1"/>
  <c r="CB40" i="2"/>
  <c r="CF46" i="1"/>
  <c r="CI131" i="1" s="1"/>
  <c r="CF51" i="1"/>
  <c r="CF24" i="1"/>
  <c r="E15" i="24" s="1"/>
  <c r="CF40" i="1"/>
  <c r="CC49" i="2"/>
  <c r="CB49" i="2"/>
  <c r="CI133" i="1" l="1"/>
  <c r="CI135" i="1"/>
  <c r="CF52" i="1"/>
  <c r="CF54" i="1" s="1"/>
  <c r="CX22" i="1" s="1"/>
  <c r="CY22" i="1"/>
  <c r="CY23" i="1"/>
  <c r="CE135" i="1"/>
  <c r="CE133" i="1"/>
  <c r="CB133" i="1"/>
  <c r="CB135" i="1"/>
  <c r="CC133" i="1"/>
  <c r="CC135" i="1"/>
  <c r="CB52" i="2"/>
  <c r="CC139" i="1"/>
  <c r="CC140" i="1" s="1"/>
  <c r="CD135" i="1"/>
  <c r="CD133" i="1"/>
  <c r="CC26" i="3"/>
  <c r="CC99" i="1" s="1"/>
  <c r="AH31" i="18"/>
  <c r="CB78" i="1"/>
  <c r="CB80" i="1" s="1"/>
  <c r="CB66" i="1"/>
  <c r="CF41" i="1"/>
  <c r="CF47" i="1"/>
  <c r="CY25" i="1" l="1"/>
  <c r="CY26" i="1" s="1"/>
  <c r="CY27" i="1" s="1"/>
  <c r="CH141" i="1"/>
  <c r="CG143" i="1"/>
  <c r="CC56" i="3"/>
  <c r="CC40" i="3"/>
  <c r="CC141" i="1"/>
  <c r="CD142" i="1"/>
  <c r="CC27" i="3"/>
  <c r="CF55" i="1"/>
  <c r="CF66" i="1"/>
  <c r="CF78" i="1"/>
  <c r="CB67" i="1"/>
  <c r="CB84" i="1"/>
  <c r="CB86" i="1" s="1"/>
  <c r="CC43" i="3" l="1"/>
  <c r="CC41" i="3"/>
  <c r="CH145" i="1"/>
  <c r="AL31" i="18"/>
  <c r="J6" i="23"/>
  <c r="CF79" i="1"/>
  <c r="CF80" i="1" s="1"/>
  <c r="CB81" i="1"/>
  <c r="CB82" i="1" s="1"/>
  <c r="CF67" i="1"/>
  <c r="CF84" i="1"/>
  <c r="CF81" i="1" l="1"/>
  <c r="CF82" i="1" s="1"/>
  <c r="CF85" i="1"/>
  <c r="CF87" i="1" s="1"/>
  <c r="CB90" i="1"/>
  <c r="CG91" i="1" s="1"/>
  <c r="CB87" i="1"/>
  <c r="CB75" i="1" l="1"/>
  <c r="CF90" i="1"/>
  <c r="D13" i="26" s="1"/>
  <c r="CF86" i="1"/>
  <c r="CB91" i="1"/>
  <c r="AH23" i="18"/>
  <c r="CB6" i="3"/>
  <c r="CB88" i="1"/>
  <c r="CB92" i="1"/>
  <c r="CF88" i="1"/>
  <c r="CF6" i="3"/>
  <c r="CF92" i="1"/>
  <c r="CB76" i="1" l="1"/>
  <c r="CF75" i="1"/>
  <c r="CF91" i="1"/>
  <c r="AL23" i="18"/>
  <c r="CB93" i="1"/>
  <c r="CG93" i="1"/>
  <c r="CF93" i="1"/>
  <c r="BZ40" i="2"/>
  <c r="CA24" i="3"/>
  <c r="CA26" i="3" s="1"/>
  <c r="CA40" i="3" s="1"/>
  <c r="BZ51" i="2"/>
  <c r="BZ52" i="2" s="1"/>
  <c r="BZ63" i="2"/>
  <c r="CA29" i="2"/>
  <c r="CF76" i="1" l="1"/>
  <c r="D11" i="26"/>
  <c r="D12" i="26" s="1"/>
  <c r="BZ139" i="1"/>
  <c r="BZ140" i="1" s="1"/>
  <c r="BZ143" i="1" s="1"/>
  <c r="CA43" i="3"/>
  <c r="CA41" i="3"/>
  <c r="CF26" i="3"/>
  <c r="CB26" i="3"/>
  <c r="CB99" i="1" s="1"/>
  <c r="BZ27" i="3"/>
  <c r="BZ40" i="3"/>
  <c r="BZ43" i="3" s="1"/>
  <c r="BZ56" i="3"/>
  <c r="BZ59" i="3" s="1"/>
  <c r="CA40" i="2"/>
  <c r="BZ43" i="2"/>
  <c r="CB139" i="1"/>
  <c r="CB140" i="1" s="1"/>
  <c r="CG141" i="1" s="1"/>
  <c r="CA56" i="3"/>
  <c r="CA59" i="3" s="1"/>
  <c r="CA33" i="2"/>
  <c r="CE52" i="2"/>
  <c r="CA27" i="3"/>
  <c r="CA140" i="1" l="1"/>
  <c r="CA141" i="1" s="1"/>
  <c r="BZ141" i="1"/>
  <c r="CE141" i="1"/>
  <c r="BZ142" i="1"/>
  <c r="CB56" i="3"/>
  <c r="CB27" i="3"/>
  <c r="CB40" i="3"/>
  <c r="CF58" i="3"/>
  <c r="CA43" i="2"/>
  <c r="BZ44" i="2"/>
  <c r="CF27" i="3"/>
  <c r="CF40" i="3"/>
  <c r="CF56" i="3"/>
  <c r="CE143" i="1"/>
  <c r="CG145" i="1" s="1"/>
  <c r="CB143" i="1"/>
  <c r="CG144" i="1" s="1"/>
  <c r="CB142" i="1"/>
  <c r="CC143" i="1"/>
  <c r="CH144" i="1" s="1"/>
  <c r="CC142" i="1"/>
  <c r="CF140" i="1"/>
  <c r="CB141" i="1"/>
  <c r="CD143" i="1"/>
  <c r="BZ145" i="1"/>
  <c r="BZ144" i="1"/>
  <c r="CF41" i="3" l="1"/>
  <c r="D14" i="26"/>
  <c r="D15" i="26" s="1"/>
  <c r="CB43" i="3"/>
  <c r="CB41" i="3"/>
  <c r="CF141" i="1"/>
  <c r="CI143" i="1"/>
  <c r="CF59" i="3"/>
  <c r="CK58" i="3" s="1"/>
  <c r="CC144" i="1"/>
  <c r="CC145" i="1"/>
  <c r="BZ47" i="2"/>
  <c r="CA44" i="2"/>
  <c r="CB145" i="1"/>
  <c r="CB144" i="1"/>
  <c r="CE144" i="1"/>
  <c r="CE145" i="1"/>
  <c r="CD145" i="1"/>
  <c r="CD144" i="1"/>
  <c r="CF43" i="3"/>
  <c r="CB59" i="3"/>
  <c r="CC58" i="3" s="1"/>
  <c r="CC59" i="3" s="1"/>
  <c r="CD58" i="3" s="1"/>
  <c r="CD59" i="3" s="1"/>
  <c r="CE58" i="3" s="1"/>
  <c r="CE59" i="3" s="1"/>
  <c r="CG58" i="3" s="1"/>
  <c r="CI145" i="1" l="1"/>
  <c r="CI144" i="1"/>
  <c r="CG59" i="3"/>
  <c r="CB13" i="2"/>
  <c r="CB24" i="2" s="1"/>
  <c r="CH58" i="3" l="1"/>
  <c r="CH59" i="3" s="1"/>
  <c r="CC13" i="2"/>
  <c r="CC24" i="2" s="1"/>
  <c r="CB43" i="2"/>
  <c r="CB44" i="2" s="1"/>
  <c r="CB47" i="2" s="1"/>
  <c r="CI58" i="3" l="1"/>
  <c r="CI59" i="3" s="1"/>
  <c r="CJ58" i="3" s="1"/>
  <c r="CJ59" i="3" s="1"/>
  <c r="CL58" i="3" s="1"/>
  <c r="CL59" i="3" s="1"/>
  <c r="CD13" i="2"/>
  <c r="CD24" i="2" s="1"/>
  <c r="CC43" i="2"/>
  <c r="CC44" i="2" s="1"/>
  <c r="CC47" i="2" s="1"/>
  <c r="CE13" i="2" l="1"/>
  <c r="CF6" i="2"/>
  <c r="CD43" i="2"/>
  <c r="CD44" i="2" s="1"/>
  <c r="CD47" i="2" s="1"/>
  <c r="CG13" i="2" l="1"/>
  <c r="CG24" i="2" s="1"/>
  <c r="CG43" i="2" s="1"/>
  <c r="CG44" i="2" s="1"/>
  <c r="CG47" i="2" s="1"/>
  <c r="CH100" i="1"/>
  <c r="CH101" i="1" s="1"/>
  <c r="CE24" i="2"/>
  <c r="CF13" i="2"/>
  <c r="CF24" i="2" s="1"/>
  <c r="CI100" i="1" l="1"/>
  <c r="CI101" i="1" s="1"/>
  <c r="CE43" i="2"/>
  <c r="CF43" i="2" l="1"/>
  <c r="CE44" i="2"/>
  <c r="CF44" i="2" l="1"/>
  <c r="CE47" i="2"/>
  <c r="T46" i="21" l="1"/>
  <c r="T57" i="21"/>
  <c r="T58" i="21" s="1"/>
  <c r="T65" i="21"/>
  <c r="T77" i="21" s="1"/>
  <c r="T82" i="21" l="1"/>
  <c r="T78" i="21"/>
  <c r="T66" i="21"/>
  <c r="T83" i="21" l="1"/>
  <c r="T41" i="21"/>
  <c r="V41" i="21" s="1"/>
  <c r="AA42" i="21" s="1"/>
  <c r="Y45" i="21" l="1"/>
  <c r="Y57" i="21" s="1"/>
  <c r="Y58" i="21" s="1"/>
  <c r="Y42" i="21"/>
  <c r="V3" i="21"/>
  <c r="AA4" i="21" s="1"/>
  <c r="V42" i="21"/>
  <c r="V45" i="21"/>
  <c r="V65" i="21" s="1"/>
  <c r="W65" i="21" s="1"/>
  <c r="W41" i="21"/>
  <c r="W42" i="21" s="1"/>
  <c r="T42" i="21"/>
  <c r="T3" i="21"/>
  <c r="Y46" i="21" l="1"/>
  <c r="Y65" i="21"/>
  <c r="Y66" i="21"/>
  <c r="Y77" i="21"/>
  <c r="AF41" i="21"/>
  <c r="W3" i="21"/>
  <c r="W4" i="21" s="1"/>
  <c r="T4" i="21"/>
  <c r="T7" i="21"/>
  <c r="V46" i="21"/>
  <c r="V57" i="21"/>
  <c r="V58" i="21" s="1"/>
  <c r="W45" i="21"/>
  <c r="V7" i="21"/>
  <c r="V4" i="21"/>
  <c r="AK41" i="21" l="1"/>
  <c r="Y78" i="21"/>
  <c r="AB77" i="21"/>
  <c r="V8" i="21"/>
  <c r="AA8" i="21"/>
  <c r="W46" i="21"/>
  <c r="W57" i="21"/>
  <c r="W58" i="21" s="1"/>
  <c r="V77" i="21"/>
  <c r="W77" i="21" s="1"/>
  <c r="V66" i="21"/>
  <c r="W66" i="21"/>
  <c r="W7" i="21"/>
  <c r="W8" i="21" s="1"/>
  <c r="T8" i="21"/>
  <c r="AK3" i="21" l="1"/>
  <c r="AK7" i="21" s="1"/>
  <c r="AF4" i="21"/>
  <c r="AF7" i="21"/>
  <c r="AF8" i="21" s="1"/>
  <c r="V78" i="21"/>
  <c r="V82" i="21"/>
  <c r="W78" i="21"/>
  <c r="AA66" i="21"/>
  <c r="AK4" i="21" l="1"/>
  <c r="AK8" i="21"/>
  <c r="V83" i="21"/>
  <c r="W82" i="21"/>
  <c r="W83" i="21" s="1"/>
  <c r="CK8" i="1"/>
  <c r="F4" i="24" s="1"/>
  <c r="AA78" i="21"/>
  <c r="AA82" i="21"/>
  <c r="CK32" i="1" l="1"/>
  <c r="CK38" i="1" s="1"/>
  <c r="AA83" i="21"/>
  <c r="CK9" i="1"/>
  <c r="F5" i="24" s="1"/>
  <c r="CK23" i="1"/>
  <c r="E10" i="26" s="1"/>
  <c r="E12" i="26" s="1"/>
  <c r="CY8" i="1"/>
  <c r="CY9" i="1" s="1"/>
  <c r="CK14" i="2"/>
  <c r="AP21" i="18"/>
  <c r="CK9" i="2"/>
  <c r="CJ98" i="1"/>
  <c r="F14" i="24" l="1"/>
  <c r="F17" i="24" s="1"/>
  <c r="CL25" i="1"/>
  <c r="CK44" i="1"/>
  <c r="CK45" i="1" s="1"/>
  <c r="CK48" i="1"/>
  <c r="CK49" i="1" s="1"/>
  <c r="CK33" i="1"/>
  <c r="CK7" i="2"/>
  <c r="CL49" i="2" s="1"/>
  <c r="CK138" i="1"/>
  <c r="CK24" i="1"/>
  <c r="F15" i="24" s="1"/>
  <c r="CK51" i="1"/>
  <c r="AQ21" i="18"/>
  <c r="CK40" i="1"/>
  <c r="CK27" i="2"/>
  <c r="CK46" i="1"/>
  <c r="CM131" i="1" s="1"/>
  <c r="CK29" i="2"/>
  <c r="CJ139" i="1"/>
  <c r="CJ140" i="1" s="1"/>
  <c r="G15" i="24" l="1"/>
  <c r="CM135" i="1"/>
  <c r="CM133" i="1"/>
  <c r="CL143" i="1"/>
  <c r="CL142" i="1"/>
  <c r="CJ142" i="1"/>
  <c r="CJ143" i="1"/>
  <c r="CJ141" i="1"/>
  <c r="CK47" i="1"/>
  <c r="CK52" i="1"/>
  <c r="CK54" i="1" s="1"/>
  <c r="CK33" i="2"/>
  <c r="CK40" i="2"/>
  <c r="CK41" i="1"/>
  <c r="CL145" i="1" l="1"/>
  <c r="CL144" i="1"/>
  <c r="CJ145" i="1"/>
  <c r="CJ144" i="1"/>
  <c r="CL99" i="1"/>
  <c r="CK140" i="1"/>
  <c r="CK141" i="1" s="1"/>
  <c r="CK55" i="1"/>
  <c r="CK78" i="1"/>
  <c r="CK66" i="1"/>
  <c r="AP31" i="18"/>
  <c r="N6" i="23"/>
  <c r="CK79" i="1" l="1"/>
  <c r="CK80" i="1" s="1"/>
  <c r="O6" i="23"/>
  <c r="O8" i="23" s="1"/>
  <c r="AQ31" i="18"/>
  <c r="CK85" i="1"/>
  <c r="CK67" i="1"/>
  <c r="CK84" i="1"/>
  <c r="CK81" i="1"/>
  <c r="CJ99" i="1" l="1"/>
  <c r="CK86" i="1"/>
  <c r="CK90" i="1"/>
  <c r="E13" i="26" s="1"/>
  <c r="CK82" i="1"/>
  <c r="CK76" i="1"/>
  <c r="CK87" i="1"/>
  <c r="CK88" i="1" l="1"/>
  <c r="CK6" i="3"/>
  <c r="CK26" i="3" s="1"/>
  <c r="CK92" i="1"/>
  <c r="CK93" i="1" s="1"/>
  <c r="AQ23" i="18"/>
  <c r="CK91" i="1"/>
  <c r="AP23" i="18"/>
  <c r="CJ100" i="1" l="1"/>
  <c r="CJ101" i="1" s="1"/>
  <c r="CK56" i="3"/>
  <c r="CK59" i="3" s="1"/>
  <c r="CK27" i="3"/>
  <c r="CK40" i="3"/>
  <c r="E14" i="26" s="1"/>
  <c r="E15" i="26" s="1"/>
  <c r="CK6" i="2" l="1"/>
  <c r="CL100" i="1" s="1"/>
  <c r="CL101" i="1" s="1"/>
  <c r="CK43" i="3"/>
  <c r="CK41" i="3"/>
  <c r="CP58" i="3"/>
  <c r="CM58" i="3"/>
  <c r="CK13" i="2" l="1"/>
  <c r="CK24" i="2" s="1"/>
  <c r="CK43" i="2" l="1"/>
  <c r="CK44" i="2" l="1"/>
  <c r="AB41" i="21"/>
  <c r="AB42" i="21" s="1"/>
  <c r="Y7" i="21"/>
  <c r="Y8" i="21" l="1"/>
  <c r="AB7" i="21"/>
  <c r="AB8" i="21" s="1"/>
  <c r="Y4" i="21"/>
  <c r="AB3" i="21"/>
  <c r="AB4" i="21" s="1"/>
  <c r="AD45" i="21" l="1"/>
  <c r="AD46" i="21" s="1"/>
  <c r="AI41" i="21"/>
  <c r="AD77" i="21"/>
  <c r="AG41" i="21"/>
  <c r="AG42" i="21" s="1"/>
  <c r="AD57" i="21" l="1"/>
  <c r="AD58" i="21" s="1"/>
  <c r="AI45" i="21"/>
  <c r="AI65" i="21" s="1"/>
  <c r="AL41" i="21"/>
  <c r="AL42" i="21" s="1"/>
  <c r="AI3" i="21"/>
  <c r="CM10" i="1"/>
  <c r="CM9" i="1"/>
  <c r="CM23" i="1"/>
  <c r="AB65" i="21"/>
  <c r="AB66" i="21" s="1"/>
  <c r="AD78" i="21"/>
  <c r="AG3" i="21"/>
  <c r="AG4" i="21" s="1"/>
  <c r="AD4" i="21"/>
  <c r="AD8" i="21"/>
  <c r="AD82" i="21"/>
  <c r="AD66" i="21"/>
  <c r="CN25" i="1" l="1"/>
  <c r="AD111" i="21"/>
  <c r="CM138" i="1"/>
  <c r="CM60" i="2"/>
  <c r="CM62" i="2"/>
  <c r="CM56" i="2"/>
  <c r="CM63" i="2"/>
  <c r="CM55" i="2"/>
  <c r="CM59" i="2"/>
  <c r="CM47" i="1"/>
  <c r="CM45" i="1"/>
  <c r="CM49" i="1"/>
  <c r="AI7" i="21"/>
  <c r="AI4" i="21"/>
  <c r="AL3" i="21"/>
  <c r="AL4" i="21" s="1"/>
  <c r="AI46" i="21"/>
  <c r="AI57" i="21"/>
  <c r="AI58" i="21" s="1"/>
  <c r="CM1" i="1"/>
  <c r="AS21" i="18"/>
  <c r="CM25" i="1"/>
  <c r="CM24" i="1"/>
  <c r="CM38" i="1"/>
  <c r="CM40" i="1" s="1"/>
  <c r="AB78" i="21"/>
  <c r="Y82" i="21"/>
  <c r="AD83" i="21" s="1"/>
  <c r="AG7" i="21"/>
  <c r="AG8" i="21" s="1"/>
  <c r="CM33" i="2" l="1"/>
  <c r="CM40" i="2" s="1"/>
  <c r="CR8" i="1"/>
  <c r="CR104" i="1" s="1"/>
  <c r="AI66" i="21"/>
  <c r="AI77" i="21"/>
  <c r="AI8" i="21"/>
  <c r="AL7" i="21"/>
  <c r="AL8" i="21" s="1"/>
  <c r="CM41" i="1"/>
  <c r="CM49" i="2"/>
  <c r="CN49" i="2"/>
  <c r="CM52" i="1"/>
  <c r="CM54" i="1" s="1"/>
  <c r="CM51" i="2"/>
  <c r="Y83" i="21"/>
  <c r="AB82" i="21"/>
  <c r="AB83" i="21" s="1"/>
  <c r="CM52" i="2" l="1"/>
  <c r="CM139" i="1"/>
  <c r="CM140" i="1" s="1"/>
  <c r="AI78" i="21"/>
  <c r="AI82" i="21"/>
  <c r="CR10" i="1"/>
  <c r="CR23" i="1"/>
  <c r="AX21" i="18" s="1"/>
  <c r="CR32" i="1"/>
  <c r="CS10" i="1"/>
  <c r="CR9" i="1"/>
  <c r="CM55" i="1"/>
  <c r="AS31" i="18" s="1"/>
  <c r="CM78" i="1"/>
  <c r="CM80" i="1" s="1"/>
  <c r="CM66" i="1"/>
  <c r="CM141" i="1" l="1"/>
  <c r="CM142" i="1"/>
  <c r="CM143" i="1"/>
  <c r="CR27" i="2"/>
  <c r="CR7" i="2"/>
  <c r="CR29" i="2"/>
  <c r="CR44" i="1"/>
  <c r="CR9" i="2"/>
  <c r="CR14" i="2"/>
  <c r="CR48" i="1"/>
  <c r="CR25" i="1"/>
  <c r="CR46" i="1"/>
  <c r="CS25" i="1"/>
  <c r="CR24" i="1"/>
  <c r="CR38" i="1"/>
  <c r="CR40" i="1" s="1"/>
  <c r="CR41" i="1" s="1"/>
  <c r="CR1" i="1"/>
  <c r="AI83" i="21"/>
  <c r="CM67" i="1"/>
  <c r="CM84" i="1"/>
  <c r="CM86" i="1" s="1"/>
  <c r="CM144" i="1" l="1"/>
  <c r="CM145" i="1"/>
  <c r="CR33" i="2"/>
  <c r="CR40" i="2" s="1"/>
  <c r="CR24" i="3"/>
  <c r="CS24" i="3"/>
  <c r="CR51" i="2"/>
  <c r="CR52" i="2" s="1"/>
  <c r="CR52" i="1"/>
  <c r="CR54" i="1" s="1"/>
  <c r="CR49" i="2"/>
  <c r="CS49" i="2"/>
  <c r="CS18" i="3"/>
  <c r="CR18" i="3"/>
  <c r="CR22" i="3"/>
  <c r="CS22" i="3"/>
  <c r="CM81" i="1"/>
  <c r="CR66" i="1" l="1"/>
  <c r="CR55" i="1"/>
  <c r="AX31" i="18" s="1"/>
  <c r="CR78" i="1"/>
  <c r="CR79" i="1" s="1"/>
  <c r="CM87" i="1"/>
  <c r="CM88" i="1" s="1"/>
  <c r="CM82" i="1"/>
  <c r="CM90" i="1"/>
  <c r="CR81" i="1" l="1"/>
  <c r="CR84" i="1"/>
  <c r="CR67" i="1"/>
  <c r="CM6" i="3"/>
  <c r="CM92" i="1"/>
  <c r="CM91" i="1"/>
  <c r="AS23" i="18"/>
  <c r="CR85" i="1" l="1"/>
  <c r="CR90" i="1"/>
  <c r="CR82" i="1"/>
  <c r="CM93" i="1"/>
  <c r="CR91" i="1" l="1"/>
  <c r="AX23" i="18"/>
  <c r="CR87" i="1"/>
  <c r="CR6" i="3" l="1"/>
  <c r="CR88" i="1"/>
  <c r="CR92" i="1"/>
  <c r="CR93" i="1" s="1"/>
  <c r="AB43" i="21" l="1"/>
  <c r="AB44" i="21" s="1"/>
  <c r="AA45" i="21"/>
  <c r="AB45" i="21" s="1"/>
  <c r="AB46" i="21" l="1"/>
  <c r="AB57" i="21"/>
  <c r="AB58" i="21" s="1"/>
  <c r="AA46" i="21"/>
  <c r="AA57" i="21"/>
  <c r="AA58" i="21" s="1"/>
  <c r="AA44" i="21"/>
  <c r="AK43" i="21" l="1"/>
  <c r="AK36" i="21" s="1"/>
  <c r="AF36" i="21"/>
  <c r="AG43" i="21"/>
  <c r="AG44" i="21" s="1"/>
  <c r="AF45" i="21"/>
  <c r="AF65" i="21" s="1"/>
  <c r="AK5" i="21" l="1"/>
  <c r="AK45" i="21"/>
  <c r="AK65" i="21" s="1"/>
  <c r="AL43" i="21"/>
  <c r="AL44" i="21" s="1"/>
  <c r="AK9" i="21"/>
  <c r="AK6" i="21"/>
  <c r="AL5" i="21"/>
  <c r="AF6" i="21"/>
  <c r="AG5" i="21"/>
  <c r="AG6" i="21" s="1"/>
  <c r="AF9" i="21"/>
  <c r="AF57" i="21"/>
  <c r="AF58" i="21" s="1"/>
  <c r="AF46" i="21"/>
  <c r="AG45" i="21"/>
  <c r="AL45" i="21" l="1"/>
  <c r="AK46" i="21"/>
  <c r="AK57" i="21"/>
  <c r="AK58" i="21" s="1"/>
  <c r="AL46" i="21"/>
  <c r="AL57" i="21"/>
  <c r="AK77" i="21"/>
  <c r="AK66" i="21"/>
  <c r="CT8" i="1"/>
  <c r="CT104" i="1" s="1"/>
  <c r="CU104" i="1" s="1"/>
  <c r="AL65" i="21"/>
  <c r="AL6" i="21"/>
  <c r="AK10" i="21"/>
  <c r="AL9" i="21"/>
  <c r="AF66" i="21"/>
  <c r="AG65" i="21"/>
  <c r="AG66" i="21" s="1"/>
  <c r="AF77" i="21"/>
  <c r="CO8" i="1"/>
  <c r="AG57" i="21"/>
  <c r="AG58" i="21" s="1"/>
  <c r="AG46" i="21"/>
  <c r="AF10" i="21"/>
  <c r="AG9" i="21"/>
  <c r="AG10" i="21" s="1"/>
  <c r="CO23" i="1" l="1"/>
  <c r="CO33" i="1"/>
  <c r="CO104" i="1"/>
  <c r="CP104" i="1" s="1"/>
  <c r="CU120" i="1" s="1"/>
  <c r="K6" i="12"/>
  <c r="AL10" i="21"/>
  <c r="AL58" i="21"/>
  <c r="AL66" i="21"/>
  <c r="CT32" i="1"/>
  <c r="CT10" i="1"/>
  <c r="CT23" i="1"/>
  <c r="CU8" i="1"/>
  <c r="AK78" i="21"/>
  <c r="AK82" i="21"/>
  <c r="AL77" i="21"/>
  <c r="CT9" i="1"/>
  <c r="CQ10" i="1"/>
  <c r="AF78" i="21"/>
  <c r="AG77" i="21"/>
  <c r="AG78" i="21" s="1"/>
  <c r="AF82" i="21"/>
  <c r="CO10" i="1"/>
  <c r="CO9" i="1"/>
  <c r="K16" i="12"/>
  <c r="CP8" i="1"/>
  <c r="L30" i="26" s="1"/>
  <c r="AF111" i="21" l="1"/>
  <c r="CO56" i="2"/>
  <c r="CO59" i="2"/>
  <c r="CO63" i="2"/>
  <c r="CO60" i="2"/>
  <c r="CO62" i="2"/>
  <c r="CO49" i="1"/>
  <c r="CO45" i="1"/>
  <c r="CO55" i="2"/>
  <c r="CO47" i="1"/>
  <c r="CO40" i="1"/>
  <c r="H6" i="12"/>
  <c r="I6" i="12" s="1"/>
  <c r="L6" i="12"/>
  <c r="E6" i="12"/>
  <c r="F6" i="12" s="1"/>
  <c r="K11" i="12"/>
  <c r="E16" i="12"/>
  <c r="F16" i="12" s="1"/>
  <c r="L16" i="12"/>
  <c r="H16" i="12"/>
  <c r="I16" i="12" s="1"/>
  <c r="K19" i="12"/>
  <c r="M30" i="26"/>
  <c r="G4" i="24"/>
  <c r="G17" i="24" s="1"/>
  <c r="CY2" i="1"/>
  <c r="CX2" i="1"/>
  <c r="CT1" i="1"/>
  <c r="AZ21" i="18"/>
  <c r="CT24" i="1"/>
  <c r="CU9" i="1"/>
  <c r="AL78" i="21"/>
  <c r="CU23" i="1"/>
  <c r="G10" i="26" s="1"/>
  <c r="CT38" i="1"/>
  <c r="CT40" i="1" s="1"/>
  <c r="CT41" i="1" s="1"/>
  <c r="CU32" i="1"/>
  <c r="CU38" i="1" s="1"/>
  <c r="AK83" i="21"/>
  <c r="AL82" i="21"/>
  <c r="CT14" i="2"/>
  <c r="CU14" i="2" s="1"/>
  <c r="CT27" i="2"/>
  <c r="CT29" i="2"/>
  <c r="CT48" i="1"/>
  <c r="CU48" i="1" s="1"/>
  <c r="CT7" i="2"/>
  <c r="CT9" i="2"/>
  <c r="CU9" i="2" s="1"/>
  <c r="CT46" i="1"/>
  <c r="CT44" i="1"/>
  <c r="CU44" i="1" s="1"/>
  <c r="CT25" i="1"/>
  <c r="CO25" i="1"/>
  <c r="AU21" i="18"/>
  <c r="CO24" i="1"/>
  <c r="CP9" i="2"/>
  <c r="CP14" i="2"/>
  <c r="CP9" i="1"/>
  <c r="CP23" i="1"/>
  <c r="F10" i="26" s="1"/>
  <c r="CP32" i="1"/>
  <c r="L31" i="26" s="1"/>
  <c r="M31" i="26" s="1"/>
  <c r="CO1" i="1"/>
  <c r="AF83" i="21"/>
  <c r="AG82" i="21"/>
  <c r="AG83" i="21" s="1"/>
  <c r="CO54" i="1" l="1"/>
  <c r="CO41" i="1"/>
  <c r="H19" i="12"/>
  <c r="I19" i="12" s="1"/>
  <c r="L19" i="12"/>
  <c r="E19" i="12"/>
  <c r="F19" i="12" s="1"/>
  <c r="L11" i="12"/>
  <c r="E11" i="12"/>
  <c r="F11" i="12" s="1"/>
  <c r="H11" i="12"/>
  <c r="I11" i="12" s="1"/>
  <c r="K21" i="12"/>
  <c r="CP48" i="1"/>
  <c r="CP49" i="1" s="1"/>
  <c r="K26" i="12"/>
  <c r="CP44" i="1"/>
  <c r="CP45" i="1" s="1"/>
  <c r="K25" i="12"/>
  <c r="CP33" i="1"/>
  <c r="L32" i="26"/>
  <c r="L33" i="26" s="1"/>
  <c r="M32" i="26"/>
  <c r="M33" i="26" s="1"/>
  <c r="CY4" i="1"/>
  <c r="CP38" i="1"/>
  <c r="CP40" i="1" s="1"/>
  <c r="CU49" i="1"/>
  <c r="CU1" i="1"/>
  <c r="BA21" i="18"/>
  <c r="CO33" i="2"/>
  <c r="CU45" i="1"/>
  <c r="CT33" i="2"/>
  <c r="CU29" i="2"/>
  <c r="CT24" i="3"/>
  <c r="CT51" i="2"/>
  <c r="CT49" i="2"/>
  <c r="CU7" i="2"/>
  <c r="CT18" i="3"/>
  <c r="CT22" i="3"/>
  <c r="CU27" i="2"/>
  <c r="AL83" i="21"/>
  <c r="CT52" i="1"/>
  <c r="CT54" i="1" s="1"/>
  <c r="CU46" i="1"/>
  <c r="CU40" i="1"/>
  <c r="CU41" i="1" s="1"/>
  <c r="CU51" i="1"/>
  <c r="CU33" i="1"/>
  <c r="CQ25" i="1"/>
  <c r="CU24" i="1"/>
  <c r="CP29" i="2"/>
  <c r="CQ24" i="3" s="1"/>
  <c r="CO51" i="2"/>
  <c r="CO52" i="2" s="1"/>
  <c r="CP24" i="3"/>
  <c r="CP7" i="2"/>
  <c r="CO49" i="2"/>
  <c r="CP18" i="3"/>
  <c r="CP46" i="1"/>
  <c r="CP27" i="2"/>
  <c r="CQ22" i="3" s="1"/>
  <c r="CP22" i="3"/>
  <c r="CP24" i="1"/>
  <c r="CP51" i="1"/>
  <c r="AV21" i="18"/>
  <c r="CP1" i="1"/>
  <c r="CO66" i="1" l="1"/>
  <c r="CO78" i="1"/>
  <c r="CO55" i="1"/>
  <c r="H21" i="12"/>
  <c r="I21" i="12" s="1"/>
  <c r="L21" i="12"/>
  <c r="K22" i="12"/>
  <c r="E21" i="12"/>
  <c r="F21" i="12" s="1"/>
  <c r="E25" i="12"/>
  <c r="F25" i="12" s="1"/>
  <c r="H25" i="12"/>
  <c r="I25" i="12" s="1"/>
  <c r="L25" i="12"/>
  <c r="K28" i="12"/>
  <c r="K30" i="12" s="1"/>
  <c r="L26" i="12"/>
  <c r="H26" i="12"/>
  <c r="I26" i="12" s="1"/>
  <c r="E26" i="12"/>
  <c r="F26" i="12" s="1"/>
  <c r="CU24" i="3"/>
  <c r="CT52" i="2"/>
  <c r="CU52" i="1"/>
  <c r="CU54" i="1" s="1"/>
  <c r="CU47" i="1"/>
  <c r="CQ18" i="3"/>
  <c r="CQ49" i="2"/>
  <c r="CT78" i="1"/>
  <c r="CT79" i="1" s="1"/>
  <c r="CT66" i="1"/>
  <c r="CT55" i="1"/>
  <c r="AZ31" i="18" s="1"/>
  <c r="CU33" i="2"/>
  <c r="CT40" i="2"/>
  <c r="CU40" i="2" s="1"/>
  <c r="CU22" i="3"/>
  <c r="AU31" i="18"/>
  <c r="CP33" i="2"/>
  <c r="CO40" i="2"/>
  <c r="CP40" i="2" s="1"/>
  <c r="CP52" i="1"/>
  <c r="CP54" i="1" s="1"/>
  <c r="CP47" i="1"/>
  <c r="CP41" i="1"/>
  <c r="CO81" i="1" l="1"/>
  <c r="CO80" i="1"/>
  <c r="CO84" i="1"/>
  <c r="CO67" i="1"/>
  <c r="K31" i="12"/>
  <c r="E30" i="12"/>
  <c r="F30" i="12" s="1"/>
  <c r="H30" i="12"/>
  <c r="I30" i="12" s="1"/>
  <c r="K35" i="12"/>
  <c r="L30" i="12"/>
  <c r="K40" i="12"/>
  <c r="H22" i="12"/>
  <c r="E22" i="12"/>
  <c r="F22" i="12" s="1"/>
  <c r="L28" i="12"/>
  <c r="E28" i="12"/>
  <c r="F28" i="12" s="1"/>
  <c r="H28" i="12"/>
  <c r="I28" i="12" s="1"/>
  <c r="CT81" i="1"/>
  <c r="CU79" i="1"/>
  <c r="CT84" i="1"/>
  <c r="CT67" i="1"/>
  <c r="CU78" i="1"/>
  <c r="CU66" i="1"/>
  <c r="CU55" i="1"/>
  <c r="BA31" i="18" s="1"/>
  <c r="CU18" i="3"/>
  <c r="CP55" i="1"/>
  <c r="AV31" i="18" s="1"/>
  <c r="CP78" i="1"/>
  <c r="CP66" i="1"/>
  <c r="CO87" i="1" l="1"/>
  <c r="CO86" i="1"/>
  <c r="CO82" i="1"/>
  <c r="CO90" i="1"/>
  <c r="CO91" i="1" s="1"/>
  <c r="E40" i="12"/>
  <c r="F40" i="12" s="1"/>
  <c r="L40" i="12"/>
  <c r="H40" i="12"/>
  <c r="I40" i="12" s="1"/>
  <c r="K44" i="12"/>
  <c r="K36" i="12"/>
  <c r="L35" i="12"/>
  <c r="E35" i="12"/>
  <c r="F35" i="12" s="1"/>
  <c r="H35" i="12"/>
  <c r="I35" i="12" s="1"/>
  <c r="CP79" i="1"/>
  <c r="CP80" i="1" s="1"/>
  <c r="K41" i="12"/>
  <c r="K42" i="12" s="1"/>
  <c r="H31" i="12"/>
  <c r="E31" i="12"/>
  <c r="F31" i="12" s="1"/>
  <c r="CU81" i="1"/>
  <c r="CU82" i="1" s="1"/>
  <c r="CU67" i="1"/>
  <c r="CU84" i="1"/>
  <c r="CT85" i="1"/>
  <c r="CU80" i="1"/>
  <c r="CT82" i="1"/>
  <c r="CT90" i="1"/>
  <c r="AZ23" i="18" s="1"/>
  <c r="CP67" i="1"/>
  <c r="CP84" i="1"/>
  <c r="CP81" i="1" l="1"/>
  <c r="CO88" i="1"/>
  <c r="CO92" i="1"/>
  <c r="CO93" i="1" s="1"/>
  <c r="K48" i="12"/>
  <c r="L42" i="12"/>
  <c r="E42" i="12"/>
  <c r="F42" i="12" s="1"/>
  <c r="H42" i="12"/>
  <c r="I42" i="12" s="1"/>
  <c r="CP85" i="1"/>
  <c r="CP87" i="1" s="1"/>
  <c r="K45" i="12"/>
  <c r="H36" i="12"/>
  <c r="E36" i="12"/>
  <c r="E44" i="12"/>
  <c r="F44" i="12" s="1"/>
  <c r="H44" i="12"/>
  <c r="I44" i="12" s="1"/>
  <c r="L44" i="12"/>
  <c r="H41" i="12"/>
  <c r="I41" i="12" s="1"/>
  <c r="E41" i="12"/>
  <c r="F41" i="12" s="1"/>
  <c r="L41" i="12"/>
  <c r="CU90" i="1"/>
  <c r="CT87" i="1"/>
  <c r="CU85" i="1"/>
  <c r="CU86" i="1" s="1"/>
  <c r="CP82" i="1"/>
  <c r="CP90" i="1"/>
  <c r="F13" i="26" s="1"/>
  <c r="CT91" i="1"/>
  <c r="CP86" i="1" l="1"/>
  <c r="H45" i="12"/>
  <c r="I45" i="12" s="1"/>
  <c r="E45" i="12"/>
  <c r="F45" i="12" s="1"/>
  <c r="L45" i="12"/>
  <c r="K46" i="12"/>
  <c r="L48" i="12"/>
  <c r="E48" i="12"/>
  <c r="F48" i="12" s="1"/>
  <c r="H48" i="12"/>
  <c r="I48" i="12" s="1"/>
  <c r="BA23" i="18"/>
  <c r="G13" i="26"/>
  <c r="CU91" i="1"/>
  <c r="CU87" i="1"/>
  <c r="CU92" i="1" s="1"/>
  <c r="CT92" i="1"/>
  <c r="CT93" i="1" s="1"/>
  <c r="CT6" i="3"/>
  <c r="CT88" i="1"/>
  <c r="AU23" i="18"/>
  <c r="CP88" i="1"/>
  <c r="CP92" i="1"/>
  <c r="CP6" i="3"/>
  <c r="CP91" i="1"/>
  <c r="AV23" i="18"/>
  <c r="L46" i="12" l="1"/>
  <c r="K49" i="12"/>
  <c r="E46" i="12"/>
  <c r="F46" i="12" s="1"/>
  <c r="H46" i="12"/>
  <c r="I46" i="12" s="1"/>
  <c r="CU88" i="1"/>
  <c r="CU6" i="3"/>
  <c r="CP93" i="1"/>
  <c r="CU93" i="1"/>
  <c r="E49" i="12" l="1"/>
  <c r="H49" i="12"/>
  <c r="AF32" i="21"/>
  <c r="AA32" i="21"/>
  <c r="AA33" i="21"/>
  <c r="AF34" i="21" s="1"/>
  <c r="AB32" i="21"/>
  <c r="AB34" i="21"/>
  <c r="AG34" i="21" l="1"/>
  <c r="AA34" i="21"/>
  <c r="AG32" i="21"/>
  <c r="Z109" i="21"/>
  <c r="Z110" i="21"/>
  <c r="AA107" i="21"/>
  <c r="AA108" i="21" s="1"/>
  <c r="AA110" i="21" l="1"/>
  <c r="AB110" i="21" s="1"/>
  <c r="AC107" i="21"/>
  <c r="AC108" i="21" s="1"/>
  <c r="AD107" i="21" s="1"/>
  <c r="AD108" i="21" s="1"/>
  <c r="AA109" i="21"/>
  <c r="AB108" i="21"/>
  <c r="AB109" i="21" s="1"/>
  <c r="AD110" i="21" l="1"/>
  <c r="AD109" i="21"/>
  <c r="AE107" i="21"/>
  <c r="AE108" i="21" s="1"/>
  <c r="AF107" i="21" s="1"/>
  <c r="AF108" i="21" s="1"/>
  <c r="AC110" i="21"/>
  <c r="AC109" i="21"/>
  <c r="CM75" i="1"/>
  <c r="CM76" i="1" s="1"/>
  <c r="CM26" i="3"/>
  <c r="CM99" i="1" s="1"/>
  <c r="AF109" i="21" l="1"/>
  <c r="AF110" i="21"/>
  <c r="AE110" i="21"/>
  <c r="AE109" i="21"/>
  <c r="CM56" i="3"/>
  <c r="CM27" i="3"/>
  <c r="CM40" i="3"/>
  <c r="CO75" i="1"/>
  <c r="CO76" i="1" s="1"/>
  <c r="CP15" i="2" l="1"/>
  <c r="CQ9" i="3" s="1"/>
  <c r="CM41" i="3"/>
  <c r="CM43" i="3"/>
  <c r="CN26" i="3"/>
  <c r="CN99" i="1" s="1"/>
  <c r="CM59" i="3"/>
  <c r="CN58" i="3" s="1"/>
  <c r="CM13" i="2" l="1"/>
  <c r="CM24" i="2" s="1"/>
  <c r="CN56" i="3"/>
  <c r="CN59" i="3" s="1"/>
  <c r="CO58" i="3" s="1"/>
  <c r="CN27" i="3"/>
  <c r="CN40" i="3"/>
  <c r="CQ75" i="1" l="1"/>
  <c r="CQ8" i="3"/>
  <c r="CN43" i="3"/>
  <c r="CN41" i="3"/>
  <c r="CM43" i="2"/>
  <c r="CM44" i="2" s="1"/>
  <c r="CM47" i="2" s="1"/>
  <c r="CO26" i="3"/>
  <c r="CO99" i="1" s="1"/>
  <c r="CP8" i="3"/>
  <c r="CQ15" i="2"/>
  <c r="CR9" i="3" s="1"/>
  <c r="CP26" i="3" l="1"/>
  <c r="CP9" i="3"/>
  <c r="CN13" i="2"/>
  <c r="CN24" i="2" s="1"/>
  <c r="CQ26" i="3"/>
  <c r="CO40" i="3"/>
  <c r="CO27" i="3"/>
  <c r="CO56" i="3"/>
  <c r="CO59" i="3" s="1"/>
  <c r="CQ76" i="1"/>
  <c r="CO41" i="3" l="1"/>
  <c r="CO43" i="3"/>
  <c r="CN43" i="2"/>
  <c r="CN44" i="2" s="1"/>
  <c r="CN47" i="2" s="1"/>
  <c r="CO100" i="1"/>
  <c r="CO101" i="1" s="1"/>
  <c r="CQ27" i="3"/>
  <c r="CQ56" i="3"/>
  <c r="CQ40" i="3"/>
  <c r="CR8" i="3"/>
  <c r="CR75" i="1"/>
  <c r="CP27" i="3"/>
  <c r="CP40" i="3"/>
  <c r="F14" i="26" s="1"/>
  <c r="F15" i="26" s="1"/>
  <c r="CP56" i="3"/>
  <c r="CP59" i="3" s="1"/>
  <c r="CR15" i="2"/>
  <c r="CS9" i="3" s="1"/>
  <c r="CR76" i="1" l="1"/>
  <c r="CR26" i="3"/>
  <c r="CQ43" i="3"/>
  <c r="CQ41" i="3"/>
  <c r="CP6" i="2"/>
  <c r="CQ6" i="2" s="1"/>
  <c r="CO13" i="2"/>
  <c r="CP41" i="3"/>
  <c r="CP43" i="3"/>
  <c r="CS15" i="2"/>
  <c r="CT9" i="3" s="1"/>
  <c r="CQ58" i="3"/>
  <c r="CQ59" i="3" s="1"/>
  <c r="CR58" i="3" s="1"/>
  <c r="CU58" i="3"/>
  <c r="CS8" i="3" l="1"/>
  <c r="CS75" i="1"/>
  <c r="CP13" i="2"/>
  <c r="CP24" i="2" s="1"/>
  <c r="CO24" i="2"/>
  <c r="CQ13" i="2"/>
  <c r="CQ24" i="2" s="1"/>
  <c r="CR40" i="3"/>
  <c r="CR27" i="3"/>
  <c r="CR56" i="3"/>
  <c r="CR59" i="3" s="1"/>
  <c r="CS58" i="3" s="1"/>
  <c r="CT8" i="3" l="1"/>
  <c r="CT26" i="3" s="1"/>
  <c r="CT75" i="1"/>
  <c r="CT76" i="1" s="1"/>
  <c r="CT15" i="2"/>
  <c r="CU15" i="2" s="1"/>
  <c r="CR6" i="2"/>
  <c r="CO43" i="2"/>
  <c r="CR41" i="3"/>
  <c r="CR43" i="3"/>
  <c r="CQ43" i="2"/>
  <c r="CQ44" i="2" s="1"/>
  <c r="CQ47" i="2" s="1"/>
  <c r="CS76" i="1"/>
  <c r="CS26" i="3"/>
  <c r="CU8" i="3" l="1"/>
  <c r="CU9" i="3" s="1"/>
  <c r="CU75" i="1"/>
  <c r="CU26" i="3"/>
  <c r="CO44" i="2"/>
  <c r="CP43" i="2"/>
  <c r="CR13" i="2"/>
  <c r="CR24" i="2" s="1"/>
  <c r="CS40" i="3"/>
  <c r="CS56" i="3"/>
  <c r="CS59" i="3" s="1"/>
  <c r="CT58" i="3" s="1"/>
  <c r="CS27" i="3"/>
  <c r="CT40" i="3"/>
  <c r="CT56" i="3"/>
  <c r="CT27" i="3"/>
  <c r="CU76" i="1" l="1"/>
  <c r="G11" i="26"/>
  <c r="G12" i="26" s="1"/>
  <c r="CT59" i="3"/>
  <c r="CS43" i="3"/>
  <c r="CS41" i="3"/>
  <c r="CS6" i="2"/>
  <c r="CU56" i="3"/>
  <c r="CU59" i="3" s="1"/>
  <c r="CU27" i="3"/>
  <c r="CU40" i="3"/>
  <c r="G14" i="26" s="1"/>
  <c r="CT41" i="3"/>
  <c r="CT43" i="3"/>
  <c r="CR43" i="2"/>
  <c r="CR44" i="2" s="1"/>
  <c r="CR47" i="2" s="1"/>
  <c r="CP44" i="2"/>
  <c r="CO47" i="2"/>
  <c r="G15" i="26" l="1"/>
  <c r="D20" i="26"/>
  <c r="D18" i="26"/>
  <c r="CU41" i="3"/>
  <c r="CU43" i="3"/>
  <c r="CS13" i="2"/>
  <c r="CS24" i="2" s="1"/>
  <c r="CT6" i="2"/>
  <c r="CT13" i="2" l="1"/>
  <c r="CU6" i="2"/>
  <c r="CS43" i="2"/>
  <c r="CS44" i="2" s="1"/>
  <c r="CS47" i="2" s="1"/>
  <c r="CU13" i="2" l="1"/>
  <c r="CU24" i="2" s="1"/>
  <c r="CT24" i="2"/>
  <c r="CT43" i="2" l="1"/>
  <c r="CT44" i="2" l="1"/>
  <c r="CU43" i="2"/>
  <c r="CU44" i="2" l="1"/>
  <c r="CT47" i="2"/>
  <c r="CN62" i="3"/>
  <c r="CN75" i="1"/>
  <c r="CN76" i="1" s="1"/>
  <c r="CP75" i="1" l="1"/>
  <c r="CP76" i="1" l="1"/>
  <c r="F11" i="26"/>
  <c r="F12" i="2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dpesek</author>
  </authors>
  <commentList>
    <comment ref="C22" authorId="0" shapeId="0" xr:uid="{00000000-0006-0000-0300-000001000000}">
      <text>
        <r>
          <rPr>
            <b/>
            <sz val="9"/>
            <color indexed="81"/>
            <rFont val="Tahoma"/>
            <family val="2"/>
          </rPr>
          <t>dpesek:</t>
        </r>
        <r>
          <rPr>
            <sz val="9"/>
            <color indexed="81"/>
            <rFont val="Tahoma"/>
            <family val="2"/>
          </rPr>
          <t xml:space="preserve">
#'s originally calculated as separate items but combined due to the combination on B/S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Black, Ian</author>
  </authors>
  <commentList>
    <comment ref="B94" authorId="0" shapeId="0" xr:uid="{8808DFC9-63CF-4F88-BC96-622E9C5A4DB5}">
      <text>
        <r>
          <rPr>
            <b/>
            <sz val="9"/>
            <color indexed="81"/>
            <rFont val="Tahoma"/>
            <family val="2"/>
          </rPr>
          <t>Black, Ian:</t>
        </r>
        <r>
          <rPr>
            <sz val="9"/>
            <color indexed="81"/>
            <rFont val="Tahoma"/>
            <family val="2"/>
          </rPr>
          <t xml:space="preserve">
Recurring Payments/Portal Revenues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sberg</author>
    <author>Levine, Peter</author>
  </authors>
  <commentList>
    <comment ref="X10" authorId="0" shapeId="0" xr:uid="{00000000-0006-0000-0400-000001000000}">
      <text>
        <r>
          <rPr>
            <b/>
            <sz val="9"/>
            <color indexed="81"/>
            <rFont val="Tahoma"/>
            <family val="2"/>
          </rPr>
          <t>sberg:</t>
        </r>
        <r>
          <rPr>
            <sz val="9"/>
            <color indexed="81"/>
            <rFont val="Tahoma"/>
            <family val="2"/>
          </rPr>
          <t xml:space="preserve">
Included $11mm Oregon contract</t>
        </r>
      </text>
    </comment>
    <comment ref="AW47" authorId="1" shapeId="0" xr:uid="{00000000-0006-0000-0400-000002000000}">
      <text>
        <r>
          <rPr>
            <b/>
            <sz val="9"/>
            <color indexed="81"/>
            <rFont val="Tahoma"/>
            <family val="2"/>
          </rPr>
          <t xml:space="preserve">41mm NW bookings
 </t>
        </r>
      </text>
    </comment>
    <comment ref="AX54" authorId="1" shapeId="0" xr:uid="{00000000-0006-0000-0400-000003000000}">
      <text>
        <r>
          <rPr>
            <b/>
            <sz val="9"/>
            <color indexed="81"/>
            <rFont val="Tahoma"/>
            <family val="2"/>
          </rPr>
          <t xml:space="preserve">adj for renewl of texefile of $72mm
adj out 4.5 each quarter 
</t>
        </r>
      </text>
    </comment>
  </commentList>
</comments>
</file>

<file path=xl/sharedStrings.xml><?xml version="1.0" encoding="utf-8"?>
<sst xmlns="http://schemas.openxmlformats.org/spreadsheetml/2006/main" count="1992" uniqueCount="1043">
  <si>
    <t>Income Statement</t>
  </si>
  <si>
    <t>1Q08</t>
  </si>
  <si>
    <t>2Q08</t>
  </si>
  <si>
    <t>3Q08</t>
  </si>
  <si>
    <t>4Q08</t>
  </si>
  <si>
    <t>1Q09</t>
  </si>
  <si>
    <t>2Q09</t>
  </si>
  <si>
    <t>3Q09</t>
  </si>
  <si>
    <t>4Q09</t>
  </si>
  <si>
    <t>1Q10</t>
  </si>
  <si>
    <t>2Q10</t>
  </si>
  <si>
    <t>3Q10</t>
  </si>
  <si>
    <t>4Q10</t>
  </si>
  <si>
    <t>1Q11</t>
  </si>
  <si>
    <t>2Q11</t>
  </si>
  <si>
    <t>3Q11</t>
  </si>
  <si>
    <t>4Q11</t>
  </si>
  <si>
    <t>1Q12</t>
  </si>
  <si>
    <t>3Q12E</t>
  </si>
  <si>
    <t>4Q12E</t>
  </si>
  <si>
    <t>2012E</t>
  </si>
  <si>
    <t>Y/Y Growth</t>
  </si>
  <si>
    <t>Q/Q Growth</t>
  </si>
  <si>
    <t>Total Revenues</t>
  </si>
  <si>
    <t>Cost of Revenue</t>
  </si>
  <si>
    <t>Gross Margins</t>
  </si>
  <si>
    <t>Total Cost of Revenues</t>
  </si>
  <si>
    <t>Gross Profit</t>
  </si>
  <si>
    <t>Operating Expenses</t>
  </si>
  <si>
    <t>% of Revenue</t>
  </si>
  <si>
    <t>Research &amp; Development</t>
  </si>
  <si>
    <t>Total Operating Expense</t>
  </si>
  <si>
    <t>GAAP Operating Income</t>
  </si>
  <si>
    <t>GAAP Operating Margin</t>
  </si>
  <si>
    <t>Adjusted EBITDA</t>
  </si>
  <si>
    <t>EBITDA Margins</t>
  </si>
  <si>
    <t>Income Tax</t>
  </si>
  <si>
    <t>Tax Rate %</t>
  </si>
  <si>
    <t>GAAP Pre-Tax Income</t>
  </si>
  <si>
    <t>GAAP Net Margin</t>
  </si>
  <si>
    <t>Y/Y Growth %</t>
  </si>
  <si>
    <t>GAAP EPS</t>
  </si>
  <si>
    <t>Basic Shares Outstanding</t>
  </si>
  <si>
    <t>Diluted Shares Outstanding</t>
  </si>
  <si>
    <t>Deferred Revenue</t>
  </si>
  <si>
    <t>Cash Flow-Operating</t>
  </si>
  <si>
    <t>Cash/Share</t>
  </si>
  <si>
    <t>Maintenance Revenue</t>
  </si>
  <si>
    <t>Software Services Revenue</t>
  </si>
  <si>
    <t>Subscription Revenue</t>
  </si>
  <si>
    <t>Software License Revenue</t>
  </si>
  <si>
    <t>Appraisal Service Revenue</t>
  </si>
  <si>
    <t>Hardware &amp; Other Revenue</t>
  </si>
  <si>
    <t>Software Licenses</t>
  </si>
  <si>
    <t>Acquired Software</t>
  </si>
  <si>
    <t>Appraisal Services</t>
  </si>
  <si>
    <t>Hardware and Other</t>
  </si>
  <si>
    <t>Other</t>
  </si>
  <si>
    <t>Other Income (Expense)</t>
  </si>
  <si>
    <t>Balance Sheet</t>
  </si>
  <si>
    <t>Statement of Cash Flows</t>
  </si>
  <si>
    <t>Cash &amp; Cash Equivilents</t>
  </si>
  <si>
    <t>Accounts Receivable</t>
  </si>
  <si>
    <t>Prepaid Expenses</t>
  </si>
  <si>
    <t>Other Current</t>
  </si>
  <si>
    <t>Deferred Income taxes</t>
  </si>
  <si>
    <t>Total Current Assets</t>
  </si>
  <si>
    <t>Accounts Receivable Long-term</t>
  </si>
  <si>
    <t>PP&amp;E</t>
  </si>
  <si>
    <t>Non-current Investments</t>
  </si>
  <si>
    <t>Intangibles</t>
  </si>
  <si>
    <t>Total Assets</t>
  </si>
  <si>
    <t>Assets:</t>
  </si>
  <si>
    <t>Liabilities:</t>
  </si>
  <si>
    <t>Income Taxes Payable</t>
  </si>
  <si>
    <t>Total Current Liabilities</t>
  </si>
  <si>
    <t>Deferred Income Taxes</t>
  </si>
  <si>
    <t>Total Liabilities</t>
  </si>
  <si>
    <t>Total Shareholder Equity</t>
  </si>
  <si>
    <t>Total Liabilities &amp; Shareholders Equity</t>
  </si>
  <si>
    <t>Shareholders Equity:</t>
  </si>
  <si>
    <t>check</t>
  </si>
  <si>
    <t>Accounts Payable &amp; Accrued Liabilities</t>
  </si>
  <si>
    <t>Revolving Line of Credit</t>
  </si>
  <si>
    <t>Short-Term Revolving Line of Credit</t>
  </si>
  <si>
    <t>Drivers of Revenue %</t>
  </si>
  <si>
    <t>Operating Activities</t>
  </si>
  <si>
    <t>Net Income</t>
  </si>
  <si>
    <t>Adjustments to reconcile net cash</t>
  </si>
  <si>
    <t>D &amp; A</t>
  </si>
  <si>
    <t>Excess tax benefit</t>
  </si>
  <si>
    <t>Share-based comp</t>
  </si>
  <si>
    <t>Accounts receivable</t>
  </si>
  <si>
    <t>Income tax payable</t>
  </si>
  <si>
    <t>Prepaid expenses</t>
  </si>
  <si>
    <t>Deferred revenues</t>
  </si>
  <si>
    <t>Changes in operating assets and Liabilities</t>
  </si>
  <si>
    <t>Cash Flow from Operating Activites</t>
  </si>
  <si>
    <t>Investing Activites</t>
  </si>
  <si>
    <t>Sales of investments</t>
  </si>
  <si>
    <t>Purchases of investments</t>
  </si>
  <si>
    <t>Cost of Acquisitions</t>
  </si>
  <si>
    <t>Additions of property and equipment</t>
  </si>
  <si>
    <t>Acquired lease</t>
  </si>
  <si>
    <t>Increase in restricted investments</t>
  </si>
  <si>
    <t>Decrease (Increase) in other</t>
  </si>
  <si>
    <t>Cash Used in Investing Activites</t>
  </si>
  <si>
    <t>Financing Activities</t>
  </si>
  <si>
    <t>Decrease in net borrowing</t>
  </si>
  <si>
    <t>Purchase of treasury shares</t>
  </si>
  <si>
    <t>Contributions from employee stock purchase plan</t>
  </si>
  <si>
    <t>Exercise of stock options</t>
  </si>
  <si>
    <t>Excess tax benefits</t>
  </si>
  <si>
    <t>Cash used in Financing Activites</t>
  </si>
  <si>
    <t>Beginning cash &amp; cash equivalents</t>
  </si>
  <si>
    <t>Net change in cash &amp; cash equivalents</t>
  </si>
  <si>
    <t>Ending cash &amp; cash equivalents</t>
  </si>
  <si>
    <t>Free Cash Flow</t>
  </si>
  <si>
    <t>Non-cash legal settlement</t>
  </si>
  <si>
    <t>Provision for losses-A/R</t>
  </si>
  <si>
    <t>Deferred income tax benefit</t>
  </si>
  <si>
    <t>Debt issuance cost</t>
  </si>
  <si>
    <t>Depreciation % of Previous Period</t>
  </si>
  <si>
    <t>Accounts payable &amp; Accrued Liabilitites</t>
  </si>
  <si>
    <t>DSO</t>
  </si>
  <si>
    <t>2Q12</t>
  </si>
  <si>
    <t>Other Assets</t>
  </si>
  <si>
    <t>EPS</t>
  </si>
  <si>
    <t>Date</t>
  </si>
  <si>
    <t>Name</t>
  </si>
  <si>
    <t>Price</t>
  </si>
  <si>
    <t>Oct. 2011</t>
  </si>
  <si>
    <t>Windsor Management Group</t>
  </si>
  <si>
    <t>Jan. 2010</t>
  </si>
  <si>
    <t>Wiznet</t>
  </si>
  <si>
    <t>all cash</t>
  </si>
  <si>
    <t>Assessment Evaluation Services</t>
  </si>
  <si>
    <t>Apr. 2009</t>
  </si>
  <si>
    <t>Aug. 2008</t>
  </si>
  <si>
    <t>School Information Systems, Inc</t>
  </si>
  <si>
    <t>9.9m cash, 70k TYL shares at $1.2m</t>
  </si>
  <si>
    <t>13.9m cash + 126k shares valued at $1.7m</t>
  </si>
  <si>
    <t>Sept. 2007</t>
  </si>
  <si>
    <t>EDP enterprises, Inc</t>
  </si>
  <si>
    <t>Financial and student information and management systems for public schools</t>
  </si>
  <si>
    <t>Feb. 2007</t>
  </si>
  <si>
    <t>Advanced Data Systems</t>
  </si>
  <si>
    <t>MazikUSA, Inc</t>
  </si>
  <si>
    <t>$11.7m cash plus 325k shares valued at $2.9m</t>
  </si>
  <si>
    <t>Jan. 2006</t>
  </si>
  <si>
    <t>Dec. 2003</t>
  </si>
  <si>
    <t>Eden Systems</t>
  </si>
  <si>
    <t>$13.1m cash, $2.4m in stck</t>
  </si>
  <si>
    <t xml:space="preserve">    Depreciation</t>
  </si>
  <si>
    <t>Jan. 2012</t>
  </si>
  <si>
    <t>Akanda Innovation, Inc</t>
  </si>
  <si>
    <t>Mar. 2012</t>
  </si>
  <si>
    <t>UniFund, LLC</t>
  </si>
  <si>
    <t>Apr. 2012</t>
  </si>
  <si>
    <t>Computer Software Associates, Inc</t>
  </si>
  <si>
    <t>Jun. 2011</t>
  </si>
  <si>
    <t>Yotta MVS, Inc</t>
  </si>
  <si>
    <t>Jun. 2009</t>
  </si>
  <si>
    <t>Parker Lowe</t>
  </si>
  <si>
    <t>Jan. 2008</t>
  </si>
  <si>
    <t>Feb. 1998</t>
  </si>
  <si>
    <t>The Software Group</t>
  </si>
  <si>
    <t>$9.8mm</t>
  </si>
  <si>
    <t>$4.6mm</t>
  </si>
  <si>
    <t>$2.9mm</t>
  </si>
  <si>
    <t>$16.4mm</t>
  </si>
  <si>
    <t>$0.13mm</t>
  </si>
  <si>
    <t>$9.5mm</t>
  </si>
  <si>
    <t>$0.7mm</t>
  </si>
  <si>
    <t>$1.1mm</t>
  </si>
  <si>
    <t>$11.1mm</t>
  </si>
  <si>
    <t>$11.3mm</t>
  </si>
  <si>
    <t>$4.4mm</t>
  </si>
  <si>
    <t>$14.6mm</t>
  </si>
  <si>
    <t>$9.0mm</t>
  </si>
  <si>
    <t>$15.5mm</t>
  </si>
  <si>
    <t>$20.0mm</t>
  </si>
  <si>
    <t>TTM Revenues</t>
  </si>
  <si>
    <t>$8.2mm</t>
  </si>
  <si>
    <t>$5.5mm</t>
  </si>
  <si>
    <t>$12.0mm</t>
  </si>
  <si>
    <t>$1.4mm</t>
  </si>
  <si>
    <t>$5.2mm</t>
  </si>
  <si>
    <t>$10.0mm</t>
  </si>
  <si>
    <t>$3.7mm</t>
  </si>
  <si>
    <t>n/a</t>
  </si>
  <si>
    <t>Product description</t>
  </si>
  <si>
    <t>Reseller sof TYL Infinite Visions school enterprise solutions. Also sold proprietary CSA tax and recording solutions.</t>
  </si>
  <si>
    <t>Web-based solutions integrated with TYL property tax software.</t>
  </si>
  <si>
    <t>Financial and HCM solutions to K-12 education market.</t>
  </si>
  <si>
    <t>Electronic document filing solutions for courts and law offices.</t>
  </si>
  <si>
    <t>Scanning and retrieval software and services for land record and social services offices.</t>
  </si>
  <si>
    <t>School transportation software systems.</t>
  </si>
  <si>
    <t>Fund accounting software solutions.</t>
  </si>
  <si>
    <t>Integrated software solution for schools.</t>
  </si>
  <si>
    <t>Appraisal and Tax field data verfication services.</t>
  </si>
  <si>
    <t>Property appraisal software solutions.</t>
  </si>
  <si>
    <t>K-12 classroom administration software</t>
  </si>
  <si>
    <t>ERP Software</t>
  </si>
  <si>
    <t>Courts &amp; Justice software</t>
  </si>
  <si>
    <t>Total</t>
  </si>
  <si>
    <t>Source: Company reports</t>
  </si>
  <si>
    <t>Module</t>
  </si>
  <si>
    <t>Case Manager</t>
  </si>
  <si>
    <t>Jail Manager</t>
  </si>
  <si>
    <t>Law Enforcement</t>
  </si>
  <si>
    <t>Session Works</t>
  </si>
  <si>
    <t>Prosecutor</t>
  </si>
  <si>
    <t>Tracks and organizes case information including charges, case status, witnesses, victims, evidence and related cases.</t>
  </si>
  <si>
    <t>Enables clerks and judges to manage essential case information, streamline data entry and access records.</t>
  </si>
  <si>
    <t>Civil and criminal case management system with integrated document management.</t>
  </si>
  <si>
    <t>Check Manager</t>
  </si>
  <si>
    <t>Process all bad or hot check records including restition, merchant records, and fee assessments.</t>
  </si>
  <si>
    <t>Supervision</t>
  </si>
  <si>
    <t>Automate jail activities by managing and tracking detailed inmate data, for both large and small jails.</t>
  </si>
  <si>
    <t>Supervise both adults and juveniles in pre-trial, probation and drug/specialty courts with advanced, streamlined tools.</t>
  </si>
  <si>
    <t xml:space="preserve">Manage incidents, property, papers and personnel using a single application. </t>
  </si>
  <si>
    <t>Financial Manager</t>
  </si>
  <si>
    <t>Centralized financial management system for account management, financial transactions, and check processing.</t>
  </si>
  <si>
    <t>File &amp; Serve</t>
  </si>
  <si>
    <t>Allows enabled users to file documents electronically anytime.</t>
  </si>
  <si>
    <t>Jury Management</t>
  </si>
  <si>
    <t>Odyssey</t>
  </si>
  <si>
    <t>ERP</t>
  </si>
  <si>
    <t>Functionality</t>
  </si>
  <si>
    <t>Citizen Services &amp; Revenue</t>
  </si>
  <si>
    <t>Financial Management</t>
  </si>
  <si>
    <t>Human Capital Management</t>
  </si>
  <si>
    <t>Tax Billing &amp; Collection</t>
  </si>
  <si>
    <t>Utility Billings</t>
  </si>
  <si>
    <t>Manages public sector accounting, budgeting, and procurement.</t>
  </si>
  <si>
    <t>Enables better management of citizen facing services including self-service access to routine requests and frequently requested information.</t>
  </si>
  <si>
    <t>Designed to handle processes associated with Real Estate, Motor Vehicle, Personal Property, and Delinquent Taxes.</t>
  </si>
  <si>
    <t>Processes utility billings and has web-based self-service access for residents.</t>
  </si>
  <si>
    <t>Manages core HRMS processes suchs as payroll, benefits and employee records along with Talent Management functionality for applicant tracking and career/succession management.</t>
  </si>
  <si>
    <t>Incode Courts &amp; Justice</t>
  </si>
  <si>
    <t>Parking Citation Management</t>
  </si>
  <si>
    <t>Manages parking citation cases. Import e-tickets from elecontroic handheld devices.</t>
  </si>
  <si>
    <t>Civil and Small Claims Management</t>
  </si>
  <si>
    <t>Manage hearings, scheduling, and court workflow for civil and small claims cases.</t>
  </si>
  <si>
    <t>Defendant Probation Management</t>
  </si>
  <si>
    <t>Track defendants and cases assigned to probation.</t>
  </si>
  <si>
    <t>Prosecution Management</t>
  </si>
  <si>
    <t>Transportation</t>
  </si>
  <si>
    <t>Route Crease &amp; Planning</t>
  </si>
  <si>
    <t>GPS Vehicle Location</t>
  </si>
  <si>
    <t>Student tracking</t>
  </si>
  <si>
    <t>Incident Management</t>
  </si>
  <si>
    <t>Field Trip Scheduling</t>
  </si>
  <si>
    <t>Fleet Management</t>
  </si>
  <si>
    <t>Online Information Portal</t>
  </si>
  <si>
    <t>Enables schools to plan school bus routes.</t>
  </si>
  <si>
    <t>Veratrans' GPS functionality tracks the real-time location of school busing and compares an actual route traveled versus its planned route.</t>
  </si>
  <si>
    <t>Versatrans' student tracking module uses RFID cards to track in real-time when students get on and off a bus and can identify when a student gets off on a stop not theirs.</t>
  </si>
  <si>
    <t>Enables school and transportation offices to easily record and management incidents that occur at school or on the bus including disipline tracking.</t>
  </si>
  <si>
    <t>Versatrans' Field trip module manages the workflow from initial requests through invoicing for field trip transportation.</t>
  </si>
  <si>
    <t>Versatrans' fleet management module allows districts to track fuel usage and maintenance schedules.</t>
  </si>
  <si>
    <t>Versatrans' online information portal enables parents check transportation schedules and monitor use.</t>
  </si>
  <si>
    <t>SIS</t>
  </si>
  <si>
    <t>Attendance</t>
  </si>
  <si>
    <t>Gradebook</t>
  </si>
  <si>
    <t>Scheduling</t>
  </si>
  <si>
    <t>Registration &amp; Enrollment</t>
  </si>
  <si>
    <t>Discipline</t>
  </si>
  <si>
    <t>Health &amp; Immunization</t>
  </si>
  <si>
    <t>Fees &amp; Billings</t>
  </si>
  <si>
    <t>Staff Management</t>
  </si>
  <si>
    <t>Parent &amp; Student Portals</t>
  </si>
  <si>
    <t>Gradebook tracks and logs student course work and grades while also measuring students against state of district-defined standards.</t>
  </si>
  <si>
    <t>Creates a class/course schedule based on teacher availability, rooms, and subject schedules.</t>
  </si>
  <si>
    <t>Enables streamlined student registration and assigns each student to a specific grade, section, and subjects while tracking students involved in specialized programming.</t>
  </si>
  <si>
    <t>Manages the discipline and suspension process and tracks discipline events during or after school hours.</t>
  </si>
  <si>
    <t>Health &amp; Immunization tracks and manages all student health data including immunization and is HIPAA compliant.</t>
  </si>
  <si>
    <t>Manages and tracks student fees and invoices and payments against existing invoices.</t>
  </si>
  <si>
    <t>Enables schools to add, view, and edit staff records and activities to better resources and measure performance.</t>
  </si>
  <si>
    <t>Enables parents and students easy access to student files, ciriculum, and records via a web-based portal.</t>
  </si>
  <si>
    <t>Modules</t>
  </si>
  <si>
    <t>Funactionality</t>
  </si>
  <si>
    <t>Appraisal</t>
  </si>
  <si>
    <t>Target Market</t>
  </si>
  <si>
    <t>Counties</t>
  </si>
  <si>
    <t>Cities &amp; towns</t>
  </si>
  <si>
    <t>School districts</t>
  </si>
  <si>
    <t>Local agencies</t>
  </si>
  <si>
    <t>Total target market</t>
  </si>
  <si>
    <t>Tyler Competitors</t>
  </si>
  <si>
    <t>Microsoft</t>
  </si>
  <si>
    <t>New World Systems</t>
  </si>
  <si>
    <t>Springbrook</t>
  </si>
  <si>
    <t>SunGard</t>
  </si>
  <si>
    <t>Student Information Systems</t>
  </si>
  <si>
    <t>Edupoint</t>
  </si>
  <si>
    <t>Infinite Campus</t>
  </si>
  <si>
    <t>Pearson</t>
  </si>
  <si>
    <t>Skyward</t>
  </si>
  <si>
    <t>Student Transportation</t>
  </si>
  <si>
    <t>Edulog</t>
  </si>
  <si>
    <t>Tranfinder</t>
  </si>
  <si>
    <t>Tax &amp; Appraisal</t>
  </si>
  <si>
    <t>Vision</t>
  </si>
  <si>
    <t>Patriot</t>
  </si>
  <si>
    <t>True Automation</t>
  </si>
  <si>
    <t>DevNet</t>
  </si>
  <si>
    <t>Public Safety</t>
  </si>
  <si>
    <t>Cardinal</t>
  </si>
  <si>
    <t>USTI</t>
  </si>
  <si>
    <t>Southern</t>
  </si>
  <si>
    <t>Justice Systems</t>
  </si>
  <si>
    <t>New Dawn</t>
  </si>
  <si>
    <t>Caselle</t>
  </si>
  <si>
    <t>Syscon</t>
  </si>
  <si>
    <t>Courtware</t>
  </si>
  <si>
    <t>Courtview</t>
  </si>
  <si>
    <t>JSI</t>
  </si>
  <si>
    <t>Eagle Software</t>
  </si>
  <si>
    <t>Inifinite Campus</t>
  </si>
  <si>
    <t>STI</t>
  </si>
  <si>
    <t>Software Services</t>
  </si>
  <si>
    <t xml:space="preserve">Software  </t>
  </si>
  <si>
    <t>New Subscription Deals</t>
  </si>
  <si>
    <t>Conversions to Hosted</t>
  </si>
  <si>
    <t>E-filings</t>
  </si>
  <si>
    <t>MS Reimbursements</t>
  </si>
  <si>
    <t>Total Backlog</t>
  </si>
  <si>
    <t>SW Backlog</t>
  </si>
  <si>
    <t>Appraisal Backlog</t>
  </si>
  <si>
    <t>Maintenance Backlog</t>
  </si>
  <si>
    <t>Subscription backlog</t>
  </si>
  <si>
    <t>Licenses &gt; $100k</t>
  </si>
  <si>
    <t>ASP of $100k+ contracts</t>
  </si>
  <si>
    <t>306K</t>
  </si>
  <si>
    <t>640k</t>
  </si>
  <si>
    <t>Direct AX Sales</t>
  </si>
  <si>
    <t>400k</t>
  </si>
  <si>
    <t>Total Growth</t>
  </si>
  <si>
    <t>Organic</t>
  </si>
  <si>
    <t>Inorganic</t>
  </si>
  <si>
    <t>License Growth</t>
  </si>
  <si>
    <t>Subscription Growth</t>
  </si>
  <si>
    <t xml:space="preserve">Organic </t>
  </si>
  <si>
    <t>SW Services</t>
  </si>
  <si>
    <t>Maintenance Growth</t>
  </si>
  <si>
    <t>415k</t>
  </si>
  <si>
    <t>503k</t>
  </si>
  <si>
    <t>SaaS Customers</t>
  </si>
  <si>
    <t>All Windsor</t>
  </si>
  <si>
    <t>Total AX Expense</t>
  </si>
  <si>
    <t xml:space="preserve">   Q/Q growth</t>
  </si>
  <si>
    <t xml:space="preserve">   Y/Y growth</t>
  </si>
  <si>
    <t>Organic Rev</t>
  </si>
  <si>
    <t>Inorganic Revenue</t>
  </si>
  <si>
    <t>Total Y/Y Growth</t>
  </si>
  <si>
    <t>Total Q/Q Growth</t>
  </si>
  <si>
    <t>Total Revenue</t>
  </si>
  <si>
    <t>Organic SW License Rev</t>
  </si>
  <si>
    <t>Inorganic SW License Revenue</t>
  </si>
  <si>
    <t>Organic - ESS</t>
  </si>
  <si>
    <t>Organic - A&amp;T</t>
  </si>
  <si>
    <t>Organic Sub Rev</t>
  </si>
  <si>
    <t>Total SW Servcies - ESS</t>
  </si>
  <si>
    <t>Total SW Services - A&amp;T</t>
  </si>
  <si>
    <t>Total maintenance - ESS</t>
  </si>
  <si>
    <t>Total maintenance - A&amp;T</t>
  </si>
  <si>
    <t>Segment Operating Income</t>
  </si>
  <si>
    <t>ESS Total revs</t>
  </si>
  <si>
    <t>Margin</t>
  </si>
  <si>
    <t>A&amp;T Total revs</t>
  </si>
  <si>
    <t>A&amp;T Operating Income</t>
  </si>
  <si>
    <t>ESS Operating Income</t>
  </si>
  <si>
    <t>Interest expense</t>
  </si>
  <si>
    <t>GAAP Net Income</t>
  </si>
  <si>
    <t>Amortization</t>
  </si>
  <si>
    <t>Net Cash</t>
  </si>
  <si>
    <t>Year</t>
  </si>
  <si>
    <t>Total Property Taxes</t>
  </si>
  <si>
    <t>Annual Growth</t>
  </si>
  <si>
    <t>1H11</t>
  </si>
  <si>
    <t>1H12</t>
  </si>
  <si>
    <t>Source: U.S. Census Bureau</t>
  </si>
  <si>
    <t>Y/Y growth</t>
  </si>
  <si>
    <t>$ in thousands, except per share data</t>
  </si>
  <si>
    <t>Proforma Adjustments</t>
  </si>
  <si>
    <t>Add Back:</t>
  </si>
  <si>
    <t>Total State &amp; Local Taxes</t>
  </si>
  <si>
    <t>Manage the jury selection process including scheduling and resource management.</t>
  </si>
  <si>
    <t>Revenue</t>
  </si>
  <si>
    <t>VersaTrans Solutions</t>
  </si>
  <si>
    <t>SchoolMaster by Olympia Computing Company</t>
  </si>
  <si>
    <t>ERP solution for schools and local governments and reseller of Tyler InfiniteVisions</t>
  </si>
  <si>
    <t>Variance Analysis</t>
  </si>
  <si>
    <t>% Change</t>
  </si>
  <si>
    <t xml:space="preserve">   R&amp;D</t>
  </si>
  <si>
    <t>Total Operating Expenses</t>
  </si>
  <si>
    <t>GAAP Operating Margins</t>
  </si>
  <si>
    <t>Interest &amp; Other Income (Expense)</t>
  </si>
  <si>
    <t xml:space="preserve">GAAP Income before Taxes </t>
  </si>
  <si>
    <t>Acquired software</t>
  </si>
  <si>
    <t xml:space="preserve">   SG&amp;A</t>
  </si>
  <si>
    <t>Non-GAAP Net Income</t>
  </si>
  <si>
    <t>Non-GAAP EPS</t>
  </si>
  <si>
    <t>3Q12</t>
  </si>
  <si>
    <t xml:space="preserve">   Other</t>
  </si>
  <si>
    <t>Deferred Revs</t>
  </si>
  <si>
    <t>232k</t>
  </si>
  <si>
    <t>277k</t>
  </si>
  <si>
    <t>167k</t>
  </si>
  <si>
    <t>SW and Services</t>
  </si>
  <si>
    <t>Bookings</t>
  </si>
  <si>
    <t>4Q12</t>
  </si>
  <si>
    <t>256k</t>
  </si>
  <si>
    <t>490k</t>
  </si>
  <si>
    <t>474k</t>
  </si>
  <si>
    <t>Non-GAAP Operating Income</t>
  </si>
  <si>
    <t>Non GAAP Net Income</t>
  </si>
  <si>
    <t>GAAP Adjustments</t>
  </si>
  <si>
    <t>Amortization of acquired software</t>
  </si>
  <si>
    <t>Amortization of acquired intangibles</t>
  </si>
  <si>
    <t>Share-based compensation</t>
  </si>
  <si>
    <t>Total GAAP and non-cash adjustments</t>
  </si>
  <si>
    <t>Non-GAAP Operating Margin</t>
  </si>
  <si>
    <t>Non-GAAP Pre-Tax Income</t>
  </si>
  <si>
    <t>Non-GAAP Net Income (Loss)</t>
  </si>
  <si>
    <t>Non-GAAP Net Margin</t>
  </si>
  <si>
    <t>1Q13</t>
  </si>
  <si>
    <t>GAAP &amp; Non-cash charges</t>
  </si>
  <si>
    <t xml:space="preserve">Non-GAAP Income before Taxes </t>
  </si>
  <si>
    <t>2Q13</t>
  </si>
  <si>
    <t>3Q13</t>
  </si>
  <si>
    <t>4Q13</t>
  </si>
  <si>
    <t>Non-GAAP Operating Margins</t>
  </si>
  <si>
    <t>418k</t>
  </si>
  <si>
    <t>MS Royalties</t>
  </si>
  <si>
    <t>AX Royalties (in thousands)</t>
  </si>
  <si>
    <t>687k</t>
  </si>
  <si>
    <t>374k</t>
  </si>
  <si>
    <t>1Q15E</t>
  </si>
  <si>
    <t>2Q15E</t>
  </si>
  <si>
    <t>3Q15E</t>
  </si>
  <si>
    <t>4Q15E</t>
  </si>
  <si>
    <t>2015E</t>
  </si>
  <si>
    <t>573k</t>
  </si>
  <si>
    <t>Income tax receivable</t>
  </si>
  <si>
    <t>1.1m</t>
  </si>
  <si>
    <t>531k</t>
  </si>
  <si>
    <t>1Q14</t>
  </si>
  <si>
    <t>272k</t>
  </si>
  <si>
    <t>1300k</t>
  </si>
  <si>
    <t>451k</t>
  </si>
  <si>
    <t>Investment in software development</t>
  </si>
  <si>
    <t>2Q14</t>
  </si>
  <si>
    <t>3Q14</t>
  </si>
  <si>
    <t>4Q14</t>
  </si>
  <si>
    <t>867k</t>
  </si>
  <si>
    <t>475k</t>
  </si>
  <si>
    <t>1.1mm</t>
  </si>
  <si>
    <t>68.3 from efile</t>
  </si>
  <si>
    <t>60.5m from efile</t>
  </si>
  <si>
    <t>Coverage ratio</t>
  </si>
  <si>
    <t>NTM actual</t>
  </si>
  <si>
    <t>Subscription</t>
  </si>
  <si>
    <t>SW &amp; Services</t>
  </si>
  <si>
    <t>Appraisel</t>
  </si>
  <si>
    <t>Subscription ex Texfile</t>
  </si>
  <si>
    <t>Tex e-File</t>
  </si>
  <si>
    <t>469k</t>
  </si>
  <si>
    <t>1.2mm</t>
  </si>
  <si>
    <t>1Q15</t>
  </si>
  <si>
    <t>2Q15</t>
  </si>
  <si>
    <t>3Q15</t>
  </si>
  <si>
    <t>4Q15</t>
  </si>
  <si>
    <t>Harris Govern</t>
  </si>
  <si>
    <t>Thomson Reuters</t>
  </si>
  <si>
    <t>SAP</t>
  </si>
  <si>
    <t>Oracle</t>
  </si>
  <si>
    <t>Lawson (Infor)</t>
  </si>
  <si>
    <t>BS&amp;A</t>
  </si>
  <si>
    <t>Courts &amp; Justice</t>
  </si>
  <si>
    <t>Tax</t>
  </si>
  <si>
    <t>Tyler</t>
  </si>
  <si>
    <t>New World</t>
  </si>
  <si>
    <t>Stringbrook</t>
  </si>
  <si>
    <t>Sungard</t>
  </si>
  <si>
    <t>Edmunds</t>
  </si>
  <si>
    <t>Weidenhammer</t>
  </si>
  <si>
    <t>Harris</t>
  </si>
  <si>
    <t>CSI</t>
  </si>
  <si>
    <t>Infor</t>
  </si>
  <si>
    <t>Softight</t>
  </si>
  <si>
    <t>Logics, LLC</t>
  </si>
  <si>
    <t>Community devleopment</t>
  </si>
  <si>
    <t>Streamlines workflow and processes for the planning, permitting and licensing of city and county land projects to asset management.</t>
  </si>
  <si>
    <t>336K</t>
  </si>
  <si>
    <t>1Q16</t>
  </si>
  <si>
    <t>2Q16</t>
  </si>
  <si>
    <t>3Q16</t>
  </si>
  <si>
    <t>4Q16</t>
  </si>
  <si>
    <t>Source: Company Reports and Needham &amp; Company, LLC Estimates</t>
  </si>
  <si>
    <t>Nov. 2012</t>
  </si>
  <si>
    <t>EnerGov</t>
  </si>
  <si>
    <t>$13.3mm</t>
  </si>
  <si>
    <t>$9mm</t>
  </si>
  <si>
    <t>Aug. 2014</t>
  </si>
  <si>
    <t>SoftCode</t>
  </si>
  <si>
    <t>Software to manage the records and workflow for city permitting, planning, land management, and licensing.</t>
  </si>
  <si>
    <t>$5.0mm</t>
  </si>
  <si>
    <t>Civil process management software for county shefiff departments</t>
  </si>
  <si>
    <t>Brazos Technology</t>
  </si>
  <si>
    <t>$10mm</t>
  </si>
  <si>
    <t>May 2015</t>
  </si>
  <si>
    <t>$7.5mm</t>
  </si>
  <si>
    <t>Mobile hand-held solutions used by law enforcement agencies.</t>
  </si>
  <si>
    <t>$157mm</t>
  </si>
  <si>
    <t>Track and post attendance for both students and staff.</t>
  </si>
  <si>
    <t>Accela</t>
  </si>
  <si>
    <t>Cost Method Investment</t>
  </si>
  <si>
    <t>Source: Company reports and Needham &amp; Co estimates</t>
  </si>
  <si>
    <t>484k</t>
  </si>
  <si>
    <t xml:space="preserve">Other </t>
  </si>
  <si>
    <t>579k</t>
  </si>
  <si>
    <t>Contract average term</t>
  </si>
  <si>
    <t>5.8yr</t>
  </si>
  <si>
    <t>5.5yr</t>
  </si>
  <si>
    <t>ALL FISCAL DATA MUST BE ENTERED IN MILLION (INCLUDING NUMBER OF SHARE)</t>
  </si>
  <si>
    <t>NULL:FISCAL</t>
  </si>
  <si>
    <t xml:space="preserve">ALL PER SHARE DATA MUST BE IN UNIT </t>
  </si>
  <si>
    <t>ADJUSTED:FISCAL</t>
  </si>
  <si>
    <t>DATA MUST BE ENTERED IN THE CURRENCY OF THE COMPANY</t>
  </si>
  <si>
    <t>BASIC:FISCAL</t>
  </si>
  <si>
    <t>Click here to find a list of BlueMatrix Client Codes</t>
  </si>
  <si>
    <t>DILUTED:FISCAL</t>
  </si>
  <si>
    <t>Strong Buy</t>
  </si>
  <si>
    <t>GAAP:FISCAL</t>
  </si>
  <si>
    <t>Buy</t>
  </si>
  <si>
    <t>INDICATED:FISCAL</t>
  </si>
  <si>
    <t>Hold</t>
  </si>
  <si>
    <t>MANAGED:FISCAL</t>
  </si>
  <si>
    <t>Under Perform</t>
  </si>
  <si>
    <t>NON-GAAP:FISCAL</t>
  </si>
  <si>
    <t>Company name</t>
  </si>
  <si>
    <t>Tyler Technologies, Inc.</t>
  </si>
  <si>
    <t>Rating Suspended</t>
  </si>
  <si>
    <t>OPERATING:FISCAL</t>
  </si>
  <si>
    <t>Rating</t>
  </si>
  <si>
    <t>RATING</t>
  </si>
  <si>
    <t>Restricted</t>
  </si>
  <si>
    <t>PRIMARY:FISCAL</t>
  </si>
  <si>
    <t>Currency</t>
  </si>
  <si>
    <t>USD</t>
  </si>
  <si>
    <t>Under Review</t>
  </si>
  <si>
    <t>PROFORMA:FISCAL</t>
  </si>
  <si>
    <t>Sell</t>
  </si>
  <si>
    <t>RESTATED:FISCAL</t>
  </si>
  <si>
    <t>12-Month Price Target</t>
  </si>
  <si>
    <t>TARGET_PRICE</t>
  </si>
  <si>
    <t>REVENUE:FISCAL</t>
  </si>
  <si>
    <t>Ticker</t>
  </si>
  <si>
    <t>TYL</t>
  </si>
  <si>
    <t>E</t>
  </si>
  <si>
    <t>A</t>
  </si>
  <si>
    <t>NULL:CALENDAR</t>
  </si>
  <si>
    <t>ADJUSTED:CALENDAR</t>
  </si>
  <si>
    <t>BASIC:CALENDAR</t>
  </si>
  <si>
    <r>
      <t xml:space="preserve">Current  Year </t>
    </r>
    <r>
      <rPr>
        <i/>
        <sz val="12"/>
        <rFont val="Arial"/>
        <family val="2"/>
      </rPr>
      <t>(Matching What Selected From Drop-down Bars - ie. Fiscal or Calendar)</t>
    </r>
  </si>
  <si>
    <t>DILUTED:CALENDAR</t>
  </si>
  <si>
    <r>
      <t xml:space="preserve">Current Base Quarter </t>
    </r>
    <r>
      <rPr>
        <i/>
        <sz val="12"/>
        <rFont val="Arial"/>
        <family val="2"/>
      </rPr>
      <t>(NOT one just reported - One After That)</t>
    </r>
  </si>
  <si>
    <t>Q3</t>
  </si>
  <si>
    <t>GAAP:CALENDAR</t>
  </si>
  <si>
    <t>Q1</t>
  </si>
  <si>
    <t>Q2</t>
  </si>
  <si>
    <t>Q4</t>
  </si>
  <si>
    <t>AN</t>
  </si>
  <si>
    <t>INDICATED:CALENDAR</t>
  </si>
  <si>
    <t>BlueMatrix Time Series Grids</t>
  </si>
  <si>
    <t>MANAGED:CALENDAR</t>
  </si>
  <si>
    <t>Revenue ($M)</t>
  </si>
  <si>
    <t>REVENUE</t>
  </si>
  <si>
    <t>NON-GAAP:CALENDAR</t>
  </si>
  <si>
    <t>OPERATING:CALENDAR</t>
  </si>
  <si>
    <t>PRIMARY:CALENDAR</t>
  </si>
  <si>
    <t>PROFORMA:CALENDAR</t>
  </si>
  <si>
    <t>FCF</t>
  </si>
  <si>
    <t>RESTATED:CALENDAR</t>
  </si>
  <si>
    <t>REVENUE:CALENDAR</t>
  </si>
  <si>
    <t>FFO</t>
  </si>
  <si>
    <t>Net Cash/Debt ($M)</t>
  </si>
  <si>
    <t>NET_CASH_DEBT</t>
  </si>
  <si>
    <t>Operating Margin</t>
  </si>
  <si>
    <t>OP_MARGIN</t>
  </si>
  <si>
    <t>ROIC</t>
  </si>
  <si>
    <t>Calendar Year = Fiscal Year (If yes =0, if less= -1, if more = 1)</t>
  </si>
  <si>
    <t>Fiscal 1Q Ending Month Number</t>
  </si>
  <si>
    <t>Fiscal 2Q Ending Month Number</t>
  </si>
  <si>
    <t>Fiscal 3Q Ending Month Number</t>
  </si>
  <si>
    <t>Fiscal 4Q Ending Month Number</t>
  </si>
  <si>
    <t>Goodwill</t>
  </si>
  <si>
    <t xml:space="preserve">Long Term Debt </t>
  </si>
  <si>
    <t xml:space="preserve">Deferred revenue </t>
  </si>
  <si>
    <t>349k</t>
  </si>
  <si>
    <t>Recurring Revenue</t>
  </si>
  <si>
    <t>LTM Rev</t>
  </si>
  <si>
    <t>Change in LTM Recurring Rev</t>
  </si>
  <si>
    <t>Retention Rate</t>
  </si>
  <si>
    <t>Revenue Retention Rate</t>
  </si>
  <si>
    <t>NTM Gross Revenue Churn</t>
  </si>
  <si>
    <t>LTM S&amp;M</t>
  </si>
  <si>
    <t>Revenue Ratio</t>
  </si>
  <si>
    <t xml:space="preserve"> </t>
  </si>
  <si>
    <t>1Q17E</t>
  </si>
  <si>
    <t>573K</t>
  </si>
  <si>
    <t>Gross New Subscription Revenue</t>
  </si>
  <si>
    <t xml:space="preserve">Net New Subscription Revenue </t>
  </si>
  <si>
    <t xml:space="preserve">Price </t>
  </si>
  <si>
    <t xml:space="preserve">Shares </t>
  </si>
  <si>
    <t xml:space="preserve">Mkt </t>
  </si>
  <si>
    <t xml:space="preserve">Net cash </t>
  </si>
  <si>
    <t>EV</t>
  </si>
  <si>
    <t>NY Rev</t>
  </si>
  <si>
    <t>EV/REV</t>
  </si>
  <si>
    <t>EV/Rev</t>
  </si>
  <si>
    <t>Mkt</t>
  </si>
  <si>
    <t xml:space="preserve">Share </t>
  </si>
  <si>
    <t xml:space="preserve">Upside </t>
  </si>
  <si>
    <t>369K</t>
  </si>
  <si>
    <t>included 30m cook county deal</t>
  </si>
  <si>
    <t>Maintenance Backlog (Organic)</t>
  </si>
  <si>
    <t>SW and Services (Organic)</t>
  </si>
  <si>
    <t>Organic Bookings</t>
  </si>
  <si>
    <t>406k</t>
  </si>
  <si>
    <t>1Q17</t>
  </si>
  <si>
    <t xml:space="preserve">Metrics </t>
  </si>
  <si>
    <t>323K</t>
  </si>
  <si>
    <t>707K</t>
  </si>
  <si>
    <t>y/y growth rate</t>
  </si>
  <si>
    <t>2Q17</t>
  </si>
  <si>
    <t>3Q17</t>
  </si>
  <si>
    <t>Texas eFile</t>
  </si>
  <si>
    <t>4Q17</t>
  </si>
  <si>
    <t>468k</t>
  </si>
  <si>
    <t>842k</t>
  </si>
  <si>
    <t>381k</t>
  </si>
  <si>
    <t>1Q18</t>
  </si>
  <si>
    <t>4Q18</t>
  </si>
  <si>
    <t>3Q18</t>
  </si>
  <si>
    <t>2Q18</t>
  </si>
  <si>
    <t>387K</t>
  </si>
  <si>
    <t>Deferred revenue write down</t>
  </si>
  <si>
    <t>459k</t>
  </si>
  <si>
    <t>465k</t>
  </si>
  <si>
    <t xml:space="preserve">  Change In Deferred Revenue</t>
  </si>
  <si>
    <t>Billings</t>
  </si>
  <si>
    <t>% change y/y</t>
  </si>
  <si>
    <t>% change q/q</t>
  </si>
  <si>
    <t>Total Billings TTM</t>
  </si>
  <si>
    <t>2019 Billings</t>
  </si>
  <si>
    <t>2018 Billings</t>
  </si>
  <si>
    <t>2017 Billings</t>
  </si>
  <si>
    <t>2016 Billings</t>
  </si>
  <si>
    <t>CAC Ratio</t>
  </si>
  <si>
    <t>371k</t>
  </si>
  <si>
    <t>MicroPact</t>
  </si>
  <si>
    <t>License</t>
  </si>
  <si>
    <t>Services</t>
  </si>
  <si>
    <t>Maint</t>
  </si>
  <si>
    <t>78M</t>
  </si>
  <si>
    <t>1Q19</t>
  </si>
  <si>
    <t>Operating lease right-of-use assets</t>
  </si>
  <si>
    <t>Operating lease liabilities</t>
  </si>
  <si>
    <t>Operating lease liabilities, long-term</t>
  </si>
  <si>
    <t>2Q19</t>
  </si>
  <si>
    <t>3Q19</t>
  </si>
  <si>
    <t>4Q19</t>
  </si>
  <si>
    <t>2020 Billings</t>
  </si>
  <si>
    <t>Operating lease right-of-use assets - non cash</t>
  </si>
  <si>
    <t>2015 Billings</t>
  </si>
  <si>
    <t>2014 Billings</t>
  </si>
  <si>
    <t>2013 Billings</t>
  </si>
  <si>
    <t>4Q07</t>
  </si>
  <si>
    <t>3Q07</t>
  </si>
  <si>
    <t>2Q07</t>
  </si>
  <si>
    <t>1Q07</t>
  </si>
  <si>
    <t>1Q20</t>
  </si>
  <si>
    <t>Payment of contingent considerations</t>
  </si>
  <si>
    <t>2Q20</t>
  </si>
  <si>
    <t>3Q20</t>
  </si>
  <si>
    <t>4Q20</t>
  </si>
  <si>
    <t>40% exc Micropact in 1Q19</t>
  </si>
  <si>
    <t>2021E</t>
  </si>
  <si>
    <t>2021 Billings</t>
  </si>
  <si>
    <t>2019 &amp; 2020 Proforma Models</t>
  </si>
  <si>
    <t>COGS</t>
  </si>
  <si>
    <t>gross margin</t>
  </si>
  <si>
    <t>Operating margins</t>
  </si>
  <si>
    <t>Tax rate</t>
  </si>
  <si>
    <t>Income before tax</t>
  </si>
  <si>
    <t>Net income</t>
  </si>
  <si>
    <t>net margin</t>
  </si>
  <si>
    <t>NIC</t>
  </si>
  <si>
    <t>Proforma</t>
  </si>
  <si>
    <t>2022E Excluding Pandemic Revenues</t>
  </si>
  <si>
    <t>81.2mm from TourHealth and Virginia pandemic unemployment services</t>
  </si>
  <si>
    <t>2020 NIC Excluding Pandemic Revenues</t>
  </si>
  <si>
    <t>Acquired Complia and Orbit in 2019</t>
  </si>
  <si>
    <t>Complia in May</t>
  </si>
  <si>
    <t>Operating Income - Pre adjustments</t>
  </si>
  <si>
    <t>ADD: Back Office Synergies</t>
  </si>
  <si>
    <t>Less: R&amp;D Increases</t>
  </si>
  <si>
    <t>EPS on 43.5mm diluted shares</t>
  </si>
  <si>
    <t>TYL Operating Margin</t>
  </si>
  <si>
    <t>TYL FCF Margin</t>
  </si>
  <si>
    <t>debt</t>
  </si>
  <si>
    <t>MC</t>
  </si>
  <si>
    <t>State NOLS of $53k</t>
  </si>
  <si>
    <t>2022E Including Pandemic Revenues</t>
  </si>
  <si>
    <t>Interest on debt</t>
  </si>
  <si>
    <t>Adj. EBITDA</t>
  </si>
  <si>
    <t>Adj. EBITDA margins</t>
  </si>
  <si>
    <t>adj. EBITDA margins</t>
  </si>
  <si>
    <t>margin</t>
  </si>
  <si>
    <t>Adj. EBITDA post-synergies</t>
  </si>
  <si>
    <t>$25mm in Cost Synergies</t>
  </si>
  <si>
    <t>$75mm in Cost Synergies</t>
  </si>
  <si>
    <t>$50mm in Cost Synergies</t>
  </si>
  <si>
    <t>Operating Income post-synergies</t>
  </si>
  <si>
    <t>TYL Non-GAAP Net Margin</t>
  </si>
  <si>
    <t xml:space="preserve">$25mm synergies w/o </t>
  </si>
  <si>
    <t>pandemic revenues</t>
  </si>
  <si>
    <t>$50mm synergies w/o</t>
  </si>
  <si>
    <t>$25mm synergies w/</t>
  </si>
  <si>
    <t>$50mm synergies w/</t>
  </si>
  <si>
    <t>35x</t>
  </si>
  <si>
    <t>40x</t>
  </si>
  <si>
    <t>45x</t>
  </si>
  <si>
    <t>$75mm synergies w/o</t>
  </si>
  <si>
    <t>1Q21</t>
  </si>
  <si>
    <t>Tour Health</t>
  </si>
  <si>
    <t>Virginia</t>
  </si>
  <si>
    <t>Revenue Ex. Pandemic</t>
  </si>
  <si>
    <t>Total NIC Revenue</t>
  </si>
  <si>
    <t>Organic NIC ex. Pandemic</t>
  </si>
  <si>
    <t>Non-GAAP NIC Tyler</t>
  </si>
  <si>
    <t>Total RPO</t>
  </si>
  <si>
    <t>Y/Y Change in Total RPO</t>
  </si>
  <si>
    <t>Total RPO Bookings</t>
  </si>
  <si>
    <t>Y/Y Change in Short-term RPO</t>
  </si>
  <si>
    <t>Short-term RPO Bookings</t>
  </si>
  <si>
    <t>Short-term RPO (NTM)</t>
  </si>
  <si>
    <t>Tyler Technologies (TYL)</t>
  </si>
  <si>
    <t>1Q22E</t>
  </si>
  <si>
    <t>2Q22E</t>
  </si>
  <si>
    <t>3Q22E</t>
  </si>
  <si>
    <t>4Q22E</t>
  </si>
  <si>
    <t>2022E</t>
  </si>
  <si>
    <t>Gross Margin</t>
  </si>
  <si>
    <t>Appraisal Services Revenue</t>
  </si>
  <si>
    <t>Hardware &amp; Other</t>
  </si>
  <si>
    <t>Software Services, Maint, &amp; Subscrip.</t>
  </si>
  <si>
    <t>2Q21</t>
  </si>
  <si>
    <t>Total GAAP Other Income (Expense)</t>
  </si>
  <si>
    <t>Software development costs</t>
  </si>
  <si>
    <t>Other non-current assets</t>
  </si>
  <si>
    <t>Other long term liabilities</t>
  </si>
  <si>
    <t>Total Cost of Revenue</t>
  </si>
  <si>
    <t>Non-GAAP Operating Income (Loss)</t>
  </si>
  <si>
    <t>Guidance / Consensus Estimates</t>
  </si>
  <si>
    <t>FY21 G Prev</t>
  </si>
  <si>
    <t>FY21 G New</t>
  </si>
  <si>
    <t>FY21 Cons.</t>
  </si>
  <si>
    <t xml:space="preserve">3Q Cons. </t>
  </si>
  <si>
    <t>4Q Guide</t>
  </si>
  <si>
    <t>4Q Cons.</t>
  </si>
  <si>
    <t>Acquired related cost in other income (expense)</t>
  </si>
  <si>
    <t>Total Non-GAAP Other Income (Expense)</t>
  </si>
  <si>
    <t>3Q21</t>
  </si>
  <si>
    <t>Increase in other long term liabilities</t>
  </si>
  <si>
    <t>Short-term investments</t>
  </si>
  <si>
    <t>Payment on term loans</t>
  </si>
  <si>
    <t>4Q21</t>
  </si>
  <si>
    <t>Total License - Enterprise Software</t>
  </si>
  <si>
    <t>Total License - Appraisal &amp; Tax</t>
  </si>
  <si>
    <t>Total Sub. - Enterprise Software</t>
  </si>
  <si>
    <t>Total Sub. - Appriasal &amp; Tax</t>
  </si>
  <si>
    <t>Organic - Enterprise Software</t>
  </si>
  <si>
    <t>Organic - Appraisal &amp; Tax</t>
  </si>
  <si>
    <t>E-Filing Revenue</t>
  </si>
  <si>
    <t>Online Payments Revenue</t>
  </si>
  <si>
    <t>COVID Revenues</t>
  </si>
  <si>
    <t>1Q23E</t>
  </si>
  <si>
    <t>2Q23E</t>
  </si>
  <si>
    <t>3Q23E</t>
  </si>
  <si>
    <t>4Q23E</t>
  </si>
  <si>
    <t>2023E</t>
  </si>
  <si>
    <t>Amortization of debt discount</t>
  </si>
  <si>
    <t>ESS Subscriptions less payments</t>
  </si>
  <si>
    <t>Total payments revenues</t>
  </si>
  <si>
    <t>Municipal Courts</t>
  </si>
  <si>
    <t>NIC Products</t>
  </si>
  <si>
    <t>Product or Service</t>
  </si>
  <si>
    <t>Description</t>
  </si>
  <si>
    <t>Primary Users</t>
  </si>
  <si>
    <t>Business Registrations and Renewals</t>
  </si>
  <si>
    <t>Allows business owners to search for and reserve a business name, submit and pay for the business registration, and renew the business registration on an annual basis.</t>
  </si>
  <si>
    <t>Businesses</t>
  </si>
  <si>
    <t>Court Services</t>
  </si>
  <si>
    <t>Allows authorized users to search court record databases, make payments for court fines, and in some cases digitally file court documents.</t>
  </si>
  <si>
    <t>Legal professionals, citizens</t>
  </si>
  <si>
    <t>Driver’s License Renewal</t>
  </si>
  <si>
    <t>Permits citizens to renew and pay for their driver’s license online.</t>
  </si>
  <si>
    <t>Citizens</t>
  </si>
  <si>
    <t>Health Professional License Services</t>
  </si>
  <si>
    <t>Allows users to search databases on several health professions to verify license status.</t>
  </si>
  <si>
    <t>Hospitals, clinics, health insurers, citizens</t>
  </si>
  <si>
    <t>Hunting and Fishing Licenses</t>
  </si>
  <si>
    <t>Permits citizens to obtain and pay for outdoor recreation licenses over the internet via a computer or mobile device or from point-of-purchase retail kiosks.</t>
  </si>
  <si>
    <t>Income and Property Tax Payments</t>
  </si>
  <si>
    <t>Allows users to file and pay for a variety of state and local income and property taxes.</t>
  </si>
  <si>
    <t>Businesses and citizens</t>
  </si>
  <si>
    <t>Limited Criminal History Searches</t>
  </si>
  <si>
    <t>For those legally authorized, provides users with the ability to obtain a limited criminal history report on a specified individual.</t>
  </si>
  <si>
    <t>Schools, governments, human resource professionals, nonprofits working with children or handicapped adults</t>
  </si>
  <si>
    <t>Motor Vehicle Driver History Record Retrieval</t>
  </si>
  <si>
    <t>For those legally authorized businesses, this service offers controlled instant look-up of driving history records. Includes commercial licenses.</t>
  </si>
  <si>
    <t>Data resellers, insurance companies</t>
  </si>
  <si>
    <t>Motor Vehicle Inspections</t>
  </si>
  <si>
    <t>Allows licensed state inspection stations to file certified motor vehicle and emissions testing inspections online.</t>
  </si>
  <si>
    <t>Payment Processing</t>
  </si>
  <si>
    <t>Permits use of the internet for secure industry-compliant credit/debit card processing, electronic check processing, and cash, including at the point of sale.</t>
  </si>
  <si>
    <t>Prescription Drug Monitoring</t>
  </si>
  <si>
    <t>Tracks the prescribing and dispensing of controlled substances. Consolidates disparate information representing treatment options, education, enforcement and regulatory requirements, and prescriber patterns and volumes.</t>
  </si>
  <si>
    <t>Hospitals, clinics, doctors, law enforcement, governments</t>
  </si>
  <si>
    <t>Professional License Renewal</t>
  </si>
  <si>
    <t>Permits professionals to renew and pay for their licenses online.</t>
  </si>
  <si>
    <t>Attorneys, doctors, nurses, architects, and other licensed professionals</t>
  </si>
  <si>
    <t>Secretary of State Business Searches</t>
  </si>
  <si>
    <t>Allows users to access filings of corporations, partnerships, and other entities, including charter documents.</t>
  </si>
  <si>
    <t>Attorneys, lenders</t>
  </si>
  <si>
    <t>Temporary Vehicle Tags</t>
  </si>
  <si>
    <t>Records temporary vehicle tag registration of a newly purchased car in real time with the state and issues a customized temporary plate for display on the vehicle.</t>
  </si>
  <si>
    <t>Automobile dealerships, citizens, law enforcement</t>
  </si>
  <si>
    <t>Uniform Commercial Code (UCC) Searches and Filings</t>
  </si>
  <si>
    <t>Permits searches of the UCC database to verify financial liens and permits filings of secured financial documents.</t>
  </si>
  <si>
    <t>Vehicle Title, Lien &amp; Registration</t>
  </si>
  <si>
    <t>Provides controlled interactive title, registration, and lien database access. Permits citizens to renew and pay for their vehicle registrations online.</t>
  </si>
  <si>
    <t>Insurance companies, lenders, citizens</t>
  </si>
  <si>
    <t>Vital Records</t>
  </si>
  <si>
    <t>Provides authorized access to birth, death, marriage, domestic partnership and civil union certificates.</t>
  </si>
  <si>
    <t>traditional large systems integrators and consulting firms, including Deloitte, Accenture, IBM, CGI and Unisys;</t>
  </si>
  <si>
    <t>•platform providers, including AWS, Microsoft and Salesforce;</t>
  </si>
  <si>
    <t>•digital transaction payment processors, including First Payment Systems, Paymentus and FIS;</t>
  </si>
  <si>
    <t>•software application developers and business, professional and occupational license providers, including Accela, FAST Enterprises and GCR; and</t>
  </si>
  <si>
    <t>•other niche providers, such as Aspira, Sovereign Sportsman Solutions and Brandt Information Services in outdoors and Appriss in healthcare.</t>
  </si>
  <si>
    <t>TourHealth, Virginia Rent Relief, Unemployment</t>
  </si>
  <si>
    <t>Glass Arc, Inc, ReadySub, DataSpec, Inc.</t>
  </si>
  <si>
    <t>$12.1mm combined</t>
  </si>
  <si>
    <t>On September 9, 2021, we acquired all the equity interest of Ultimate Information Systems, Inc. (dba Arx). Arx is a cloud-based platform which creates accessible technology to enable a modern-day police force that is fully transparent, accountable, and a trusted resource to the community it serves. The total purchase price, net of cash acquired, was approximately $12.8 million, of which $12.4 million was paid in cash and approximately $0.5 million was accrued for indemnity holdbacks, subject to certain post-closing adjustments.</t>
  </si>
  <si>
    <t>On September 1, 2021, we acquired VendEngine, Inc (VendEngine) as contemplated by the Agreement and Plan of Merger dated June 3, 2021. As result of the merger, VendEngine became a direct subsidiary of the Company. VendEngine is a cloud-based software provider focused on financial technology for the corrections market. The total purchase price, net of cash acquired of $1.7 million, was approximately $83.8 million, consisting of $80.2 million paid in cash, and approximately $5.4 million related to indemnity holdbacks, subject to certain post-closing adjustments.</t>
  </si>
  <si>
    <t>On April 21, 2021 (“the Closing Date”), we acquired NIC as contemplated by the Agreement and Plan of Merger dated February 9, 2021. As result of the merger, NIC became a direct subsidiary of the Company and NIC’s subsidiaries became indirect subsidiaries. NIC is a leading digital government solutions and payment company that primarily serves federal and state government agencies. The total purchase price, net of cash acquired of $331.8 million, was approximately $2.0 billion, consisting of cash paid of $2.3 billion and $1.9 million of purchase consideration related to the conversion of unvested restricted stock awards, subject to post-closing adjustments.</t>
  </si>
  <si>
    <t>Arx</t>
  </si>
  <si>
    <t>$12.8mm</t>
  </si>
  <si>
    <t xml:space="preserve">Arx is a cloud-based platform which creates accessible technology to enable a modern-day police force that is fully transparent, accountable, and a trusted resource to the community it serves. </t>
  </si>
  <si>
    <t>VendEngine</t>
  </si>
  <si>
    <t>$84mm</t>
  </si>
  <si>
    <t>Cloud based FinTech for corrections management.</t>
  </si>
  <si>
    <t>NIC, Inc.</t>
  </si>
  <si>
    <t>$2.3B</t>
  </si>
  <si>
    <t>$460mm</t>
  </si>
  <si>
    <t>ReadySub assists school districts with absence tracking, filling substitute teacher assignments, and automating essential payroll processes.     DataSpec, a market leader dedicated to providing better electronic management of veterans' claims.</t>
  </si>
  <si>
    <t>US eDirect</t>
  </si>
  <si>
    <t xml:space="preserve">NIC is a provider of digital government solutions that primarily serves federal and state government agencies. </t>
  </si>
  <si>
    <t>Technology solutions for campground and outdoor recreation management.</t>
  </si>
  <si>
    <t>March 2021</t>
  </si>
  <si>
    <t>$202mm</t>
  </si>
  <si>
    <t>2/1/2019</t>
  </si>
  <si>
    <t>MyCivic</t>
  </si>
  <si>
    <t xml:space="preserve">$3.7mm </t>
  </si>
  <si>
    <t xml:space="preserve">Courthouse Technologies, Inc. </t>
  </si>
  <si>
    <t>$20.4mm</t>
  </si>
  <si>
    <t>On December 7, 2018, we acquired certain assets and intellectual property of SceneDoc, Inc. ("SceneDoc"), a company that provides mobile-first, software-as-a-service (SaaS) field reporting for law enforcement agencies. The total purchase price was approximately $6.2 million, of which $5.4 million was paid in cash and approximately $759,000 accrued for a working capital holdback. As of December 31, 2018, the purchase price allocation for SceneDoc is not yet complete. The preliminary estimates of fair value assumed at the acquisition date for intangible assets, receivables and deferred revenue and related deferred taxes are subject to change as valuations are finalized.</t>
  </si>
  <si>
    <t>On October 1, 2018, we acquired all of the equity interests of TradeMaster, Inc. dba MobileEyes ("MobileEyes"), a company that develops software to improve public safety by supporting fire prevention and suppression, emergency response, and structural safety. The total purchase price was approximately $5.3 million in cash.</t>
  </si>
  <si>
    <t>On August 31, 2018, we acquired all of the assets of CaseloadPRO, L. P. ("CaseloadPro"), a company that provides a fully featured probation case management system. The purchase price of $9.3 million was paid in cash.</t>
  </si>
  <si>
    <t>On April 30, 2018, we acquired all of the capital stock of Socrata, Inc. ("Socrata"), a company that provides open data and data-as-a-service solutions including cloud-based data integration, visualization, analysis, and reporting solutions for federal, state and local government agencies. The purchase price, net of cash acquired of $1.7 million, was $147.6 million in cash.</t>
  </si>
  <si>
    <t>On April 30, 2018, we acquired all of the equity interests of Sage Data Security, LLC ("Sage"), a cybersecurity company offering a suite of services that supports an entire cybersecurity lifecycle, including program development, education and training, technical testing, advisory services, and digital forensics. The total purchase price was $11.6 million paid in cash.</t>
  </si>
  <si>
    <t>As of December 31, 2018, the purchase price allocations for Sage, Socrata, CaseloadPro, and MobileEyes are complete.</t>
  </si>
  <si>
    <t>Core TYL Payments</t>
  </si>
  <si>
    <t>1Q22</t>
  </si>
  <si>
    <t>Enterprise Software</t>
  </si>
  <si>
    <t>License and Royalty</t>
  </si>
  <si>
    <t>Subscriptions</t>
  </si>
  <si>
    <t>Y/Y</t>
  </si>
  <si>
    <t>Maintenance</t>
  </si>
  <si>
    <t xml:space="preserve">Intercompany </t>
  </si>
  <si>
    <t>Platform Technologies</t>
  </si>
  <si>
    <t>Total Company Revenues</t>
  </si>
  <si>
    <t>Total Enterprise Revenues</t>
  </si>
  <si>
    <t>Total Platform Revenues</t>
  </si>
  <si>
    <t>2Q22</t>
  </si>
  <si>
    <t>Joshua Reilly, CFA, Jreilly@needhamco.com</t>
  </si>
  <si>
    <t>612.386.4640</t>
  </si>
  <si>
    <t>E-File Revenues</t>
  </si>
  <si>
    <t>NIC, Excluding COVID</t>
  </si>
  <si>
    <t>COVID NIC Revenues</t>
  </si>
  <si>
    <t>3Q22</t>
  </si>
  <si>
    <t>Beginning Backlog</t>
  </si>
  <si>
    <t>Ending Backlog</t>
  </si>
  <si>
    <t>Increase/Decrease</t>
  </si>
  <si>
    <t>Total Non-GAAP Revenue</t>
  </si>
  <si>
    <t>Bookings/Acquisitions</t>
  </si>
  <si>
    <t>Trailing 4 Qtrs Bookings</t>
  </si>
  <si>
    <t xml:space="preserve">SaaS </t>
  </si>
  <si>
    <t>Transaction</t>
  </si>
  <si>
    <t>Appraisala</t>
  </si>
  <si>
    <t>hardware</t>
  </si>
  <si>
    <t>4Q22</t>
  </si>
  <si>
    <t>Sales &amp; Marketing</t>
  </si>
  <si>
    <t>General &amp; Administrative</t>
  </si>
  <si>
    <t>1Q24E</t>
  </si>
  <si>
    <t>2Q24E</t>
  </si>
  <si>
    <t>3Q24E</t>
  </si>
  <si>
    <t>4Q24E</t>
  </si>
  <si>
    <t>2024E</t>
  </si>
  <si>
    <t>Organic Growth Implied in FY Guide</t>
  </si>
  <si>
    <t>Non-GAAP Organic Revenue Growth</t>
  </si>
  <si>
    <t>Non-GAAP organic ARR Growth</t>
  </si>
  <si>
    <t>1Q23</t>
  </si>
  <si>
    <t>2Q23</t>
  </si>
  <si>
    <t>3Q23</t>
  </si>
  <si>
    <t>2025E</t>
  </si>
  <si>
    <t>SaaS</t>
  </si>
  <si>
    <t>Transaction-Based Fees</t>
  </si>
  <si>
    <t>SaaS Revenue</t>
  </si>
  <si>
    <t>Transaction Based Revenue</t>
  </si>
  <si>
    <t>SaaS ARR</t>
  </si>
  <si>
    <t>Transaction Based ARR</t>
  </si>
  <si>
    <t>Needham Non-GAAP OM</t>
  </si>
  <si>
    <t>Consensus Non-GAAP OM</t>
  </si>
  <si>
    <t xml:space="preserve">Difference </t>
  </si>
  <si>
    <t xml:space="preserve">Revenue </t>
  </si>
  <si>
    <t>2030E</t>
  </si>
  <si>
    <t>% Recurring</t>
  </si>
  <si>
    <t>86-87%</t>
  </si>
  <si>
    <t>~90%</t>
  </si>
  <si>
    <t>Margin Profile</t>
  </si>
  <si>
    <t>S&amp;M % of Revenue</t>
  </si>
  <si>
    <t>G&amp;A % of Revenue</t>
  </si>
  <si>
    <t>R&amp;D % of Revenue</t>
  </si>
  <si>
    <t>Non-GAAP OM</t>
  </si>
  <si>
    <t>Free Cash Flow Margin</t>
  </si>
  <si>
    <t>$2.3-$2.4B</t>
  </si>
  <si>
    <t>$3.6-$3.8B</t>
  </si>
  <si>
    <t>47-48%</t>
  </si>
  <si>
    <t>53-55%</t>
  </si>
  <si>
    <t>~7%</t>
  </si>
  <si>
    <t>~11%</t>
  </si>
  <si>
    <t>~5%</t>
  </si>
  <si>
    <t>~25%</t>
  </si>
  <si>
    <t>17-19%</t>
  </si>
  <si>
    <t>6-7%</t>
  </si>
  <si>
    <t>9-10%</t>
  </si>
  <si>
    <t>30%+</t>
  </si>
  <si>
    <t>High 20s</t>
  </si>
  <si>
    <t>4Q23</t>
  </si>
  <si>
    <t>less than 50 bps, more improvement at OM line</t>
  </si>
  <si>
    <t>Half Gross Margin and Half Open</t>
  </si>
  <si>
    <t>G&amp;A up LSD</t>
  </si>
  <si>
    <t>int Expense 7.5mm</t>
  </si>
  <si>
    <t>1Q24</t>
  </si>
  <si>
    <t>NIC + TYLER</t>
  </si>
  <si>
    <t>Revenue by Segment</t>
  </si>
  <si>
    <t>Revenue by Type</t>
  </si>
  <si>
    <t>Transaction Revenue</t>
  </si>
  <si>
    <t>Total Transaction Revenue</t>
  </si>
  <si>
    <t>2Q24</t>
  </si>
  <si>
    <t>2022 Billings</t>
  </si>
  <si>
    <t>2023 Billings</t>
  </si>
  <si>
    <t>2024 Billings</t>
  </si>
  <si>
    <t xml:space="preserve">    Amortization</t>
  </si>
  <si>
    <t>Backlog and Bookings</t>
  </si>
  <si>
    <t>Software Services, Maintenance &amp; Subsc.</t>
  </si>
  <si>
    <t>3Q24</t>
  </si>
  <si>
    <t>As a % of Revenue</t>
  </si>
  <si>
    <t>4Q24</t>
  </si>
  <si>
    <t>FY24A</t>
  </si>
  <si>
    <t>FY25E</t>
  </si>
  <si>
    <t>Professional Services</t>
  </si>
  <si>
    <t>FY23A</t>
  </si>
  <si>
    <t>Corporate</t>
  </si>
  <si>
    <t>1Q26E</t>
  </si>
  <si>
    <t>2Q26E</t>
  </si>
  <si>
    <t>3Q26E</t>
  </si>
  <si>
    <t>4Q26E</t>
  </si>
  <si>
    <t>2026E</t>
  </si>
  <si>
    <t>1Q25</t>
  </si>
  <si>
    <t>Short Term Debt</t>
  </si>
  <si>
    <t>2Q25</t>
  </si>
  <si>
    <t>3Q25</t>
  </si>
  <si>
    <t>Ex impact of LDD</t>
  </si>
  <si>
    <t>Recrruing, SaaS, Maintenace and Transactions Combined</t>
  </si>
  <si>
    <t>Feature</t>
  </si>
  <si>
    <t>Traditional Payment Processor</t>
  </si>
  <si>
    <t>Tyler Technologies (PayFac)</t>
  </si>
  <si>
    <t>Merchant ID (MID)</t>
  </si>
  <si>
    <t>Every single city or court needs its own unique MID from a bank.</t>
  </si>
  <si>
    <t>Tyler has a Master MID. Agencies are "sub-merchants" under Tyler.</t>
  </si>
  <si>
    <t>Onboarding</t>
  </si>
  <si>
    <t>Slow (2–4 weeks). Requires the city to pass bank credit checks.</t>
  </si>
  <si>
    <t>Instant (Minutes/Hours). Tyler performs the "underwriting" itself.</t>
  </si>
  <si>
    <t>Contracting</t>
  </si>
  <si>
    <t>City must sign with a Bank, a Gateway, and a Software vendor.</t>
  </si>
  <si>
    <t>Single Vendor. The city only signs a contract with Tyler.</t>
  </si>
  <si>
    <t>Risk &amp; Liability</t>
  </si>
  <si>
    <t>The bank/processor holds the fraud risk.</t>
  </si>
  <si>
    <t>Tyler assumes the risk. If a sub-merchant (city) defaults, Tyler is liable.</t>
  </si>
  <si>
    <t>Tyler Technologies (PayFac Model)</t>
  </si>
  <si>
    <r>
      <rPr>
        <b/>
        <sz val="10"/>
        <color theme="1"/>
        <rFont val="Arial"/>
        <family val="2"/>
      </rPr>
      <t>Tyler has a Master MID.</t>
    </r>
    <r>
      <rPr>
        <sz val="10"/>
        <color theme="1"/>
        <rFont val="Arial"/>
        <family val="2"/>
      </rPr>
      <t xml:space="preserve"> Agencies are "sub-merchants" under Tyler.</t>
    </r>
  </si>
  <si>
    <r>
      <rPr>
        <b/>
        <sz val="10"/>
        <color theme="1"/>
        <rFont val="Arial"/>
        <family val="2"/>
      </rPr>
      <t>Instant (Minutes/Hours).</t>
    </r>
    <r>
      <rPr>
        <sz val="10"/>
        <color theme="1"/>
        <rFont val="Arial"/>
        <family val="2"/>
      </rPr>
      <t xml:space="preserve"> Tyler performs the "underwriting" itself.</t>
    </r>
  </si>
  <si>
    <r>
      <rPr>
        <b/>
        <sz val="10"/>
        <color theme="1"/>
        <rFont val="Arial"/>
        <family val="2"/>
      </rPr>
      <t>Single Vendor.</t>
    </r>
    <r>
      <rPr>
        <sz val="10"/>
        <color theme="1"/>
        <rFont val="Arial"/>
        <family val="2"/>
      </rPr>
      <t xml:space="preserve"> The city only signs a contract with Tyler.</t>
    </r>
  </si>
  <si>
    <r>
      <rPr>
        <b/>
        <sz val="10"/>
        <color theme="1"/>
        <rFont val="Arial"/>
        <family val="2"/>
      </rPr>
      <t>Tyler assumes the risk.</t>
    </r>
    <r>
      <rPr>
        <sz val="10"/>
        <color theme="1"/>
        <rFont val="Arial"/>
        <family val="2"/>
      </rPr>
      <t xml:space="preserve"> If a sub-merchant (city) defaults, Tyler is liable.</t>
    </r>
  </si>
  <si>
    <t>FY23</t>
  </si>
  <si>
    <t>FY24</t>
  </si>
  <si>
    <t>EBITDA</t>
  </si>
  <si>
    <t xml:space="preserve">Enterprise Value </t>
  </si>
  <si>
    <t>Share Price</t>
  </si>
  <si>
    <t>FY26E</t>
  </si>
  <si>
    <t>FY27E</t>
  </si>
  <si>
    <t>28x/23x</t>
  </si>
  <si>
    <t>EV/FCF</t>
  </si>
  <si>
    <t>49x</t>
  </si>
  <si>
    <t>Full Business</t>
  </si>
  <si>
    <t>Ex. Texas</t>
  </si>
  <si>
    <t xml:space="preserve">   EBITDA Margin</t>
  </si>
  <si>
    <t xml:space="preserve">   FCF Margin</t>
  </si>
  <si>
    <t>Valuation</t>
  </si>
  <si>
    <t>5-Yr Average</t>
  </si>
  <si>
    <t>Financials</t>
  </si>
  <si>
    <t>EV/FCF on FY26/27E</t>
  </si>
  <si>
    <t>Segment Revenue</t>
  </si>
  <si>
    <t>4Q25</t>
  </si>
  <si>
    <t>4Q25E</t>
  </si>
  <si>
    <t>30 bps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</si>
</sst>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3">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_(* \(#,##0\);_(* &quot;-&quot;??_);_(@_)"/>
    <numFmt numFmtId="165" formatCode="0.0%"/>
    <numFmt numFmtId="166" formatCode="_(* #,##0.000_);_(* \(#,##0.000\);_(* &quot;-&quot;???_);_(@_)"/>
    <numFmt numFmtId="167" formatCode="_(* #,##0_);_(* \(#,##0\);_(* &quot;-&quot;???_);_(@_)"/>
    <numFmt numFmtId="168" formatCode="_(* #,##0_);_(* \(#,##0\);_(* &quot;-&quot;?_);_(@_)"/>
    <numFmt numFmtId="169" formatCode="0.00000"/>
    <numFmt numFmtId="170" formatCode="_(* #,##0.0_);_(* \(#,##0.0\);_(* &quot;-&quot;??_);_(@_)"/>
    <numFmt numFmtId="171" formatCode="&quot;$&quot;#,##0.0_);[Red]\(&quot;$&quot;#,##0.0\)"/>
    <numFmt numFmtId="172" formatCode="0_);\(0\)"/>
    <numFmt numFmtId="173" formatCode="#,###"/>
    <numFmt numFmtId="174" formatCode="&quot;$&quot;#,##0"/>
    <numFmt numFmtId="175" formatCode="_(* #,##0.000_);_(* \(#,##0.000\);_(* &quot;-&quot;??_);_(@_)"/>
    <numFmt numFmtId="176" formatCode="_(&quot;$&quot;* #,##0.0_);_(&quot;$&quot;* \(#,##0.0\);_(&quot;$&quot;* &quot;-&quot;??_);_(@_)"/>
    <numFmt numFmtId="177" formatCode="_(&quot;$&quot;* #,##0_);_(&quot;$&quot;* \(#,##0\);_(&quot;$&quot;* &quot;-&quot;??_);_(@_)"/>
    <numFmt numFmtId="178" formatCode="0\ %"/>
    <numFmt numFmtId="179" formatCode="0.0\ %"/>
    <numFmt numFmtId="180" formatCode="0.00\ %"/>
    <numFmt numFmtId="181" formatCode="#,##0.0_);\(#,##0.0\)"/>
    <numFmt numFmtId="182" formatCode="[$-409]h:mm:ss\ AM/PM"/>
    <numFmt numFmtId="183" formatCode="&quot;$&quot;\ #,##0.0_);\(&quot;$&quot;\ #,##0.0\)"/>
    <numFmt numFmtId="184" formatCode="&quot;$&quot;\ #,##0.00_);[Red]\(&quot;$&quot;\ #,##0.00\)"/>
    <numFmt numFmtId="185" formatCode="&quot;$&quot;#,##0.000_);[Red]\(&quot;$&quot;#,##0.000\)"/>
    <numFmt numFmtId="186" formatCode="0.0%;\ \(0.0%\)"/>
    <numFmt numFmtId="187" formatCode="0_)"/>
    <numFmt numFmtId="188" formatCode="General_)"/>
    <numFmt numFmtId="189" formatCode="0.0"/>
    <numFmt numFmtId="190" formatCode="[$-409]mmm\-yy;@"/>
    <numFmt numFmtId="191" formatCode="&quot;$&quot;#,##0.00"/>
    <numFmt numFmtId="192" formatCode="[$-409]mmmmm;@"/>
    <numFmt numFmtId="193" formatCode="#,##0.00\ \ ;"/>
    <numFmt numFmtId="194" formatCode="#,##0.\9\5\ \ ;"/>
    <numFmt numFmtId="195" formatCode="#,##0.\9\9\ \ ;"/>
    <numFmt numFmtId="196" formatCode="&quot; CALL FOR DELIVERY APPT: (909) 428-8600               &quot;"/>
    <numFmt numFmtId="197" formatCode="&quot;1-56884-&quot;000\-0"/>
    <numFmt numFmtId="198" formatCode="&quot;1-878058-&quot;00\-0"/>
    <numFmt numFmtId="199" formatCode="m/d"/>
    <numFmt numFmtId="200" formatCode="mm/dd"/>
    <numFmt numFmtId="201" formatCode="mm/yy"/>
    <numFmt numFmtId="202" formatCode="mmm\ \'yy"/>
    <numFmt numFmtId="203" formatCode="&quot;0-87779-&quot;000\-0"/>
    <numFmt numFmtId="204" formatCode="[$€-2]\ #,##0.00"/>
    <numFmt numFmtId="205" formatCode="#,##0.0\ \ \ ;\(#,##0.0\)\ \ "/>
    <numFmt numFmtId="206" formatCode="&quot;0-07-88&quot;0000\-0"/>
    <numFmt numFmtId="207" formatCode="&quot; CALL FOR DELIVERY APPT: (203) 928-0847                &quot;"/>
    <numFmt numFmtId="208" formatCode="0.0%_);\(0.0%\);0.0%_);@_)"/>
    <numFmt numFmtId="209" formatCode="0%_);\(0%\);0%_);@_)"/>
    <numFmt numFmtId="210" formatCode="&quot;$&quot;#,##0.0_);\(&quot;$&quot;#,##0.0\)"/>
    <numFmt numFmtId="211" formatCode="#,##0.000_);\(#,##0.000\)"/>
    <numFmt numFmtId="212" formatCode="#,##0.0\x"/>
    <numFmt numFmtId="213" formatCode=";;;"/>
    <numFmt numFmtId="214" formatCode="m/d/yy"/>
    <numFmt numFmtId="215" formatCode="0.0\x"/>
    <numFmt numFmtId="216" formatCode="0.00\ \ "/>
    <numFmt numFmtId="217" formatCode="0.0\ \x"/>
    <numFmt numFmtId="218" formatCode="#,##0.00_);\(#,##0.00\);_(* &quot;-&quot;_)"/>
    <numFmt numFmtId="219" formatCode="#,##0.0_);\(#,##0.0\);_(* &quot;-&quot;_)"/>
    <numFmt numFmtId="220" formatCode="#,##0.00\x"/>
    <numFmt numFmtId="221" formatCode="0.0_%"/>
    <numFmt numFmtId="222" formatCode="#,##0.000;\(#,##0.000\)"/>
    <numFmt numFmtId="223" formatCode="_(&quot;$&quot;* #,##0.00_);_(&quot;$&quot;* \(#,##0.00\);_(* &quot;-&quot;_);_(@_)"/>
    <numFmt numFmtId="224" formatCode="_(&quot;$&quot;* #,##0.000_);_(&quot;$&quot;* \(#,##0.000\);_(* &quot;-&quot;_);_(@_)"/>
    <numFmt numFmtId="225" formatCode="_(&quot;$&quot;* #,##0.0_);_(&quot;$&quot;* \(#,##0.0\);_(* &quot;-&quot;_);_(@_)"/>
    <numFmt numFmtId="226" formatCode="#,##0_);\(#,##0\);_(* &quot;-&quot;_);_(* &quot;-&quot;_)"/>
    <numFmt numFmtId="227" formatCode="_(###.##%_);\(* &quot;-&quot;_);_(@_)"/>
    <numFmt numFmtId="228" formatCode="#,##0.00000000_);[Red]\(#,##0.00000000\)"/>
    <numFmt numFmtId="229" formatCode="#,##0.0000"/>
    <numFmt numFmtId="230" formatCode="#,##0.0;[Red]\(#,##0.0\)"/>
    <numFmt numFmtId="231" formatCode="#\ ##0\ "/>
    <numFmt numFmtId="232" formatCode="_(* #,##0.0_);_(* \(#,##0.0\);_(* &quot;-&quot;_);_(@_)"/>
    <numFmt numFmtId="233" formatCode="0.000_)"/>
    <numFmt numFmtId="234" formatCode="#,##0\ ;\(#,##0.0\)"/>
    <numFmt numFmtId="235" formatCode="0.00_);\(0.00\);0.00"/>
    <numFmt numFmtId="236" formatCode="&quot;$&quot;#,##0\ ;\(&quot;$&quot;#,##0\)"/>
    <numFmt numFmtId="237" formatCode="&quot;$&quot;#,##0.0_);\(&quot;$&quot;#,##0.0\)&quot;MM&quot;"/>
    <numFmt numFmtId="238" formatCode="#,##0,"/>
    <numFmt numFmtId="239" formatCode="#,##0,,"/>
    <numFmt numFmtId="240" formatCode="_([$€-2]* #,##0.00_);_([$€-2]* \(#,##0.00\);_([$€-2]* &quot;-&quot;??_)"/>
    <numFmt numFmtId="241" formatCode="\+\ #\ ??/??;[Red]\ \-\ #\ ??/??"/>
    <numFmt numFmtId="242" formatCode="0.00_);\(0.00\);0.00_)"/>
    <numFmt numFmtId="243" formatCode="_-* #,##0_-;\-* #,##0_-;_-* &quot;-&quot;_-;_-@_-"/>
    <numFmt numFmtId="244" formatCode="_-* #,##0.00_-;\-* #,##0.00_-;_-* &quot;-&quot;??_-;_-@_-"/>
    <numFmt numFmtId="245" formatCode="_-&quot;$&quot;* #,##0_-;\-&quot;$&quot;* #,##0_-;_-&quot;$&quot;* &quot;-&quot;_-;_-@_-"/>
    <numFmt numFmtId="246" formatCode="_-&quot;$&quot;* #,##0.00_-;\-&quot;$&quot;* #,##0.00_-;_-&quot;$&quot;* &quot;-&quot;??_-;_-@_-"/>
    <numFmt numFmtId="247" formatCode="0.00_)"/>
    <numFmt numFmtId="248" formatCode="#,##0.00_);\(#,##0.00\);&quot; --- &quot;"/>
    <numFmt numFmtId="249" formatCode="#,"/>
    <numFmt numFmtId="250" formatCode="0.00\%;\-0.00\%;0.00\%"/>
    <numFmt numFmtId="251" formatCode="0.00;\-0.00;0.00"/>
    <numFmt numFmtId="252" formatCode="0.00\x;\-0.00\x;0.00\x"/>
    <numFmt numFmtId="253" formatCode="##0.00000"/>
    <numFmt numFmtId="254" formatCode="General;\-General;General;"/>
    <numFmt numFmtId="255" formatCode="[$€-2]\ #,##0.00_);[Red]\([$€-2]\ #,##0.00\)"/>
    <numFmt numFmtId="256" formatCode="&quot;$&quot;* #,##0.00"/>
    <numFmt numFmtId="257" formatCode="_(&quot;$&quot;* #,##0_);_(&quot;$&quot;* \(#,##0\);_(&quot;$&quot;* &quot;-&quot;??_);_(* @_)"/>
    <numFmt numFmtId="258" formatCode="_(* #,##0.00_);_(* \(#,##0.00\);_(* &quot;-&quot;??_);_(* @_)"/>
    <numFmt numFmtId="259" formatCode="_._.* #,##0.00_)_%;_._.* \(#,##0.00\)_%"/>
    <numFmt numFmtId="260" formatCode="_._.&quot;$&quot;* #,##0.00_)_%;_._.&quot;$&quot;* \(#,##0.00\)_%"/>
    <numFmt numFmtId="261" formatCode="_._._(* 0_)%;_._.* \(0\)%"/>
    <numFmt numFmtId="262" formatCode="_._._(* 0.00_)%;_._.* \(0.00\)%"/>
    <numFmt numFmtId="263" formatCode="_._.* \(#,##0\)_%;_._.* #,##0_)_%;_._.* 0_)_%;_._.@_)_%"/>
    <numFmt numFmtId="264" formatCode="_._.&quot;$&quot;* \(#,##0\)_%;_._.&quot;$&quot;* #,##0_)_%;_._.&quot;$&quot;* 0_)_%;_._.@_)_%"/>
    <numFmt numFmtId="265" formatCode="[$-409]mmmm\ d\,\ yyyy;@"/>
    <numFmt numFmtId="266" formatCode="_(* #,##0.0000_);_(* \(#,##0.0000\);_(* &quot;-&quot;??_);_(@_)"/>
    <numFmt numFmtId="267" formatCode="0.0000"/>
    <numFmt numFmtId="268" formatCode="#,##0.0"/>
  </numFmts>
  <fonts count="301">
    <font>
      <sz val="11"/>
      <color theme="1"/>
      <name val="Calibri"/>
      <family val="2"/>
      <scheme val="minor"/>
    </font>
    <font>
      <sz val="11"/>
      <color theme="1"/>
      <name val="Calibri"/>
      <family val="2"/>
      <scheme val="minor"/>
    </font>
    <font>
      <b/>
      <sz val="12"/>
      <color theme="1"/>
      <name val="Arial"/>
      <family val="2"/>
    </font>
    <font>
      <b/>
      <sz val="10"/>
      <color theme="0"/>
      <name val="Arial"/>
      <family val="2"/>
    </font>
    <font>
      <sz val="10"/>
      <color theme="1"/>
      <name val="Arial"/>
      <family val="2"/>
    </font>
    <font>
      <sz val="10"/>
      <color indexed="8"/>
      <name val="Arial"/>
      <family val="2"/>
    </font>
    <font>
      <b/>
      <sz val="10"/>
      <color theme="1"/>
      <name val="Arial"/>
      <family val="2"/>
    </font>
    <font>
      <sz val="10"/>
      <name val="Arial"/>
      <family val="2"/>
    </font>
    <font>
      <i/>
      <sz val="10"/>
      <name val="Arial"/>
      <family val="2"/>
    </font>
    <font>
      <b/>
      <sz val="10"/>
      <name val="Arial"/>
      <family val="2"/>
    </font>
    <font>
      <sz val="10"/>
      <color rgb="FF0070C0"/>
      <name val="Arial"/>
      <family val="2"/>
    </font>
    <font>
      <sz val="10"/>
      <color theme="1"/>
      <name val="Calibri"/>
      <family val="2"/>
      <scheme val="minor"/>
    </font>
    <font>
      <sz val="10"/>
      <color rgb="FFFF0000"/>
      <name val="Arial"/>
      <family val="2"/>
    </font>
    <font>
      <b/>
      <sz val="10"/>
      <color theme="1"/>
      <name val="Calibri"/>
      <family val="2"/>
      <scheme val="minor"/>
    </font>
    <font>
      <b/>
      <u/>
      <sz val="10"/>
      <color theme="1"/>
      <name val="Arial"/>
      <family val="2"/>
    </font>
    <font>
      <sz val="10"/>
      <name val="Calibri"/>
      <family val="2"/>
      <scheme val="minor"/>
    </font>
    <font>
      <sz val="10"/>
      <color rgb="FF0070C0"/>
      <name val="Calibri"/>
      <family val="2"/>
      <scheme val="minor"/>
    </font>
    <font>
      <sz val="9"/>
      <color indexed="81"/>
      <name val="Tahoma"/>
      <family val="2"/>
    </font>
    <font>
      <b/>
      <sz val="9"/>
      <color indexed="81"/>
      <name val="Tahoma"/>
      <family val="2"/>
    </font>
    <font>
      <i/>
      <sz val="8"/>
      <color theme="1"/>
      <name val="Arial"/>
      <family val="2"/>
    </font>
    <font>
      <i/>
      <sz val="8"/>
      <color rgb="FF0070C0"/>
      <name val="Arial"/>
      <family val="2"/>
    </font>
    <font>
      <i/>
      <sz val="8"/>
      <color theme="1"/>
      <name val="Calibri"/>
      <family val="2"/>
      <scheme val="minor"/>
    </font>
    <font>
      <i/>
      <sz val="8"/>
      <name val="Arial"/>
      <family val="2"/>
    </font>
    <font>
      <sz val="10"/>
      <color theme="1"/>
      <name val="Times New Roman"/>
      <family val="1"/>
    </font>
    <font>
      <i/>
      <sz val="8"/>
      <color theme="1"/>
      <name val="Times New Roman"/>
      <family val="1"/>
    </font>
    <font>
      <u/>
      <sz val="11"/>
      <color theme="1"/>
      <name val="Calibri"/>
      <family val="2"/>
      <scheme val="minor"/>
    </font>
    <font>
      <sz val="11"/>
      <color theme="1"/>
      <name val="Times New Roman"/>
      <family val="1"/>
    </font>
    <font>
      <u/>
      <sz val="10"/>
      <color theme="1"/>
      <name val="Times New Roman"/>
      <family val="1"/>
    </font>
    <font>
      <b/>
      <sz val="11"/>
      <color theme="1"/>
      <name val="Calibri"/>
      <family val="2"/>
      <scheme val="minor"/>
    </font>
    <font>
      <u val="singleAccounting"/>
      <sz val="11"/>
      <color theme="1"/>
      <name val="Calibri"/>
      <family val="2"/>
      <scheme val="minor"/>
    </font>
    <font>
      <i/>
      <sz val="9"/>
      <color theme="1"/>
      <name val="Calibri"/>
      <family val="2"/>
      <scheme val="minor"/>
    </font>
    <font>
      <i/>
      <sz val="9"/>
      <color theme="1"/>
      <name val="Arial"/>
      <family val="2"/>
    </font>
    <font>
      <sz val="11"/>
      <color theme="1"/>
      <name val="Arial"/>
      <family val="2"/>
    </font>
    <font>
      <sz val="8"/>
      <color theme="1"/>
      <name val="Calibri"/>
      <family val="2"/>
      <scheme val="minor"/>
    </font>
    <font>
      <i/>
      <sz val="9"/>
      <color theme="1"/>
      <name val="Times New Roman"/>
      <family val="1"/>
    </font>
    <font>
      <sz val="8"/>
      <name val="Arial"/>
      <family val="2"/>
    </font>
    <font>
      <sz val="8"/>
      <name val="Helvetica"/>
      <family val="2"/>
    </font>
    <font>
      <u/>
      <sz val="10"/>
      <color indexed="12"/>
      <name val="Arial"/>
      <family val="2"/>
    </font>
    <font>
      <sz val="10"/>
      <name val="Arial"/>
      <family val="2"/>
    </font>
    <font>
      <b/>
      <sz val="12"/>
      <name val="Times New Roman"/>
      <family val="1"/>
    </font>
    <font>
      <b/>
      <sz val="9"/>
      <name val="Times New Roman"/>
      <family val="1"/>
    </font>
    <font>
      <sz val="12"/>
      <name val="Arial"/>
      <family val="2"/>
    </font>
    <font>
      <sz val="9"/>
      <name val="Times New Roman"/>
      <family val="1"/>
    </font>
    <font>
      <sz val="8"/>
      <name val="Times New Roman"/>
      <family val="1"/>
    </font>
    <font>
      <b/>
      <sz val="8"/>
      <color indexed="8"/>
      <name val="Times New Roman"/>
      <family val="1"/>
    </font>
    <font>
      <i/>
      <sz val="8"/>
      <name val="Times New Roman"/>
      <family val="1"/>
    </font>
    <font>
      <sz val="10"/>
      <name val="MS Sans Serif"/>
      <family val="2"/>
    </font>
    <font>
      <b/>
      <u val="singleAccounting"/>
      <sz val="8"/>
      <color indexed="8"/>
      <name val="Arial"/>
      <family val="2"/>
    </font>
    <font>
      <sz val="10"/>
      <name val="Helv"/>
    </font>
    <font>
      <sz val="8"/>
      <color indexed="12"/>
      <name val="Arial Narrow"/>
      <family val="2"/>
    </font>
    <font>
      <sz val="9"/>
      <color indexed="28"/>
      <name val="Arial"/>
      <family val="2"/>
    </font>
    <font>
      <sz val="1"/>
      <color indexed="9"/>
      <name val="Symbol"/>
      <family val="1"/>
    </font>
    <font>
      <b/>
      <u val="singleAccounting"/>
      <sz val="8"/>
      <color indexed="8"/>
      <name val="Verdana"/>
      <family val="2"/>
    </font>
    <font>
      <b/>
      <sz val="10"/>
      <color indexed="9"/>
      <name val="Arial"/>
      <family val="2"/>
    </font>
    <font>
      <b/>
      <sz val="12"/>
      <color indexed="8"/>
      <name val="Verdana"/>
      <family val="2"/>
    </font>
    <font>
      <sz val="10"/>
      <name val="Courier"/>
      <family val="3"/>
    </font>
    <font>
      <sz val="10"/>
      <color indexed="8"/>
      <name val="Helv"/>
      <family val="2"/>
    </font>
    <font>
      <b/>
      <sz val="8"/>
      <color indexed="9"/>
      <name val="Verdana"/>
      <family val="2"/>
    </font>
    <font>
      <vertAlign val="subscript"/>
      <sz val="8"/>
      <color indexed="8"/>
      <name val="Arial"/>
      <family val="2"/>
    </font>
    <font>
      <vertAlign val="superscript"/>
      <sz val="8"/>
      <color indexed="8"/>
      <name val="Arial"/>
      <family val="2"/>
    </font>
    <font>
      <b/>
      <sz val="8"/>
      <color indexed="8"/>
      <name val="Arial"/>
      <family val="2"/>
    </font>
    <font>
      <i/>
      <sz val="8"/>
      <color indexed="8"/>
      <name val="Arial"/>
      <family val="2"/>
    </font>
    <font>
      <sz val="8"/>
      <color indexed="8"/>
      <name val="Arial"/>
      <family val="2"/>
    </font>
    <font>
      <b/>
      <sz val="13"/>
      <color indexed="8"/>
      <name val="Verdana"/>
      <family val="2"/>
    </font>
    <font>
      <b/>
      <sz val="8"/>
      <color theme="1"/>
      <name val="Calibri"/>
      <family val="2"/>
      <scheme val="minor"/>
    </font>
    <font>
      <b/>
      <i/>
      <sz val="8"/>
      <color theme="1"/>
      <name val="Calibri"/>
      <family val="2"/>
      <scheme val="minor"/>
    </font>
    <font>
      <sz val="10"/>
      <color indexed="8"/>
      <name val="Times New Roman"/>
      <family val="1"/>
    </font>
    <font>
      <b/>
      <sz val="10"/>
      <name val="Times New Roman"/>
      <family val="1"/>
    </font>
    <font>
      <sz val="10"/>
      <name val="Times New Roman"/>
      <family val="1"/>
    </font>
    <font>
      <b/>
      <sz val="10"/>
      <color indexed="8"/>
      <name val="Times New Roman"/>
      <family val="1"/>
    </font>
    <font>
      <sz val="11"/>
      <color indexed="8"/>
      <name val="Calibri"/>
      <family val="2"/>
    </font>
    <font>
      <sz val="10"/>
      <name val="Arial"/>
      <family val="2"/>
    </font>
    <font>
      <b/>
      <sz val="10"/>
      <name val="MS Sans Serif"/>
      <family val="2"/>
    </font>
    <font>
      <i/>
      <sz val="11"/>
      <color theme="1"/>
      <name val="Calibri"/>
      <family val="2"/>
      <scheme val="minor"/>
    </font>
    <font>
      <i/>
      <sz val="9"/>
      <name val="Arial"/>
      <family val="2"/>
    </font>
    <font>
      <b/>
      <sz val="12"/>
      <name val="Arial"/>
      <family val="2"/>
    </font>
    <font>
      <sz val="8"/>
      <name val="Calibri"/>
      <family val="2"/>
    </font>
    <font>
      <sz val="12"/>
      <name val="Helv"/>
    </font>
    <font>
      <u/>
      <sz val="16"/>
      <color indexed="12"/>
      <name val="Calibri"/>
      <family val="2"/>
    </font>
    <font>
      <b/>
      <sz val="14"/>
      <name val="Arial"/>
      <family val="2"/>
    </font>
    <font>
      <b/>
      <sz val="12"/>
      <color indexed="9"/>
      <name val="Arial"/>
      <family val="2"/>
    </font>
    <font>
      <sz val="10"/>
      <color indexed="18"/>
      <name val="Arial"/>
      <family val="2"/>
    </font>
    <font>
      <sz val="10"/>
      <color indexed="9"/>
      <name val="Arial"/>
      <family val="2"/>
    </font>
    <font>
      <i/>
      <sz val="12"/>
      <name val="Arial"/>
      <family val="2"/>
    </font>
    <font>
      <sz val="12"/>
      <color indexed="9"/>
      <name val="Arial"/>
      <family val="2"/>
    </font>
    <font>
      <b/>
      <sz val="14"/>
      <color indexed="9"/>
      <name val="Arial"/>
      <family val="2"/>
    </font>
    <font>
      <sz val="12"/>
      <color indexed="8"/>
      <name val="Arial"/>
      <family val="2"/>
    </font>
    <font>
      <sz val="11"/>
      <color indexed="8"/>
      <name val="Arial"/>
      <family val="2"/>
    </font>
    <font>
      <b/>
      <sz val="12"/>
      <color indexed="10"/>
      <name val="Arial"/>
      <family val="2"/>
    </font>
    <font>
      <sz val="11"/>
      <color indexed="9"/>
      <name val="Calibri"/>
      <family val="2"/>
    </font>
    <font>
      <sz val="11"/>
      <color indexed="20"/>
      <name val="Calibri"/>
      <family val="2"/>
    </font>
    <font>
      <sz val="9"/>
      <name val="Helv"/>
    </font>
    <font>
      <b/>
      <sz val="9"/>
      <color indexed="12"/>
      <name val="Helv"/>
    </font>
    <font>
      <b/>
      <sz val="11"/>
      <color indexed="52"/>
      <name val="Calibri"/>
      <family val="2"/>
    </font>
    <font>
      <b/>
      <sz val="11"/>
      <color indexed="51"/>
      <name val="Calibri"/>
      <family val="2"/>
    </font>
    <font>
      <b/>
      <sz val="11"/>
      <color indexed="9"/>
      <name val="Calibri"/>
      <family val="2"/>
    </font>
    <font>
      <sz val="9"/>
      <color indexed="0"/>
      <name val="Helvetica"/>
      <family val="2"/>
    </font>
    <font>
      <i/>
      <sz val="11"/>
      <color indexed="23"/>
      <name val="Calibri"/>
      <family val="2"/>
    </font>
    <font>
      <b/>
      <sz val="10"/>
      <name val="Helv"/>
    </font>
    <font>
      <sz val="11"/>
      <color indexed="17"/>
      <name val="Calibri"/>
      <family val="2"/>
    </font>
    <font>
      <b/>
      <sz val="15"/>
      <color indexed="56"/>
      <name val="Calibri"/>
      <family val="2"/>
    </font>
    <font>
      <b/>
      <sz val="15"/>
      <color indexed="61"/>
      <name val="Calibri"/>
      <family val="2"/>
    </font>
    <font>
      <b/>
      <sz val="13"/>
      <color indexed="56"/>
      <name val="Calibri"/>
      <family val="2"/>
    </font>
    <font>
      <b/>
      <sz val="13"/>
      <color indexed="61"/>
      <name val="Calibri"/>
      <family val="2"/>
    </font>
    <font>
      <b/>
      <sz val="11"/>
      <color indexed="56"/>
      <name val="Calibri"/>
      <family val="2"/>
    </font>
    <font>
      <b/>
      <sz val="11"/>
      <color indexed="61"/>
      <name val="Calibri"/>
      <family val="2"/>
    </font>
    <font>
      <sz val="11"/>
      <color indexed="62"/>
      <name val="Calibri"/>
      <family val="2"/>
    </font>
    <font>
      <sz val="11"/>
      <color indexed="61"/>
      <name val="Calibri"/>
      <family val="2"/>
    </font>
    <font>
      <sz val="11"/>
      <color indexed="52"/>
      <name val="Calibri"/>
      <family val="2"/>
    </font>
    <font>
      <sz val="11"/>
      <color indexed="51"/>
      <name val="Calibri"/>
      <family val="2"/>
    </font>
    <font>
      <sz val="11"/>
      <color indexed="60"/>
      <name val="Calibri"/>
      <family val="2"/>
    </font>
    <font>
      <sz val="11"/>
      <color indexed="59"/>
      <name val="Calibri"/>
      <family val="2"/>
    </font>
    <font>
      <sz val="10"/>
      <color theme="1"/>
      <name val="Times New Roman"/>
      <family val="2"/>
    </font>
    <font>
      <sz val="8"/>
      <name val="Helv"/>
    </font>
    <font>
      <b/>
      <sz val="11"/>
      <color indexed="63"/>
      <name val="Calibri"/>
      <family val="2"/>
    </font>
    <font>
      <b/>
      <sz val="11"/>
      <color indexed="62"/>
      <name val="Calibri"/>
      <family val="2"/>
    </font>
    <font>
      <b/>
      <sz val="9"/>
      <color indexed="10"/>
      <name val="Helv"/>
    </font>
    <font>
      <b/>
      <sz val="18"/>
      <color indexed="56"/>
      <name val="Cambria"/>
      <family val="2"/>
    </font>
    <font>
      <b/>
      <sz val="18"/>
      <color indexed="61"/>
      <name val="Cambria"/>
      <family val="2"/>
    </font>
    <font>
      <b/>
      <sz val="11"/>
      <color indexed="8"/>
      <name val="Calibri"/>
      <family val="2"/>
    </font>
    <font>
      <sz val="11"/>
      <color indexed="10"/>
      <name val="Calibri"/>
      <family val="2"/>
    </font>
    <font>
      <b/>
      <sz val="10"/>
      <color indexed="8"/>
      <name val="Arial"/>
      <family val="2"/>
    </font>
    <font>
      <sz val="10"/>
      <color rgb="FF0000FF"/>
      <name val="Arial"/>
      <family val="2"/>
    </font>
    <font>
      <strike/>
      <sz val="10"/>
      <color theme="1"/>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b/>
      <sz val="9"/>
      <name val="Arial"/>
      <family val="2"/>
    </font>
    <font>
      <sz val="1"/>
      <color indexed="9"/>
      <name val="Symbol"/>
      <family val="1"/>
      <charset val="2"/>
    </font>
    <font>
      <sz val="10"/>
      <color indexed="8"/>
      <name val="Helvetica"/>
      <family val="2"/>
    </font>
    <font>
      <sz val="7"/>
      <color indexed="10"/>
      <name val="Arial"/>
      <family val="2"/>
    </font>
    <font>
      <sz val="10"/>
      <color indexed="12"/>
      <name val="Arial"/>
      <family val="2"/>
    </font>
    <font>
      <b/>
      <sz val="8"/>
      <name val="Arial"/>
      <family val="2"/>
    </font>
    <font>
      <sz val="8"/>
      <color indexed="10"/>
      <name val="Arial"/>
      <family val="2"/>
    </font>
    <font>
      <sz val="11"/>
      <color indexed="9"/>
      <name val="Arial"/>
      <family val="2"/>
    </font>
    <font>
      <sz val="11"/>
      <color indexed="20"/>
      <name val="Arial"/>
      <family val="2"/>
    </font>
    <font>
      <b/>
      <sz val="11"/>
      <color indexed="52"/>
      <name val="Arial"/>
      <family val="2"/>
    </font>
    <font>
      <b/>
      <sz val="11"/>
      <color indexed="9"/>
      <name val="Arial"/>
      <family val="2"/>
    </font>
    <font>
      <i/>
      <sz val="11"/>
      <color indexed="23"/>
      <name val="Arial"/>
      <family val="2"/>
    </font>
    <font>
      <sz val="11"/>
      <color indexed="17"/>
      <name val="Arial"/>
      <family val="2"/>
    </font>
    <font>
      <b/>
      <sz val="15"/>
      <color indexed="56"/>
      <name val="Arial"/>
      <family val="2"/>
    </font>
    <font>
      <b/>
      <sz val="13"/>
      <color indexed="56"/>
      <name val="Arial"/>
      <family val="2"/>
    </font>
    <font>
      <b/>
      <sz val="11"/>
      <color indexed="56"/>
      <name val="Arial"/>
      <family val="2"/>
    </font>
    <font>
      <sz val="11"/>
      <color indexed="62"/>
      <name val="Arial"/>
      <family val="2"/>
    </font>
    <font>
      <sz val="11"/>
      <color indexed="52"/>
      <name val="Arial"/>
      <family val="2"/>
    </font>
    <font>
      <sz val="11"/>
      <color indexed="60"/>
      <name val="Arial"/>
      <family val="2"/>
    </font>
    <font>
      <b/>
      <sz val="11"/>
      <color indexed="63"/>
      <name val="Arial"/>
      <family val="2"/>
    </font>
    <font>
      <sz val="8"/>
      <name val="Times"/>
      <family val="1"/>
    </font>
    <font>
      <b/>
      <sz val="11"/>
      <color indexed="8"/>
      <name val="Arial"/>
      <family val="2"/>
    </font>
    <font>
      <sz val="11"/>
      <color indexed="10"/>
      <name val="Arial"/>
      <family val="2"/>
    </font>
    <font>
      <sz val="10"/>
      <name val="Arial Narrow"/>
      <family val="2"/>
    </font>
    <font>
      <sz val="10"/>
      <name val="GillSans"/>
    </font>
    <font>
      <sz val="10"/>
      <name val="Baskerville MT"/>
    </font>
    <font>
      <sz val="10"/>
      <name val="Century Schoolbook"/>
      <family val="1"/>
    </font>
    <font>
      <sz val="10"/>
      <name val="Geneva"/>
    </font>
    <font>
      <sz val="12"/>
      <name val="Times New Roman"/>
      <family val="1"/>
    </font>
    <font>
      <sz val="10"/>
      <color indexed="8"/>
      <name val="Trebuchet MS"/>
      <family val="2"/>
    </font>
    <font>
      <sz val="8"/>
      <color indexed="8"/>
      <name val="Times New Roman"/>
      <family val="1"/>
    </font>
    <font>
      <sz val="8"/>
      <color indexed="14"/>
      <name val="Times New Roman"/>
      <family val="1"/>
    </font>
    <font>
      <sz val="12"/>
      <name val="Weiss"/>
    </font>
    <font>
      <sz val="8"/>
      <color indexed="12"/>
      <name val="Tms Rmn"/>
    </font>
    <font>
      <b/>
      <i/>
      <sz val="12"/>
      <name val="Times New Roman"/>
      <family val="1"/>
    </font>
    <font>
      <sz val="8"/>
      <color indexed="12"/>
      <name val="Times New Roman"/>
      <family val="1"/>
    </font>
    <font>
      <b/>
      <sz val="14"/>
      <name val="Book Antiqua"/>
      <family val="1"/>
    </font>
    <font>
      <sz val="10"/>
      <name val="Book Antiqua"/>
      <family val="1"/>
    </font>
    <font>
      <sz val="10"/>
      <name val="Palatino"/>
      <family val="1"/>
    </font>
    <font>
      <sz val="10"/>
      <name val="Palatino"/>
    </font>
    <font>
      <sz val="10"/>
      <color indexed="12"/>
      <name val="Arial Narrow"/>
      <family val="2"/>
    </font>
    <font>
      <b/>
      <sz val="10"/>
      <color indexed="18"/>
      <name val="Arial"/>
      <family val="2"/>
    </font>
    <font>
      <b/>
      <sz val="8"/>
      <name val="Palatino"/>
      <family val="1"/>
    </font>
    <font>
      <b/>
      <sz val="10"/>
      <name val="Palatino"/>
      <family val="1"/>
    </font>
    <font>
      <sz val="8"/>
      <name val="Book Antiqua"/>
      <family val="1"/>
    </font>
    <font>
      <i/>
      <sz val="7"/>
      <name val="Book Antiqua"/>
      <family val="1"/>
    </font>
    <font>
      <b/>
      <i/>
      <sz val="16"/>
      <name val="Helv"/>
    </font>
    <font>
      <sz val="8"/>
      <color indexed="72"/>
      <name val="Arial"/>
      <family val="2"/>
    </font>
    <font>
      <u/>
      <sz val="8"/>
      <name val="Book Antiqua"/>
      <family val="1"/>
    </font>
    <font>
      <u/>
      <sz val="10"/>
      <name val="GillSans"/>
      <family val="2"/>
    </font>
    <font>
      <sz val="7"/>
      <color indexed="12"/>
      <name val="Arial"/>
      <family val="2"/>
    </font>
    <font>
      <sz val="8"/>
      <color indexed="39"/>
      <name val="Arial"/>
      <family val="2"/>
    </font>
    <font>
      <b/>
      <sz val="12"/>
      <name val="GillSans"/>
      <family val="2"/>
    </font>
    <font>
      <b/>
      <u/>
      <sz val="14"/>
      <name val="Book Antiqua"/>
      <family val="1"/>
    </font>
    <font>
      <b/>
      <sz val="10"/>
      <name val="Book Antiqua"/>
      <family val="1"/>
    </font>
    <font>
      <u/>
      <sz val="11"/>
      <name val="GillSans"/>
      <family val="2"/>
    </font>
    <font>
      <i/>
      <sz val="10"/>
      <name val="Times New Roman"/>
      <family val="1"/>
    </font>
    <font>
      <b/>
      <sz val="7"/>
      <color indexed="12"/>
      <name val="Arial"/>
      <family val="2"/>
    </font>
    <font>
      <b/>
      <sz val="12"/>
      <color indexed="17"/>
      <name val="MS Sans Serif"/>
      <family val="2"/>
    </font>
    <font>
      <b/>
      <u/>
      <sz val="10"/>
      <name val="Book Antiqua"/>
      <family val="1"/>
    </font>
    <font>
      <sz val="10.5"/>
      <color theme="1"/>
      <name val="Frutiger 45 Light"/>
      <family val="2"/>
    </font>
    <font>
      <sz val="10"/>
      <name val="Frutiger 45 Light"/>
      <family val="2"/>
    </font>
    <font>
      <i/>
      <sz val="11"/>
      <name val="Helvetica-Black"/>
      <family val="2"/>
    </font>
    <font>
      <sz val="10"/>
      <name val="Geneva"/>
      <family val="2"/>
    </font>
    <font>
      <b/>
      <sz val="18"/>
      <color indexed="24"/>
      <name val="Arial"/>
      <family val="2"/>
    </font>
    <font>
      <b/>
      <sz val="9"/>
      <name val="Helvetica 65"/>
      <family val="2"/>
    </font>
    <font>
      <b/>
      <sz val="8"/>
      <name val="Times New Roman"/>
      <family val="1"/>
    </font>
    <font>
      <sz val="8"/>
      <color indexed="12"/>
      <name val="Tms Rmn"/>
      <family val="1"/>
    </font>
    <font>
      <b/>
      <sz val="8"/>
      <color indexed="12"/>
      <name val="Times New Roman"/>
      <family val="1"/>
    </font>
    <font>
      <b/>
      <sz val="10"/>
      <color indexed="12"/>
      <name val="Arial"/>
      <family val="2"/>
    </font>
    <font>
      <sz val="7"/>
      <name val="Times New Roman"/>
      <family val="1"/>
    </font>
    <font>
      <sz val="10"/>
      <color indexed="18"/>
      <name val="Times New Roman"/>
      <family val="1"/>
    </font>
    <font>
      <sz val="11"/>
      <name val="Tms Rmn"/>
    </font>
    <font>
      <sz val="24"/>
      <name val="MS Sans Serif"/>
      <family val="2"/>
    </font>
    <font>
      <b/>
      <sz val="14"/>
      <name val="Tms Rmn"/>
    </font>
    <font>
      <sz val="9"/>
      <name val="Helvetica 45"/>
    </font>
    <font>
      <sz val="11"/>
      <name val="Book Antiqua"/>
      <family val="1"/>
    </font>
    <font>
      <sz val="1"/>
      <color indexed="8"/>
      <name val="Courier"/>
      <family val="3"/>
    </font>
    <font>
      <i/>
      <sz val="8"/>
      <color indexed="12"/>
      <name val="Times New Roman"/>
      <family val="1"/>
    </font>
    <font>
      <sz val="11"/>
      <name val="Times New Roman"/>
      <family val="1"/>
    </font>
    <font>
      <sz val="11"/>
      <color indexed="19"/>
      <name val="Calibri"/>
      <family val="2"/>
    </font>
    <font>
      <sz val="10.5"/>
      <name val="Frutiger 45 Light"/>
      <family val="2"/>
    </font>
    <font>
      <b/>
      <sz val="1"/>
      <color indexed="8"/>
      <name val="Courier"/>
      <family val="3"/>
    </font>
    <font>
      <b/>
      <sz val="8"/>
      <color indexed="10"/>
      <name val="Times New Roman"/>
      <family val="1"/>
    </font>
    <font>
      <sz val="10"/>
      <color indexed="23"/>
      <name val="MS Sans Serif"/>
      <family val="2"/>
    </font>
    <font>
      <b/>
      <sz val="12"/>
      <name val="MS Sans Serif"/>
      <family val="2"/>
    </font>
    <font>
      <b/>
      <sz val="9"/>
      <color indexed="12"/>
      <name val="Times New Roman"/>
      <family val="1"/>
    </font>
    <font>
      <u/>
      <sz val="8"/>
      <name val="Times New Roman"/>
      <family val="1"/>
    </font>
    <font>
      <b/>
      <sz val="13"/>
      <name val="Arial"/>
      <family val="2"/>
    </font>
    <font>
      <b/>
      <sz val="7"/>
      <name val="Arial"/>
      <family val="2"/>
    </font>
    <font>
      <sz val="12"/>
      <color theme="1"/>
      <name val="Calibri"/>
      <family val="2"/>
      <charset val="134"/>
      <scheme val="minor"/>
    </font>
    <font>
      <sz val="12"/>
      <color theme="1"/>
      <name val="Calibri"/>
      <family val="2"/>
      <scheme val="minor"/>
    </font>
    <font>
      <u/>
      <sz val="11"/>
      <color theme="10"/>
      <name val="Calibri"/>
      <family val="2"/>
    </font>
    <font>
      <sz val="11"/>
      <color theme="1"/>
      <name val="Book Antiqua"/>
      <family val="2"/>
    </font>
    <font>
      <sz val="10"/>
      <name val="Verdana"/>
      <family val="2"/>
    </font>
    <font>
      <u val="singleAccounting"/>
      <sz val="11"/>
      <name val="Times New Roman"/>
      <family val="1"/>
    </font>
    <font>
      <b/>
      <sz val="9"/>
      <color indexed="0"/>
      <name val="Arial"/>
      <family val="2"/>
    </font>
    <font>
      <sz val="9"/>
      <color indexed="0"/>
      <name val="Arial"/>
      <family val="2"/>
    </font>
    <font>
      <sz val="11"/>
      <color indexed="12"/>
      <name val="Times New Roman"/>
      <family val="1"/>
    </font>
    <font>
      <b/>
      <sz val="15"/>
      <color theme="3"/>
      <name val="Frutiger 45 Light"/>
      <family val="2"/>
    </font>
    <font>
      <b/>
      <sz val="13"/>
      <color theme="3"/>
      <name val="Frutiger 45 Light"/>
      <family val="2"/>
    </font>
    <font>
      <b/>
      <sz val="11"/>
      <color theme="3"/>
      <name val="Frutiger 45 Light"/>
      <family val="2"/>
    </font>
    <font>
      <sz val="10.5"/>
      <color rgb="FF006100"/>
      <name val="Frutiger 45 Light"/>
      <family val="2"/>
    </font>
    <font>
      <sz val="10.5"/>
      <color rgb="FF9C0006"/>
      <name val="Frutiger 45 Light"/>
      <family val="2"/>
    </font>
    <font>
      <sz val="10.5"/>
      <color rgb="FF9C6500"/>
      <name val="Frutiger 45 Light"/>
      <family val="2"/>
    </font>
    <font>
      <sz val="10.5"/>
      <color rgb="FF3F3F76"/>
      <name val="Frutiger 45 Light"/>
      <family val="2"/>
    </font>
    <font>
      <b/>
      <sz val="10.5"/>
      <color rgb="FF3F3F3F"/>
      <name val="Frutiger 45 Light"/>
      <family val="2"/>
    </font>
    <font>
      <b/>
      <sz val="10.5"/>
      <color rgb="FFFA7D00"/>
      <name val="Frutiger 45 Light"/>
      <family val="2"/>
    </font>
    <font>
      <sz val="10.5"/>
      <color rgb="FFFA7D00"/>
      <name val="Frutiger 45 Light"/>
      <family val="2"/>
    </font>
    <font>
      <b/>
      <sz val="10.5"/>
      <color theme="0"/>
      <name val="Frutiger 45 Light"/>
      <family val="2"/>
    </font>
    <font>
      <sz val="10.5"/>
      <color rgb="FFFF0000"/>
      <name val="Frutiger 45 Light"/>
      <family val="2"/>
    </font>
    <font>
      <i/>
      <sz val="10.5"/>
      <color rgb="FF7F7F7F"/>
      <name val="Frutiger 45 Light"/>
      <family val="2"/>
    </font>
    <font>
      <b/>
      <sz val="10.5"/>
      <color theme="1"/>
      <name val="Frutiger 45 Light"/>
      <family val="2"/>
    </font>
    <font>
      <sz val="8.5"/>
      <color indexed="8"/>
      <name val="Arial"/>
      <family val="2"/>
    </font>
    <font>
      <i/>
      <sz val="8.5"/>
      <color theme="1"/>
      <name val="Arial"/>
      <family val="2"/>
    </font>
    <font>
      <sz val="8.5"/>
      <color theme="1"/>
      <name val="Arial"/>
      <family val="2"/>
    </font>
    <font>
      <b/>
      <sz val="8.5"/>
      <color indexed="8"/>
      <name val="Arial"/>
      <family val="2"/>
    </font>
    <font>
      <b/>
      <sz val="8.5"/>
      <color theme="1"/>
      <name val="Arial"/>
      <family val="2"/>
    </font>
    <font>
      <i/>
      <sz val="8.5"/>
      <color rgb="FF0070C0"/>
      <name val="Arial"/>
      <family val="2"/>
    </font>
    <font>
      <b/>
      <i/>
      <sz val="8.5"/>
      <color theme="1"/>
      <name val="Arial"/>
      <family val="2"/>
    </font>
    <font>
      <sz val="8.5"/>
      <color rgb="FF0070C0"/>
      <name val="Arial"/>
      <family val="2"/>
    </font>
    <font>
      <b/>
      <i/>
      <sz val="9"/>
      <color theme="1"/>
      <name val="Calibri"/>
      <family val="2"/>
      <scheme val="minor"/>
    </font>
    <font>
      <sz val="9"/>
      <name val="Arial"/>
      <family val="2"/>
    </font>
    <font>
      <sz val="9"/>
      <color theme="1"/>
      <name val="Arial"/>
      <family val="2"/>
    </font>
    <font>
      <b/>
      <sz val="9"/>
      <color theme="1"/>
      <name val="Arial"/>
      <family val="2"/>
    </font>
    <font>
      <sz val="10"/>
      <color rgb="FF000000"/>
      <name val="Arial"/>
      <family val="2"/>
    </font>
    <font>
      <i/>
      <sz val="8.5"/>
      <name val="Arial"/>
      <family val="2"/>
    </font>
    <font>
      <i/>
      <sz val="8.5"/>
      <color theme="1"/>
      <name val="Calibri"/>
      <family val="2"/>
      <scheme val="minor"/>
    </font>
    <font>
      <sz val="8.5"/>
      <name val="Arial"/>
      <family val="2"/>
    </font>
    <font>
      <sz val="8.5"/>
      <color theme="1"/>
      <name val="Calibri"/>
      <family val="2"/>
      <scheme val="minor"/>
    </font>
    <font>
      <i/>
      <sz val="8.5"/>
      <color indexed="8"/>
      <name val="Arial"/>
      <family val="2"/>
    </font>
    <font>
      <i/>
      <sz val="8.5"/>
      <color rgb="FF0000FF"/>
      <name val="Arial"/>
      <family val="2"/>
    </font>
    <font>
      <b/>
      <sz val="9"/>
      <color theme="0"/>
      <name val="Arial"/>
      <family val="2"/>
    </font>
    <font>
      <i/>
      <sz val="9"/>
      <color theme="0"/>
      <name val="Arial"/>
      <family val="2"/>
    </font>
    <font>
      <sz val="9"/>
      <color indexed="8"/>
      <name val="Arial"/>
      <family val="2"/>
    </font>
    <font>
      <b/>
      <sz val="9"/>
      <color indexed="8"/>
      <name val="Arial"/>
      <family val="2"/>
    </font>
    <font>
      <i/>
      <sz val="9"/>
      <color indexed="8"/>
      <name val="Arial"/>
      <family val="2"/>
    </font>
    <font>
      <b/>
      <i/>
      <sz val="8"/>
      <color indexed="8"/>
      <name val="Arial"/>
      <family val="2"/>
    </font>
    <font>
      <b/>
      <i/>
      <sz val="8"/>
      <name val="Arial"/>
      <family val="2"/>
    </font>
    <font>
      <sz val="9"/>
      <color indexed="10"/>
      <name val="Arial"/>
      <family val="2"/>
    </font>
    <font>
      <b/>
      <i/>
      <sz val="9"/>
      <name val="Arial"/>
      <family val="2"/>
    </font>
    <font>
      <u/>
      <sz val="9"/>
      <name val="Arial"/>
      <family val="2"/>
    </font>
    <font>
      <b/>
      <i/>
      <sz val="9"/>
      <color indexed="8"/>
      <name val="Arial"/>
      <family val="2"/>
    </font>
    <font>
      <sz val="11"/>
      <name val="Arial"/>
      <family val="2"/>
    </font>
    <font>
      <sz val="11"/>
      <color rgb="FF0070C0"/>
      <name val="Arial"/>
      <family val="2"/>
    </font>
    <font>
      <sz val="10"/>
      <color theme="4"/>
      <name val="Arial"/>
      <family val="2"/>
    </font>
    <font>
      <i/>
      <sz val="10"/>
      <color theme="1"/>
      <name val="Arial"/>
      <family val="2"/>
    </font>
    <font>
      <sz val="8"/>
      <color theme="1"/>
      <name val="Arial"/>
      <family val="2"/>
    </font>
    <font>
      <sz val="14"/>
      <color rgb="FF000000"/>
      <name val="Times New Roman"/>
      <family val="1"/>
    </font>
    <font>
      <b/>
      <sz val="10"/>
      <color rgb="FF000000"/>
      <name val="Times New Roman"/>
      <family val="1"/>
    </font>
    <font>
      <sz val="10"/>
      <color rgb="FF000000"/>
      <name val="Times New Roman"/>
      <family val="1"/>
    </font>
    <font>
      <i/>
      <sz val="11"/>
      <name val="Calibri"/>
      <family val="2"/>
      <scheme val="minor"/>
    </font>
    <font>
      <b/>
      <i/>
      <sz val="11"/>
      <color theme="1"/>
      <name val="Calibri"/>
      <family val="2"/>
      <scheme val="minor"/>
    </font>
    <font>
      <i/>
      <sz val="11"/>
      <color rgb="FF0000FF"/>
      <name val="Calibri"/>
      <family val="2"/>
      <scheme val="minor"/>
    </font>
    <font>
      <i/>
      <sz val="11"/>
      <color rgb="FF000000"/>
      <name val="Calibri"/>
      <family val="2"/>
      <scheme val="minor"/>
    </font>
    <font>
      <b/>
      <u/>
      <sz val="11"/>
      <color theme="1"/>
      <name val="Calibri"/>
      <family val="2"/>
      <scheme val="minor"/>
    </font>
    <font>
      <sz val="11"/>
      <color rgb="FF0000FF"/>
      <name val="Calibri"/>
      <family val="2"/>
      <scheme val="minor"/>
    </font>
    <font>
      <i/>
      <sz val="8"/>
      <color rgb="FF0000FF"/>
      <name val="Arial"/>
      <family val="2"/>
    </font>
    <font>
      <sz val="11"/>
      <name val="Calibri"/>
      <family val="2"/>
      <scheme val="minor"/>
    </font>
    <font>
      <u val="singleAccounting"/>
      <sz val="10"/>
      <name val="Arial"/>
      <family val="2"/>
    </font>
    <font>
      <b/>
      <sz val="11"/>
      <name val="Calibri"/>
      <family val="2"/>
      <scheme val="minor"/>
    </font>
  </fonts>
  <fills count="92">
    <fill>
      <patternFill patternType="none"/>
    </fill>
    <fill>
      <patternFill patternType="gray125"/>
    </fill>
    <fill>
      <patternFill patternType="solid">
        <fgColor rgb="FF006600"/>
        <bgColor indexed="64"/>
      </patternFill>
    </fill>
    <fill>
      <patternFill patternType="solid">
        <fgColor theme="0" tint="-0.14999847407452621"/>
        <bgColor indexed="64"/>
      </patternFill>
    </fill>
    <fill>
      <patternFill patternType="solid">
        <fgColor indexed="9"/>
        <bgColor indexed="64"/>
      </patternFill>
    </fill>
    <fill>
      <patternFill patternType="solid">
        <fgColor indexed="60"/>
        <bgColor indexed="64"/>
      </patternFill>
    </fill>
    <fill>
      <patternFill patternType="solid">
        <fgColor indexed="62"/>
        <bgColor indexed="64"/>
      </patternFill>
    </fill>
    <fill>
      <patternFill patternType="solid">
        <fgColor indexed="63"/>
        <bgColor indexed="64"/>
      </patternFill>
    </fill>
    <fill>
      <patternFill patternType="solid">
        <fgColor indexed="56"/>
        <bgColor indexed="64"/>
      </patternFill>
    </fill>
    <fill>
      <patternFill patternType="solid">
        <fgColor theme="0"/>
        <bgColor indexed="64"/>
      </patternFill>
    </fill>
    <fill>
      <patternFill patternType="solid">
        <fgColor rgb="FFFFFF00"/>
        <bgColor indexed="64"/>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indexed="47"/>
        <bgColor indexed="8"/>
      </patternFill>
    </fill>
    <fill>
      <patternFill patternType="solid">
        <fgColor indexed="44"/>
        <bgColor indexed="64"/>
      </patternFill>
    </fill>
    <fill>
      <patternFill patternType="solid">
        <fgColor indexed="57"/>
        <bgColor indexed="8"/>
      </patternFill>
    </fill>
    <fill>
      <patternFill patternType="solid">
        <fgColor indexed="22"/>
        <bgColor indexed="64"/>
      </patternFill>
    </fill>
    <fill>
      <patternFill patternType="solid">
        <fgColor indexed="23"/>
        <bgColor indexed="8"/>
      </patternFill>
    </fill>
    <fill>
      <patternFill patternType="solid">
        <fgColor indexed="45"/>
        <bgColor indexed="8"/>
      </patternFill>
    </fill>
    <fill>
      <patternFill patternType="solid">
        <fgColor indexed="17"/>
        <bgColor indexed="64"/>
      </patternFill>
    </fill>
    <fill>
      <patternFill patternType="solid">
        <fgColor indexed="57"/>
        <bgColor indexed="64"/>
      </patternFill>
    </fill>
    <fill>
      <patternFill patternType="solid">
        <fgColor indexed="31"/>
      </patternFill>
    </fill>
    <fill>
      <patternFill patternType="solid">
        <fgColor indexed="47"/>
      </patternFill>
    </fill>
    <fill>
      <patternFill patternType="solid">
        <fgColor indexed="45"/>
      </patternFill>
    </fill>
    <fill>
      <patternFill patternType="solid">
        <fgColor indexed="29"/>
      </patternFill>
    </fill>
    <fill>
      <patternFill patternType="solid">
        <fgColor indexed="42"/>
      </patternFill>
    </fill>
    <fill>
      <patternFill patternType="solid">
        <fgColor indexed="26"/>
      </patternFill>
    </fill>
    <fill>
      <patternFill patternType="solid">
        <fgColor indexed="46"/>
      </patternFill>
    </fill>
    <fill>
      <patternFill patternType="solid">
        <fgColor indexed="27"/>
      </patternFill>
    </fill>
    <fill>
      <patternFill patternType="solid">
        <fgColor indexed="44"/>
      </patternFill>
    </fill>
    <fill>
      <patternFill patternType="solid">
        <fgColor indexed="22"/>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48"/>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6"/>
      </patternFill>
    </fill>
    <fill>
      <patternFill patternType="solid">
        <fgColor indexed="53"/>
      </patternFill>
    </fill>
    <fill>
      <patternFill patternType="solid">
        <fgColor indexed="9"/>
      </patternFill>
    </fill>
    <fill>
      <patternFill patternType="solid">
        <fgColor indexed="55"/>
      </patternFill>
    </fill>
    <fill>
      <patternFill patternType="solid">
        <fgColor indexed="63"/>
      </patternFill>
    </fill>
    <fill>
      <patternFill patternType="mediumGray">
        <fgColor indexed="22"/>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39997558519241921"/>
        <bgColor indexed="65"/>
      </patternFill>
    </fill>
    <fill>
      <patternFill patternType="solid">
        <fgColor theme="5"/>
      </patternFill>
    </fill>
    <fill>
      <patternFill patternType="solid">
        <fgColor theme="5" tint="0.39997558519241921"/>
        <bgColor indexed="65"/>
      </patternFill>
    </fill>
    <fill>
      <patternFill patternType="solid">
        <fgColor theme="6"/>
      </patternFill>
    </fill>
    <fill>
      <patternFill patternType="solid">
        <fgColor theme="6" tint="0.39997558519241921"/>
        <bgColor indexed="65"/>
      </patternFill>
    </fill>
    <fill>
      <patternFill patternType="solid">
        <fgColor theme="7"/>
      </patternFill>
    </fill>
    <fill>
      <patternFill patternType="solid">
        <fgColor theme="7" tint="0.39997558519241921"/>
        <bgColor indexed="65"/>
      </patternFill>
    </fill>
    <fill>
      <patternFill patternType="solid">
        <fgColor theme="8"/>
      </patternFill>
    </fill>
    <fill>
      <patternFill patternType="solid">
        <fgColor theme="8" tint="0.39997558519241921"/>
        <bgColor indexed="65"/>
      </patternFill>
    </fill>
    <fill>
      <patternFill patternType="solid">
        <fgColor theme="9"/>
      </patternFill>
    </fill>
    <fill>
      <patternFill patternType="solid">
        <fgColor theme="9" tint="0.39997558519241921"/>
        <bgColor indexed="65"/>
      </patternFill>
    </fill>
    <fill>
      <patternFill patternType="solid">
        <fgColor indexed="15"/>
        <bgColor indexed="64"/>
      </patternFill>
    </fill>
    <fill>
      <patternFill patternType="solid">
        <fgColor indexed="42"/>
        <bgColor indexed="64"/>
      </patternFill>
    </fill>
    <fill>
      <patternFill patternType="lightGray">
        <fgColor indexed="13"/>
      </patternFill>
    </fill>
    <fill>
      <patternFill patternType="solid">
        <fgColor indexed="13"/>
        <bgColor indexed="64"/>
      </patternFill>
    </fill>
    <fill>
      <patternFill patternType="lightGray">
        <fgColor indexed="12"/>
      </patternFill>
    </fill>
    <fill>
      <patternFill patternType="solid">
        <fgColor indexed="54"/>
      </patternFill>
    </fill>
    <fill>
      <patternFill patternType="gray125">
        <fgColor indexed="22"/>
      </patternFill>
    </fill>
    <fill>
      <patternFill patternType="solid">
        <fgColor indexed="13"/>
      </patternFill>
    </fill>
    <fill>
      <patternFill patternType="solid">
        <fgColor rgb="FFC00000"/>
        <bgColor indexed="64"/>
      </patternFill>
    </fill>
    <fill>
      <patternFill patternType="solid">
        <fgColor theme="3" tint="0.59999389629810485"/>
        <bgColor indexed="64"/>
      </patternFill>
    </fill>
    <fill>
      <patternFill patternType="solid">
        <fgColor rgb="FF0070C0"/>
        <bgColor indexed="64"/>
      </patternFill>
    </fill>
    <fill>
      <patternFill patternType="solid">
        <fgColor rgb="FFCCEEFF"/>
        <bgColor indexed="64"/>
      </patternFill>
    </fill>
    <fill>
      <patternFill patternType="solid">
        <fgColor rgb="FFFFFFFF"/>
        <bgColor indexed="64"/>
      </patternFill>
    </fill>
    <fill>
      <patternFill patternType="solid">
        <fgColor theme="0" tint="-4.9989318521683403E-2"/>
        <bgColor indexed="64"/>
      </patternFill>
    </fill>
    <fill>
      <patternFill patternType="solid">
        <fgColor rgb="FF002060"/>
        <bgColor indexed="64"/>
      </patternFill>
    </fill>
  </fills>
  <borders count="137">
    <border>
      <left/>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bottom style="thin">
        <color indexed="64"/>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tted">
        <color indexed="64"/>
      </left>
      <right/>
      <top/>
      <bottom style="dotted">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style="hair">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medium">
        <color auto="1"/>
      </right>
      <top style="medium">
        <color auto="1"/>
      </top>
      <bottom style="hair">
        <color auto="1"/>
      </bottom>
      <diagonal/>
    </border>
    <border>
      <left style="thin">
        <color auto="1"/>
      </left>
      <right style="thin">
        <color auto="1"/>
      </right>
      <top style="hair">
        <color auto="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double">
        <color indexed="62"/>
      </left>
      <right style="double">
        <color indexed="62"/>
      </right>
      <top style="double">
        <color indexed="62"/>
      </top>
      <bottom style="double">
        <color indexed="62"/>
      </bottom>
      <diagonal/>
    </border>
    <border>
      <left/>
      <right/>
      <top/>
      <bottom style="thick">
        <color indexed="62"/>
      </bottom>
      <diagonal/>
    </border>
    <border>
      <left/>
      <right/>
      <top/>
      <bottom style="thick">
        <color indexed="48"/>
      </bottom>
      <diagonal/>
    </border>
    <border>
      <left/>
      <right/>
      <top/>
      <bottom style="thick">
        <color indexed="22"/>
      </bottom>
      <diagonal/>
    </border>
    <border>
      <left/>
      <right/>
      <top/>
      <bottom style="medium">
        <color indexed="30"/>
      </bottom>
      <diagonal/>
    </border>
    <border>
      <left/>
      <right/>
      <top/>
      <bottom style="medium">
        <color indexed="48"/>
      </bottom>
      <diagonal/>
    </border>
    <border>
      <left style="medium">
        <color auto="1"/>
      </left>
      <right style="medium">
        <color auto="1"/>
      </right>
      <top style="medium">
        <color auto="1"/>
      </top>
      <bottom style="hair">
        <color auto="1"/>
      </bottom>
      <diagonal/>
    </border>
    <border>
      <left/>
      <right/>
      <top/>
      <bottom style="double">
        <color indexed="52"/>
      </bottom>
      <diagonal/>
    </border>
    <border>
      <left/>
      <right/>
      <top/>
      <bottom style="double">
        <color indexed="51"/>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62"/>
      </top>
      <bottom style="double">
        <color indexed="62"/>
      </bottom>
      <diagonal/>
    </border>
    <border>
      <left/>
      <right/>
      <top style="thin">
        <color indexed="48"/>
      </top>
      <bottom style="double">
        <color indexed="48"/>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medium">
        <color auto="1"/>
      </bottom>
      <diagonal/>
    </border>
    <border>
      <left/>
      <right/>
      <top style="thin">
        <color indexed="8"/>
      </top>
      <bottom/>
      <diagonal/>
    </border>
    <border>
      <left/>
      <right/>
      <top/>
      <bottom style="thin">
        <color indexed="8"/>
      </bottom>
      <diagonal/>
    </border>
    <border>
      <left style="thin">
        <color indexed="9"/>
      </left>
      <right style="thin">
        <color indexed="9"/>
      </right>
      <top/>
      <bottom/>
      <diagonal/>
    </border>
    <border>
      <left/>
      <right/>
      <top/>
      <bottom style="thick">
        <color indexed="64"/>
      </bottom>
      <diagonal/>
    </border>
    <border>
      <left style="thick">
        <color indexed="9"/>
      </left>
      <right style="thick">
        <color indexed="9"/>
      </right>
      <top/>
      <bottom style="double">
        <color indexed="64"/>
      </bottom>
      <diagonal/>
    </border>
    <border>
      <left style="thick">
        <color indexed="64"/>
      </left>
      <right style="thin">
        <color indexed="64"/>
      </right>
      <top/>
      <bottom/>
      <diagonal/>
    </border>
    <border>
      <left/>
      <right/>
      <top style="medium">
        <color indexed="8"/>
      </top>
      <bottom/>
      <diagonal/>
    </border>
    <border>
      <left/>
      <right/>
      <top/>
      <bottom style="double">
        <color indexed="10"/>
      </bottom>
      <diagonal/>
    </border>
    <border>
      <left style="hair">
        <color indexed="64"/>
      </left>
      <right style="hair">
        <color indexed="64"/>
      </right>
      <top style="hair">
        <color indexed="64"/>
      </top>
      <bottom style="hair">
        <color indexed="64"/>
      </bottom>
      <diagonal/>
    </border>
    <border>
      <left style="thin">
        <color indexed="8"/>
      </left>
      <right style="thin">
        <color indexed="8"/>
      </right>
      <top style="thin">
        <color indexed="8"/>
      </top>
      <bottom style="thin">
        <color indexed="8"/>
      </bottom>
      <diagonal/>
    </border>
    <border diagonalDown="1">
      <left/>
      <right/>
      <top/>
      <bottom/>
      <diagonal/>
    </border>
    <border>
      <left/>
      <right style="medium">
        <color auto="1"/>
      </right>
      <top style="medium">
        <color auto="1"/>
      </top>
      <bottom style="hair">
        <color auto="1"/>
      </bottom>
      <diagonal/>
    </border>
    <border>
      <left/>
      <right/>
      <top style="medium">
        <color auto="1"/>
      </top>
      <bottom style="medium">
        <color auto="1"/>
      </bottom>
      <diagonal/>
    </border>
    <border>
      <left style="medium">
        <color auto="1"/>
      </left>
      <right style="medium">
        <color auto="1"/>
      </right>
      <top style="medium">
        <color auto="1"/>
      </top>
      <bottom style="hair">
        <color auto="1"/>
      </bottom>
      <diagonal/>
    </border>
    <border>
      <left/>
      <right/>
      <top style="medium">
        <color indexed="8"/>
      </top>
      <bottom/>
      <diagonal/>
    </border>
    <border>
      <left/>
      <right/>
      <top style="medium">
        <color auto="1"/>
      </top>
      <bottom style="medium">
        <color auto="1"/>
      </bottom>
      <diagonal/>
    </border>
    <border>
      <left style="medium">
        <color auto="1"/>
      </left>
      <right style="medium">
        <color auto="1"/>
      </right>
      <top style="medium">
        <color auto="1"/>
      </top>
      <bottom style="hair">
        <color auto="1"/>
      </bottom>
      <diagonal/>
    </border>
    <border>
      <left/>
      <right style="medium">
        <color auto="1"/>
      </right>
      <top style="medium">
        <color auto="1"/>
      </top>
      <bottom style="hair">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bottom style="medium">
        <color indexed="4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62"/>
      </top>
      <bottom style="double">
        <color indexed="62"/>
      </bottom>
      <diagonal/>
    </border>
    <border>
      <left/>
      <right/>
      <top style="thin">
        <color indexed="48"/>
      </top>
      <bottom style="double">
        <color indexed="48"/>
      </bottom>
      <diagonal/>
    </border>
    <border>
      <left/>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62"/>
      </top>
      <bottom style="double">
        <color indexed="62"/>
      </bottom>
      <diagonal/>
    </border>
    <border>
      <left/>
      <right/>
      <top style="thin">
        <color indexed="48"/>
      </top>
      <bottom style="double">
        <color indexed="48"/>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medium">
        <color rgb="FF000000"/>
      </top>
      <bottom/>
      <diagonal/>
    </border>
    <border>
      <left/>
      <right/>
      <top/>
      <bottom style="medium">
        <color rgb="FF000000"/>
      </bottom>
      <diagonal/>
    </border>
    <border>
      <left style="medium">
        <color indexed="64"/>
      </left>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right style="medium">
        <color auto="1"/>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s>
  <cellStyleXfs count="36250">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44" fontId="7" fillId="0" borderId="0" applyFont="0" applyFill="0" applyBorder="0" applyAlignment="0" applyProtection="0"/>
    <xf numFmtId="0" fontId="36" fillId="0" borderId="0"/>
    <xf numFmtId="0" fontId="7" fillId="0" borderId="0"/>
    <xf numFmtId="0" fontId="1" fillId="0" borderId="0"/>
    <xf numFmtId="0" fontId="37" fillId="0" borderId="0" applyNumberFormat="0" applyFill="0" applyBorder="0" applyAlignment="0" applyProtection="0">
      <alignment vertical="top"/>
      <protection locked="0"/>
    </xf>
    <xf numFmtId="0" fontId="7" fillId="0" borderId="0"/>
    <xf numFmtId="0" fontId="38" fillId="0" borderId="0"/>
    <xf numFmtId="0" fontId="41" fillId="0" borderId="0"/>
    <xf numFmtId="9" fontId="38" fillId="0" borderId="0" applyFont="0" applyFill="0" applyBorder="0" applyAlignment="0" applyProtection="0"/>
    <xf numFmtId="43" fontId="38" fillId="0" borderId="0" applyFont="0" applyFill="0" applyBorder="0" applyAlignment="0" applyProtection="0"/>
    <xf numFmtId="44" fontId="38" fillId="0" borderId="0" applyFont="0" applyFill="0" applyBorder="0" applyAlignment="0" applyProtection="0"/>
    <xf numFmtId="178" fontId="46" fillId="0" borderId="0" applyFont="0" applyFill="0" applyBorder="0" applyAlignment="0" applyProtection="0"/>
    <xf numFmtId="179" fontId="46" fillId="0" borderId="0" applyFont="0" applyFill="0" applyBorder="0" applyAlignment="0" applyProtection="0"/>
    <xf numFmtId="180" fontId="46" fillId="0" borderId="0" applyFont="0" applyFill="0" applyBorder="0" applyAlignment="0" applyProtection="0"/>
    <xf numFmtId="0" fontId="5" fillId="0" borderId="0"/>
    <xf numFmtId="0" fontId="47" fillId="5" borderId="0"/>
    <xf numFmtId="4" fontId="4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ill="0" applyBorder="0" applyAlignment="0" applyProtection="0"/>
    <xf numFmtId="37" fontId="46" fillId="0" borderId="0" applyFont="0" applyFill="0" applyBorder="0" applyAlignment="0" applyProtection="0"/>
    <xf numFmtId="181" fontId="46" fillId="0" borderId="0" applyFont="0" applyFill="0" applyBorder="0" applyAlignment="0" applyProtection="0"/>
    <xf numFmtId="182" fontId="46" fillId="0" borderId="0" applyFont="0" applyFill="0" applyBorder="0" applyAlignment="0" applyProtection="0"/>
    <xf numFmtId="182" fontId="46" fillId="0" borderId="0" applyFont="0" applyFill="0" applyBorder="0" applyAlignment="0" applyProtection="0"/>
    <xf numFmtId="181" fontId="46" fillId="0" borderId="0" applyFont="0" applyFill="0" applyBorder="0" applyAlignment="0" applyProtection="0"/>
    <xf numFmtId="181" fontId="46" fillId="0" borderId="0" applyFont="0" applyFill="0" applyBorder="0" applyAlignment="0" applyProtection="0"/>
    <xf numFmtId="39" fontId="46" fillId="0" borderId="0" applyFont="0" applyFill="0" applyBorder="0" applyAlignment="0" applyProtection="0"/>
    <xf numFmtId="183" fontId="46" fillId="0" borderId="27" applyFont="0" applyFill="0" applyBorder="0" applyAlignment="0" applyProtection="0"/>
    <xf numFmtId="184" fontId="46" fillId="0" borderId="0"/>
    <xf numFmtId="185" fontId="46" fillId="0" borderId="0"/>
    <xf numFmtId="185" fontId="46" fillId="0" borderId="0"/>
    <xf numFmtId="184" fontId="46" fillId="0" borderId="0"/>
    <xf numFmtId="184" fontId="46" fillId="0" borderId="0"/>
    <xf numFmtId="184" fontId="46" fillId="0" borderId="0"/>
    <xf numFmtId="181" fontId="49" fillId="0" borderId="0" applyFill="0" applyBorder="0" applyAlignment="0" applyProtection="0">
      <alignment horizontal="left" vertical="center" wrapText="1"/>
    </xf>
    <xf numFmtId="165" fontId="49" fillId="0" borderId="0"/>
    <xf numFmtId="186" fontId="50" fillId="0" borderId="28" applyBorder="0">
      <alignment horizontal="right"/>
    </xf>
    <xf numFmtId="0" fontId="51" fillId="0" borderId="0"/>
    <xf numFmtId="0" fontId="52" fillId="6" borderId="0"/>
    <xf numFmtId="0" fontId="53" fillId="7" borderId="0"/>
    <xf numFmtId="0" fontId="54" fillId="0" borderId="0"/>
    <xf numFmtId="0" fontId="35" fillId="0" borderId="0"/>
    <xf numFmtId="0" fontId="55" fillId="0" borderId="0"/>
    <xf numFmtId="0" fontId="7" fillId="0" borderId="0"/>
    <xf numFmtId="0" fontId="7" fillId="0" borderId="0"/>
    <xf numFmtId="0" fontId="7" fillId="0" borderId="0"/>
    <xf numFmtId="0" fontId="7" fillId="0" borderId="0"/>
    <xf numFmtId="0" fontId="7" fillId="0" borderId="0"/>
    <xf numFmtId="165" fontId="56" fillId="0" borderId="0" applyBorder="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ill="0" applyBorder="0" applyAlignment="0" applyProtection="0"/>
    <xf numFmtId="0" fontId="57" fillId="8" borderId="0"/>
    <xf numFmtId="0" fontId="58" fillId="0" borderId="0"/>
    <xf numFmtId="0" fontId="59" fillId="0" borderId="0"/>
    <xf numFmtId="0" fontId="60" fillId="0" borderId="0">
      <alignment vertical="top"/>
    </xf>
    <xf numFmtId="0" fontId="61" fillId="0" borderId="0"/>
    <xf numFmtId="0" fontId="62" fillId="0" borderId="0">
      <alignment vertical="top"/>
    </xf>
    <xf numFmtId="0" fontId="63" fillId="0" borderId="0">
      <alignment vertical="top"/>
    </xf>
    <xf numFmtId="0" fontId="70" fillId="0" borderId="0"/>
    <xf numFmtId="0" fontId="71" fillId="0" borderId="0"/>
    <xf numFmtId="9" fontId="7" fillId="0" borderId="0" applyFont="0" applyFill="0" applyBorder="0" applyAlignment="0" applyProtection="0"/>
    <xf numFmtId="43" fontId="71" fillId="0" borderId="0" applyFont="0" applyFill="0" applyBorder="0" applyAlignment="0" applyProtection="0"/>
    <xf numFmtId="9" fontId="71" fillId="0" borderId="0" applyFont="0" applyFill="0" applyBorder="0" applyAlignment="0" applyProtection="0"/>
    <xf numFmtId="0" fontId="72" fillId="0" borderId="0" applyNumberForma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187" fontId="55" fillId="0" borderId="0"/>
    <xf numFmtId="0" fontId="7" fillId="0" borderId="0"/>
    <xf numFmtId="188" fontId="77" fillId="0" borderId="0"/>
    <xf numFmtId="43" fontId="7" fillId="0" borderId="0" applyFont="0" applyFill="0" applyBorder="0" applyAlignment="0" applyProtection="0"/>
    <xf numFmtId="8" fontId="46" fillId="0" borderId="0" applyFont="0" applyFill="0" applyBorder="0" applyAlignment="0" applyProtection="0"/>
    <xf numFmtId="193" fontId="48" fillId="0" borderId="39" applyFill="0" applyBorder="0" applyProtection="0">
      <alignment horizontal="right"/>
      <protection locked="0"/>
    </xf>
    <xf numFmtId="194" fontId="48" fillId="0" borderId="39" applyFill="0" applyBorder="0" applyProtection="0">
      <alignment horizontal="right"/>
      <protection locked="0"/>
    </xf>
    <xf numFmtId="195" fontId="48" fillId="0" borderId="39" applyFill="0" applyBorder="0" applyProtection="0">
      <alignment horizontal="right"/>
      <protection locked="0"/>
    </xf>
    <xf numFmtId="0" fontId="70" fillId="32" borderId="0" applyNumberFormat="0" applyBorder="0" applyAlignment="0" applyProtection="0"/>
    <xf numFmtId="0" fontId="70" fillId="33"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70" fillId="34" borderId="0" applyNumberFormat="0" applyBorder="0" applyAlignment="0" applyProtection="0"/>
    <xf numFmtId="0" fontId="70" fillId="35"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70" fillId="36" borderId="0" applyNumberFormat="0" applyBorder="0" applyAlignment="0" applyProtection="0"/>
    <xf numFmtId="0" fontId="70" fillId="37"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70" fillId="38" borderId="0" applyNumberFormat="0" applyBorder="0" applyAlignment="0" applyProtection="0"/>
    <xf numFmtId="0" fontId="70" fillId="33"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70" fillId="39"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70" fillId="33" borderId="0" applyNumberFormat="0" applyBorder="0" applyAlignment="0" applyProtection="0"/>
    <xf numFmtId="0" fontId="70" fillId="37"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70" fillId="40" borderId="0" applyNumberFormat="0" applyBorder="0" applyAlignment="0" applyProtection="0"/>
    <xf numFmtId="0" fontId="70" fillId="4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70" fillId="3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70" fillId="42" borderId="0" applyNumberFormat="0" applyBorder="0" applyAlignment="0" applyProtection="0"/>
    <xf numFmtId="0" fontId="70" fillId="43"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70" fillId="38" borderId="0" applyNumberFormat="0" applyBorder="0" applyAlignment="0" applyProtection="0"/>
    <xf numFmtId="0" fontId="70" fillId="41"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70" fillId="40"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70" fillId="44" borderId="0" applyNumberFormat="0" applyBorder="0" applyAlignment="0" applyProtection="0"/>
    <xf numFmtId="0" fontId="70" fillId="4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89" fillId="45" borderId="0" applyNumberFormat="0" applyBorder="0" applyAlignment="0" applyProtection="0"/>
    <xf numFmtId="0" fontId="89" fillId="46" borderId="0" applyNumberFormat="0" applyBorder="0" applyAlignment="0" applyProtection="0"/>
    <xf numFmtId="0" fontId="89" fillId="35" borderId="0" applyNumberFormat="0" applyBorder="0" applyAlignment="0" applyProtection="0"/>
    <xf numFmtId="0" fontId="89" fillId="42" borderId="0" applyNumberFormat="0" applyBorder="0" applyAlignment="0" applyProtection="0"/>
    <xf numFmtId="0" fontId="89" fillId="43" borderId="0" applyNumberFormat="0" applyBorder="0" applyAlignment="0" applyProtection="0"/>
    <xf numFmtId="0" fontId="89" fillId="47" borderId="0" applyNumberFormat="0" applyBorder="0" applyAlignment="0" applyProtection="0"/>
    <xf numFmtId="0" fontId="89" fillId="41" borderId="0" applyNumberFormat="0" applyBorder="0" applyAlignment="0" applyProtection="0"/>
    <xf numFmtId="0" fontId="89" fillId="48" borderId="0" applyNumberFormat="0" applyBorder="0" applyAlignment="0" applyProtection="0"/>
    <xf numFmtId="0" fontId="89" fillId="46" borderId="0" applyNumberFormat="0" applyBorder="0" applyAlignment="0" applyProtection="0"/>
    <xf numFmtId="0" fontId="89" fillId="49" borderId="0" applyNumberFormat="0" applyBorder="0" applyAlignment="0" applyProtection="0"/>
    <xf numFmtId="0" fontId="89" fillId="35" borderId="0" applyNumberFormat="0" applyBorder="0" applyAlignment="0" applyProtection="0"/>
    <xf numFmtId="0" fontId="89" fillId="50" borderId="0" applyNumberFormat="0" applyBorder="0" applyAlignment="0" applyProtection="0"/>
    <xf numFmtId="0" fontId="89" fillId="46" borderId="0" applyNumberFormat="0" applyBorder="0" applyAlignment="0" applyProtection="0"/>
    <xf numFmtId="0" fontId="89" fillId="51" borderId="0" applyNumberFormat="0" applyBorder="0" applyAlignment="0" applyProtection="0"/>
    <xf numFmtId="0" fontId="89" fillId="52" borderId="0" applyNumberFormat="0" applyBorder="0" applyAlignment="0" applyProtection="0"/>
    <xf numFmtId="0" fontId="89" fillId="53" borderId="0" applyNumberFormat="0" applyBorder="0" applyAlignment="0" applyProtection="0"/>
    <xf numFmtId="0" fontId="89" fillId="47" borderId="0" applyNumberFormat="0" applyBorder="0" applyAlignment="0" applyProtection="0"/>
    <xf numFmtId="0" fontId="89" fillId="54" borderId="0" applyNumberFormat="0" applyBorder="0" applyAlignment="0" applyProtection="0"/>
    <xf numFmtId="0" fontId="89" fillId="48" borderId="0" applyNumberFormat="0" applyBorder="0" applyAlignment="0" applyProtection="0"/>
    <xf numFmtId="0" fontId="89" fillId="46" borderId="0" applyNumberFormat="0" applyBorder="0" applyAlignment="0" applyProtection="0"/>
    <xf numFmtId="0" fontId="89" fillId="54" borderId="0" applyNumberFormat="0" applyBorder="0" applyAlignment="0" applyProtection="0"/>
    <xf numFmtId="0" fontId="89" fillId="49" borderId="0" applyNumberFormat="0" applyBorder="0" applyAlignment="0" applyProtection="0"/>
    <xf numFmtId="0" fontId="90" fillId="34" borderId="0" applyNumberFormat="0" applyBorder="0" applyAlignment="0" applyProtection="0"/>
    <xf numFmtId="0" fontId="91" fillId="0" borderId="40" applyNumberFormat="0" applyBorder="0" applyAlignment="0" applyProtection="0">
      <alignment horizontal="center" vertical="top"/>
      <protection locked="0"/>
    </xf>
    <xf numFmtId="0" fontId="92" fillId="27" borderId="40" applyNumberFormat="0" applyBorder="0" applyAlignment="0" applyProtection="0">
      <alignment horizontal="center" vertical="top"/>
      <protection locked="0"/>
    </xf>
    <xf numFmtId="0" fontId="93" fillId="41" borderId="41" applyNumberFormat="0" applyAlignment="0" applyProtection="0"/>
    <xf numFmtId="0" fontId="94" fillId="55" borderId="41" applyNumberFormat="0" applyAlignment="0" applyProtection="0"/>
    <xf numFmtId="0" fontId="95" fillId="56" borderId="42" applyNumberFormat="0" applyAlignment="0" applyProtection="0"/>
    <xf numFmtId="0" fontId="95" fillId="57" borderId="43" applyNumberForma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96" fillId="0" borderId="0" applyFont="0" applyFill="0" applyBorder="0" applyAlignment="0" applyProtection="0"/>
    <xf numFmtId="44" fontId="7" fillId="0" borderId="0" applyFont="0" applyFill="0" applyBorder="0" applyAlignment="0" applyProtection="0"/>
    <xf numFmtId="0" fontId="97" fillId="0" borderId="0" applyNumberFormat="0" applyFill="0" applyBorder="0" applyAlignment="0" applyProtection="0"/>
    <xf numFmtId="196" fontId="98" fillId="0" borderId="0" applyFill="0" applyBorder="0" applyProtection="0">
      <alignment horizontal="centerContinuous"/>
      <protection locked="0"/>
    </xf>
    <xf numFmtId="0" fontId="99" fillId="36" borderId="0" applyNumberFormat="0" applyBorder="0" applyAlignment="0" applyProtection="0"/>
    <xf numFmtId="0" fontId="75" fillId="0" borderId="3" applyNumberFormat="0" applyAlignment="0" applyProtection="0">
      <alignment horizontal="left" vertical="center"/>
    </xf>
    <xf numFmtId="0" fontId="75" fillId="0" borderId="26">
      <alignment horizontal="left" vertical="center"/>
    </xf>
    <xf numFmtId="0" fontId="100" fillId="0" borderId="44" applyNumberFormat="0" applyFill="0" applyAlignment="0" applyProtection="0"/>
    <xf numFmtId="0" fontId="101" fillId="0" borderId="45" applyNumberFormat="0" applyFill="0" applyAlignment="0" applyProtection="0"/>
    <xf numFmtId="0" fontId="102" fillId="0" borderId="46" applyNumberFormat="0" applyFill="0" applyAlignment="0" applyProtection="0"/>
    <xf numFmtId="0" fontId="103" fillId="0" borderId="46" applyNumberFormat="0" applyFill="0" applyAlignment="0" applyProtection="0"/>
    <xf numFmtId="0" fontId="104" fillId="0" borderId="47" applyNumberFormat="0" applyFill="0" applyAlignment="0" applyProtection="0"/>
    <xf numFmtId="0" fontId="105" fillId="0" borderId="48" applyNumberFormat="0" applyFill="0" applyAlignment="0" applyProtection="0"/>
    <xf numFmtId="0" fontId="104" fillId="0" borderId="0" applyNumberFormat="0" applyFill="0" applyBorder="0" applyAlignment="0" applyProtection="0"/>
    <xf numFmtId="0" fontId="105" fillId="0" borderId="0" applyNumberFormat="0" applyFill="0" applyBorder="0" applyAlignment="0" applyProtection="0"/>
    <xf numFmtId="197" fontId="48" fillId="0" borderId="49" applyFill="0" applyBorder="0" applyProtection="0">
      <alignment horizontal="center"/>
      <protection locked="0"/>
    </xf>
    <xf numFmtId="198" fontId="48" fillId="0" borderId="49" applyFill="0" applyBorder="0" applyProtection="0">
      <alignment horizontal="center"/>
      <protection locked="0"/>
    </xf>
    <xf numFmtId="0" fontId="106" fillId="33" borderId="41" applyNumberFormat="0" applyAlignment="0" applyProtection="0"/>
    <xf numFmtId="0" fontId="107" fillId="43" borderId="41" applyNumberFormat="0" applyAlignment="0" applyProtection="0"/>
    <xf numFmtId="0" fontId="108" fillId="0" borderId="50" applyNumberFormat="0" applyFill="0" applyAlignment="0" applyProtection="0"/>
    <xf numFmtId="0" fontId="109" fillId="0" borderId="51" applyNumberFormat="0" applyFill="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0" fontId="7" fillId="0" borderId="0" applyFont="0" applyFill="0" applyBorder="0" applyAlignment="0" applyProtection="0"/>
    <xf numFmtId="200"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Alignment="0" applyProtection="0"/>
    <xf numFmtId="202" fontId="7" fillId="0" borderId="0" applyFont="0" applyFill="0" applyBorder="0" applyAlignment="0" applyProtection="0"/>
    <xf numFmtId="202" fontId="7" fillId="0" borderId="0" applyFont="0" applyFill="0" applyBorder="0" applyAlignment="0" applyProtection="0"/>
    <xf numFmtId="202" fontId="7" fillId="0" borderId="0" applyFont="0" applyFill="0" applyBorder="0" applyAlignment="0" applyProtection="0"/>
    <xf numFmtId="203" fontId="48" fillId="0" borderId="49" applyFill="0" applyBorder="0" applyProtection="0">
      <alignment horizontal="center"/>
      <protection locked="0"/>
    </xf>
    <xf numFmtId="0" fontId="110" fillId="43" borderId="0" applyNumberFormat="0" applyBorder="0" applyAlignment="0" applyProtection="0"/>
    <xf numFmtId="0" fontId="111" fillId="43" borderId="0" applyNumberFormat="0" applyBorder="0" applyAlignment="0" applyProtection="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1" fillId="0" borderId="0"/>
    <xf numFmtId="204" fontId="112" fillId="0" borderId="0"/>
    <xf numFmtId="0" fontId="41"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204" fontId="9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37" borderId="52" applyNumberFormat="0" applyFont="0" applyAlignment="0" applyProtection="0"/>
    <xf numFmtId="0" fontId="7" fillId="37" borderId="5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205" fontId="113" fillId="0" borderId="0"/>
    <xf numFmtId="206" fontId="48" fillId="0" borderId="49" applyFill="0" applyBorder="0" applyProtection="0">
      <alignment horizontal="center"/>
      <protection locked="0"/>
    </xf>
    <xf numFmtId="0" fontId="114" fillId="41" borderId="53" applyNumberFormat="0" applyAlignment="0" applyProtection="0"/>
    <xf numFmtId="0" fontId="115" fillId="55" borderId="54" applyNumberForma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 fontId="91" fillId="0" borderId="55" applyNumberFormat="0" applyFont="0" applyFill="0" applyAlignment="0" applyProtection="0">
      <alignment horizontal="center"/>
    </xf>
    <xf numFmtId="0" fontId="46" fillId="0" borderId="0" applyNumberFormat="0" applyFont="0" applyFill="0" applyBorder="0" applyAlignment="0" applyProtection="0">
      <alignment horizontal="left"/>
    </xf>
    <xf numFmtId="0" fontId="46" fillId="0" borderId="0" applyNumberFormat="0" applyFont="0" applyFill="0" applyBorder="0" applyAlignment="0" applyProtection="0">
      <alignment horizontal="left"/>
    </xf>
    <xf numFmtId="15" fontId="46" fillId="0" borderId="0" applyFont="0" applyFill="0" applyBorder="0" applyAlignment="0" applyProtection="0"/>
    <xf numFmtId="15" fontId="46" fillId="0" borderId="0" applyFont="0" applyFill="0" applyBorder="0" applyAlignment="0" applyProtection="0"/>
    <xf numFmtId="4" fontId="46" fillId="0" borderId="0" applyFont="0" applyFill="0" applyBorder="0" applyAlignment="0" applyProtection="0"/>
    <xf numFmtId="4" fontId="46" fillId="0" borderId="0" applyFont="0" applyFill="0" applyBorder="0" applyAlignment="0" applyProtection="0"/>
    <xf numFmtId="0" fontId="72" fillId="0" borderId="11">
      <alignment horizontal="center"/>
    </xf>
    <xf numFmtId="0" fontId="72" fillId="0" borderId="11">
      <alignment horizontal="center"/>
    </xf>
    <xf numFmtId="3" fontId="46" fillId="0" borderId="0" applyFont="0" applyFill="0" applyBorder="0" applyAlignment="0" applyProtection="0"/>
    <xf numFmtId="3" fontId="46" fillId="0" borderId="0" applyFont="0" applyFill="0" applyBorder="0" applyAlignment="0" applyProtection="0"/>
    <xf numFmtId="0" fontId="46" fillId="58" borderId="0" applyNumberFormat="0" applyFont="0" applyBorder="0" applyAlignment="0" applyProtection="0"/>
    <xf numFmtId="0" fontId="46" fillId="58" borderId="0" applyNumberFormat="0" applyFont="0" applyBorder="0" applyAlignment="0" applyProtection="0"/>
    <xf numFmtId="207" fontId="98" fillId="0" borderId="0" applyFill="0" applyBorder="0" applyProtection="0">
      <alignment horizontal="centerContinuous"/>
      <protection locked="0"/>
    </xf>
    <xf numFmtId="0" fontId="116" fillId="0" borderId="40" applyNumberFormat="0" applyBorder="0" applyAlignment="0" applyProtection="0">
      <alignment horizontal="center" vertical="top"/>
      <protection locked="0"/>
    </xf>
    <xf numFmtId="0" fontId="117" fillId="0" borderId="0" applyNumberFormat="0" applyFill="0" applyBorder="0" applyAlignment="0" applyProtection="0"/>
    <xf numFmtId="0" fontId="118" fillId="0" borderId="0" applyNumberFormat="0" applyFill="0" applyBorder="0" applyAlignment="0" applyProtection="0"/>
    <xf numFmtId="0" fontId="119" fillId="0" borderId="56" applyNumberFormat="0" applyFill="0" applyAlignment="0" applyProtection="0"/>
    <xf numFmtId="0" fontId="119" fillId="0" borderId="57" applyNumberFormat="0" applyFill="0" applyAlignment="0" applyProtection="0"/>
    <xf numFmtId="0" fontId="120" fillId="0" borderId="0" applyNumberFormat="0" applyFill="0" applyBorder="0" applyAlignment="0" applyProtection="0"/>
    <xf numFmtId="43" fontId="70" fillId="0" borderId="0" applyFont="0" applyFill="0" applyBorder="0" applyAlignment="0" applyProtection="0"/>
    <xf numFmtId="44" fontId="7" fillId="0" borderId="0" applyFont="0" applyFill="0" applyBorder="0" applyAlignment="0" applyProtection="0"/>
    <xf numFmtId="8" fontId="48" fillId="0" borderId="0" applyFont="0" applyFill="0" applyBorder="0" applyAlignment="0" applyProtection="0"/>
    <xf numFmtId="0" fontId="70" fillId="0" borderId="0"/>
    <xf numFmtId="0" fontId="7" fillId="0" borderId="0"/>
    <xf numFmtId="9" fontId="70" fillId="0" borderId="0" applyFont="0" applyFill="0" applyBorder="0" applyAlignment="0" applyProtection="0"/>
    <xf numFmtId="43" fontId="7"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9" fontId="70" fillId="0" borderId="0" applyFont="0" applyFill="0" applyBorder="0" applyAlignment="0" applyProtection="0"/>
    <xf numFmtId="0" fontId="1" fillId="0" borderId="0"/>
    <xf numFmtId="1" fontId="91" fillId="0" borderId="29" applyNumberFormat="0" applyFont="0" applyFill="0" applyAlignment="0" applyProtection="0">
      <alignment horizontal="center"/>
    </xf>
    <xf numFmtId="0" fontId="125" fillId="0" borderId="58" applyNumberFormat="0" applyFill="0" applyAlignment="0" applyProtection="0"/>
    <xf numFmtId="0" fontId="126" fillId="0" borderId="59" applyNumberFormat="0" applyFill="0" applyAlignment="0" applyProtection="0"/>
    <xf numFmtId="0" fontId="127" fillId="0" borderId="60" applyNumberFormat="0" applyFill="0" applyAlignment="0" applyProtection="0"/>
    <xf numFmtId="0" fontId="127" fillId="0" borderId="0" applyNumberFormat="0" applyFill="0" applyBorder="0" applyAlignment="0" applyProtection="0"/>
    <xf numFmtId="0" fontId="128" fillId="59" borderId="0" applyNumberFormat="0" applyBorder="0" applyAlignment="0" applyProtection="0"/>
    <xf numFmtId="0" fontId="129" fillId="60" borderId="0" applyNumberFormat="0" applyBorder="0" applyAlignment="0" applyProtection="0"/>
    <xf numFmtId="0" fontId="130" fillId="61" borderId="0" applyNumberFormat="0" applyBorder="0" applyAlignment="0" applyProtection="0"/>
    <xf numFmtId="0" fontId="131" fillId="62" borderId="61" applyNumberFormat="0" applyAlignment="0" applyProtection="0"/>
    <xf numFmtId="0" fontId="132" fillId="63" borderId="62" applyNumberFormat="0" applyAlignment="0" applyProtection="0"/>
    <xf numFmtId="0" fontId="133" fillId="63" borderId="61" applyNumberFormat="0" applyAlignment="0" applyProtection="0"/>
    <xf numFmtId="0" fontId="134" fillId="0" borderId="63" applyNumberFormat="0" applyFill="0" applyAlignment="0" applyProtection="0"/>
    <xf numFmtId="0" fontId="135" fillId="64" borderId="64" applyNumberFormat="0" applyAlignment="0" applyProtection="0"/>
    <xf numFmtId="0" fontId="136" fillId="0" borderId="0" applyNumberFormat="0" applyFill="0" applyBorder="0" applyAlignment="0" applyProtection="0"/>
    <xf numFmtId="0" fontId="1" fillId="11" borderId="32" applyNumberFormat="0" applyFont="0" applyAlignment="0" applyProtection="0"/>
    <xf numFmtId="0" fontId="137" fillId="0" borderId="0" applyNumberFormat="0" applyFill="0" applyBorder="0" applyAlignment="0" applyProtection="0"/>
    <xf numFmtId="0" fontId="28" fillId="0" borderId="65" applyNumberFormat="0" applyFill="0" applyAlignment="0" applyProtection="0"/>
    <xf numFmtId="0" fontId="138" fillId="65"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38" fillId="66" borderId="0" applyNumberFormat="0" applyBorder="0" applyAlignment="0" applyProtection="0"/>
    <xf numFmtId="0" fontId="138" fillId="67"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38" fillId="68" borderId="0" applyNumberFormat="0" applyBorder="0" applyAlignment="0" applyProtection="0"/>
    <xf numFmtId="0" fontId="138" fillId="69"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38" fillId="70" borderId="0" applyNumberFormat="0" applyBorder="0" applyAlignment="0" applyProtection="0"/>
    <xf numFmtId="0" fontId="138" fillId="71"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38" fillId="72" borderId="0" applyNumberFormat="0" applyBorder="0" applyAlignment="0" applyProtection="0"/>
    <xf numFmtId="0" fontId="138" fillId="73"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38" fillId="74" borderId="0" applyNumberFormat="0" applyBorder="0" applyAlignment="0" applyProtection="0"/>
    <xf numFmtId="0" fontId="138" fillId="75"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38" fillId="76" borderId="0" applyNumberFormat="0" applyBorder="0" applyAlignment="0" applyProtection="0"/>
    <xf numFmtId="204" fontId="112" fillId="0" borderId="0"/>
    <xf numFmtId="0" fontId="72" fillId="0" borderId="67">
      <alignment horizontal="center"/>
    </xf>
    <xf numFmtId="0" fontId="5"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4" fontId="7" fillId="0" borderId="0" applyFont="0" applyFill="0" applyBorder="0" applyAlignment="0" applyProtection="0"/>
    <xf numFmtId="0" fontId="141" fillId="0" borderId="0"/>
    <xf numFmtId="0" fontId="53" fillId="7"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204" fontId="112" fillId="0" borderId="0"/>
    <xf numFmtId="204" fontId="112" fillId="0" borderId="0"/>
    <xf numFmtId="0" fontId="7" fillId="0" borderId="0"/>
    <xf numFmtId="0" fontId="1" fillId="0" borderId="0"/>
    <xf numFmtId="0" fontId="1" fillId="0" borderId="0"/>
    <xf numFmtId="0" fontId="1" fillId="0" borderId="0"/>
    <xf numFmtId="204" fontId="96" fillId="0" borderId="0"/>
    <xf numFmtId="0" fontId="1" fillId="0" borderId="0"/>
    <xf numFmtId="165" fontId="142" fillId="0" borderId="0" applyBorder="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2" fillId="0" borderId="67">
      <alignment horizontal="center"/>
    </xf>
    <xf numFmtId="0" fontId="61" fillId="0" borderId="0"/>
    <xf numFmtId="0" fontId="7" fillId="0" borderId="0"/>
    <xf numFmtId="0" fontId="163" fillId="0" borderId="0" applyFont="0" applyFill="0" applyBorder="0" applyAlignment="0" applyProtection="0"/>
    <xf numFmtId="0" fontId="163" fillId="0" borderId="0" applyFont="0" applyFill="0" applyBorder="0" applyAlignment="0" applyProtection="0"/>
    <xf numFmtId="0" fontId="164" fillId="0" borderId="0"/>
    <xf numFmtId="0" fontId="163" fillId="0" borderId="0" applyFont="0" applyFill="0" applyBorder="0" applyAlignment="0" applyProtection="0"/>
    <xf numFmtId="0" fontId="164" fillId="0" borderId="0"/>
    <xf numFmtId="0" fontId="163" fillId="0" borderId="0" applyFont="0" applyFill="0" applyBorder="0" applyAlignment="0" applyProtection="0"/>
    <xf numFmtId="0" fontId="165" fillId="0" borderId="0">
      <alignment horizontal="right"/>
    </xf>
    <xf numFmtId="0" fontId="165" fillId="27" borderId="0"/>
    <xf numFmtId="0" fontId="166" fillId="27" borderId="0"/>
    <xf numFmtId="0" fontId="166" fillId="27" borderId="0"/>
    <xf numFmtId="0" fontId="166" fillId="27" borderId="0"/>
    <xf numFmtId="0" fontId="166" fillId="27" borderId="0">
      <alignment horizontal="right"/>
    </xf>
    <xf numFmtId="0" fontId="163" fillId="0" borderId="0" applyFont="0" applyFill="0" applyBorder="0" applyAlignment="0" applyProtection="0"/>
    <xf numFmtId="0" fontId="163" fillId="0" borderId="0" applyFont="0" applyFill="0" applyBorder="0" applyAlignment="0" applyProtection="0"/>
    <xf numFmtId="10" fontId="167" fillId="0" borderId="0" applyFont="0" applyFill="0" applyBorder="0" applyAlignment="0" applyProtection="0"/>
    <xf numFmtId="9" fontId="168" fillId="0" borderId="0"/>
    <xf numFmtId="165" fontId="168" fillId="0" borderId="0"/>
    <xf numFmtId="10" fontId="168" fillId="0" borderId="0"/>
    <xf numFmtId="0" fontId="169" fillId="0" borderId="0" applyNumberFormat="0" applyFill="0" applyBorder="0" applyAlignment="0" applyProtection="0"/>
    <xf numFmtId="0" fontId="68" fillId="0" borderId="0" applyFont="0" applyFill="0" applyBorder="0" applyAlignment="0"/>
    <xf numFmtId="0" fontId="168" fillId="0" borderId="0" applyFont="0" applyFill="0" applyBorder="0" applyAlignment="0" applyProtection="0"/>
    <xf numFmtId="0" fontId="170" fillId="0" borderId="0" applyFont="0" applyFill="0" applyBorder="0" applyAlignment="0" applyProtection="0"/>
    <xf numFmtId="0" fontId="170" fillId="0" borderId="0" applyFont="0" applyFill="0" applyBorder="0" applyAlignment="0" applyProtection="0"/>
    <xf numFmtId="0" fontId="170" fillId="0" borderId="0" applyFont="0" applyFill="0" applyBorder="0" applyAlignment="0" applyProtection="0"/>
    <xf numFmtId="0" fontId="170" fillId="0" borderId="0" applyFont="0" applyFill="0" applyBorder="0" applyAlignment="0" applyProtection="0"/>
    <xf numFmtId="0" fontId="170" fillId="0" borderId="0" applyFont="0" applyFill="0" applyBorder="0" applyAlignment="0" applyProtection="0"/>
    <xf numFmtId="0" fontId="171" fillId="0" borderId="0" applyFont="0" applyFill="0" applyBorder="0" applyAlignment="0" applyProtection="0"/>
    <xf numFmtId="0" fontId="168" fillId="0" borderId="0" applyFont="0" applyFill="0" applyBorder="0" applyAlignment="0" applyProtection="0"/>
    <xf numFmtId="189" fontId="46" fillId="0" borderId="0"/>
    <xf numFmtId="165" fontId="46" fillId="0" borderId="0"/>
    <xf numFmtId="2" fontId="46" fillId="0" borderId="0"/>
    <xf numFmtId="172" fontId="172" fillId="0" borderId="0" applyFont="0" applyFill="0" applyBorder="0" applyAlignment="0" applyProtection="0"/>
    <xf numFmtId="0" fontId="87" fillId="32" borderId="0" applyNumberFormat="0" applyBorder="0" applyAlignment="0" applyProtection="0"/>
    <xf numFmtId="0" fontId="87" fillId="34" borderId="0" applyNumberFormat="0" applyBorder="0" applyAlignment="0" applyProtection="0"/>
    <xf numFmtId="0" fontId="87" fillId="36" borderId="0" applyNumberFormat="0" applyBorder="0" applyAlignment="0" applyProtection="0"/>
    <xf numFmtId="0" fontId="87" fillId="38" borderId="0" applyNumberFormat="0" applyBorder="0" applyAlignment="0" applyProtection="0"/>
    <xf numFmtId="0" fontId="87" fillId="39" borderId="0" applyNumberFormat="0" applyBorder="0" applyAlignment="0" applyProtection="0"/>
    <xf numFmtId="0" fontId="87" fillId="33" borderId="0" applyNumberFormat="0" applyBorder="0" applyAlignment="0" applyProtection="0"/>
    <xf numFmtId="0" fontId="87" fillId="40" borderId="0" applyNumberFormat="0" applyBorder="0" applyAlignment="0" applyProtection="0"/>
    <xf numFmtId="0" fontId="87" fillId="35" borderId="0" applyNumberFormat="0" applyBorder="0" applyAlignment="0" applyProtection="0"/>
    <xf numFmtId="0" fontId="87" fillId="42" borderId="0" applyNumberFormat="0" applyBorder="0" applyAlignment="0" applyProtection="0"/>
    <xf numFmtId="0" fontId="87" fillId="38" borderId="0" applyNumberFormat="0" applyBorder="0" applyAlignment="0" applyProtection="0"/>
    <xf numFmtId="0" fontId="87" fillId="40" borderId="0" applyNumberFormat="0" applyBorder="0" applyAlignment="0" applyProtection="0"/>
    <xf numFmtId="0" fontId="87" fillId="44" borderId="0" applyNumberFormat="0" applyBorder="0" applyAlignment="0" applyProtection="0"/>
    <xf numFmtId="0" fontId="147" fillId="45" borderId="0" applyNumberFormat="0" applyBorder="0" applyAlignment="0" applyProtection="0"/>
    <xf numFmtId="0" fontId="147" fillId="35" borderId="0" applyNumberFormat="0" applyBorder="0" applyAlignment="0" applyProtection="0"/>
    <xf numFmtId="0" fontId="147" fillId="42" borderId="0" applyNumberFormat="0" applyBorder="0" applyAlignment="0" applyProtection="0"/>
    <xf numFmtId="0" fontId="147" fillId="47" borderId="0" applyNumberFormat="0" applyBorder="0" applyAlignment="0" applyProtection="0"/>
    <xf numFmtId="0" fontId="147" fillId="48" borderId="0" applyNumberFormat="0" applyBorder="0" applyAlignment="0" applyProtection="0"/>
    <xf numFmtId="0" fontId="147" fillId="49" borderId="0" applyNumberFormat="0" applyBorder="0" applyAlignment="0" applyProtection="0"/>
    <xf numFmtId="0" fontId="147" fillId="50" borderId="0" applyNumberFormat="0" applyBorder="0" applyAlignment="0" applyProtection="0"/>
    <xf numFmtId="0" fontId="147" fillId="51" borderId="0" applyNumberFormat="0" applyBorder="0" applyAlignment="0" applyProtection="0"/>
    <xf numFmtId="0" fontId="147" fillId="52" borderId="0" applyNumberFormat="0" applyBorder="0" applyAlignment="0" applyProtection="0"/>
    <xf numFmtId="0" fontId="147" fillId="47" borderId="0" applyNumberFormat="0" applyBorder="0" applyAlignment="0" applyProtection="0"/>
    <xf numFmtId="0" fontId="147" fillId="48" borderId="0" applyNumberFormat="0" applyBorder="0" applyAlignment="0" applyProtection="0"/>
    <xf numFmtId="0" fontId="147" fillId="54" borderId="0" applyNumberFormat="0" applyBorder="0" applyAlignment="0" applyProtection="0"/>
    <xf numFmtId="42" fontId="7" fillId="0" borderId="0" applyFont="0" applyFill="0" applyBorder="0" applyAlignment="0" applyProtection="0"/>
    <xf numFmtId="0" fontId="7" fillId="0" borderId="0"/>
    <xf numFmtId="0" fontId="7" fillId="0" borderId="0"/>
    <xf numFmtId="0" fontId="7" fillId="0" borderId="0"/>
    <xf numFmtId="0" fontId="148" fillId="34" borderId="0" applyNumberFormat="0" applyBorder="0" applyAlignment="0" applyProtection="0"/>
    <xf numFmtId="0" fontId="173" fillId="0" borderId="0" applyNumberFormat="0" applyFill="0" applyBorder="0" applyAlignment="0" applyProtection="0"/>
    <xf numFmtId="0" fontId="68" fillId="0" borderId="0"/>
    <xf numFmtId="0" fontId="39" fillId="0" borderId="19" applyNumberFormat="0" applyFill="0" applyAlignment="0" applyProtection="0"/>
    <xf numFmtId="0" fontId="174" fillId="0" borderId="68" applyFill="0" applyProtection="0">
      <alignment horizontal="right"/>
    </xf>
    <xf numFmtId="0" fontId="168" fillId="0" borderId="0" applyFont="0" applyFill="0" applyBorder="0" applyAlignment="0" applyProtection="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149" fillId="41" borderId="41" applyNumberFormat="0" applyAlignment="0" applyProtection="0"/>
    <xf numFmtId="8" fontId="7" fillId="0" borderId="69" applyFont="0" applyFill="0" applyBorder="0" applyProtection="0">
      <alignment horizontal="right"/>
    </xf>
    <xf numFmtId="0" fontId="5" fillId="0" borderId="0" applyAlignment="0"/>
    <xf numFmtId="0" fontId="150" fillId="56" borderId="42" applyNumberFormat="0" applyAlignment="0" applyProtection="0"/>
    <xf numFmtId="0" fontId="47" fillId="5" borderId="0" applyAlignment="0"/>
    <xf numFmtId="0" fontId="175" fillId="0" borderId="0" applyFont="0" applyFill="0" applyBorder="0" applyAlignment="0" applyProtection="0"/>
    <xf numFmtId="40" fontId="7" fillId="0" borderId="0" applyFont="0" applyFill="0" applyBorder="0" applyProtection="0">
      <alignment horizontal="right"/>
    </xf>
    <xf numFmtId="38" fontId="168" fillId="0" borderId="0" applyFill="0" applyBorder="0" applyProtection="0">
      <alignment horizontal="center"/>
    </xf>
    <xf numFmtId="38" fontId="176" fillId="0" borderId="0" applyNumberFormat="0" applyFill="0" applyBorder="0">
      <alignment vertical="center"/>
    </xf>
    <xf numFmtId="7" fontId="7" fillId="0" borderId="0" applyFont="0" applyFill="0" applyBorder="0" applyAlignment="0" applyProtection="0"/>
    <xf numFmtId="0" fontId="68" fillId="0" borderId="0" applyFont="0" applyFill="0" applyBorder="0" applyAlignment="0" applyProtection="0"/>
    <xf numFmtId="8" fontId="177" fillId="0" borderId="0" applyBorder="0"/>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78" fillId="27" borderId="34">
      <alignment horizontal="right"/>
    </xf>
    <xf numFmtId="213" fontId="178" fillId="27" borderId="34">
      <alignment horizontal="right"/>
    </xf>
    <xf numFmtId="0" fontId="178" fillId="27" borderId="34">
      <alignment horizontal="right"/>
    </xf>
    <xf numFmtId="0" fontId="178" fillId="27" borderId="34">
      <alignment horizontal="right"/>
    </xf>
    <xf numFmtId="0" fontId="179" fillId="27" borderId="34">
      <alignment horizontal="right"/>
    </xf>
    <xf numFmtId="0" fontId="179"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78" fillId="27" borderId="34">
      <alignment horizontal="right"/>
    </xf>
    <xf numFmtId="213" fontId="178" fillId="27" borderId="34">
      <alignment horizontal="right"/>
    </xf>
    <xf numFmtId="0" fontId="178" fillId="27" borderId="34">
      <alignment horizontal="right"/>
    </xf>
    <xf numFmtId="0" fontId="178" fillId="27" borderId="34">
      <alignment horizontal="right"/>
    </xf>
    <xf numFmtId="0" fontId="179" fillId="27" borderId="34">
      <alignment horizontal="right"/>
    </xf>
    <xf numFmtId="0" fontId="179" fillId="27" borderId="34">
      <alignment horizontal="right"/>
    </xf>
    <xf numFmtId="0" fontId="178" fillId="27" borderId="34">
      <alignment horizontal="right"/>
    </xf>
    <xf numFmtId="213" fontId="178" fillId="27" borderId="34">
      <alignment horizontal="right"/>
    </xf>
    <xf numFmtId="0" fontId="178" fillId="27" borderId="34">
      <alignment horizontal="right"/>
    </xf>
    <xf numFmtId="0" fontId="178" fillId="27" borderId="34">
      <alignment horizontal="right"/>
    </xf>
    <xf numFmtId="0" fontId="179" fillId="27" borderId="34">
      <alignment horizontal="right"/>
    </xf>
    <xf numFmtId="0" fontId="178" fillId="27" borderId="34">
      <alignment horizontal="right"/>
    </xf>
    <xf numFmtId="213" fontId="178" fillId="27" borderId="34">
      <alignment horizontal="right"/>
    </xf>
    <xf numFmtId="0" fontId="178" fillId="27" borderId="34">
      <alignment horizontal="right"/>
    </xf>
    <xf numFmtId="0" fontId="178" fillId="27" borderId="34">
      <alignment horizontal="right"/>
    </xf>
    <xf numFmtId="0" fontId="179" fillId="27" borderId="34">
      <alignment horizontal="right"/>
    </xf>
    <xf numFmtId="0" fontId="179" fillId="27" borderId="34">
      <alignment horizontal="right"/>
    </xf>
    <xf numFmtId="0" fontId="179"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78" fillId="27" borderId="34">
      <alignment horizontal="right"/>
    </xf>
    <xf numFmtId="213" fontId="178" fillId="27" borderId="34">
      <alignment horizontal="right"/>
    </xf>
    <xf numFmtId="0" fontId="178" fillId="27" borderId="34">
      <alignment horizontal="right"/>
    </xf>
    <xf numFmtId="0" fontId="178" fillId="27" borderId="34">
      <alignment horizontal="right"/>
    </xf>
    <xf numFmtId="0" fontId="179" fillId="27" borderId="34">
      <alignment horizontal="right"/>
    </xf>
    <xf numFmtId="0" fontId="179" fillId="27" borderId="34">
      <alignment horizontal="right"/>
    </xf>
    <xf numFmtId="0" fontId="178" fillId="27" borderId="34">
      <alignment horizontal="right"/>
    </xf>
    <xf numFmtId="213" fontId="178" fillId="27" borderId="34">
      <alignment horizontal="right"/>
    </xf>
    <xf numFmtId="0" fontId="178" fillId="27" borderId="34">
      <alignment horizontal="right"/>
    </xf>
    <xf numFmtId="0" fontId="178" fillId="27" borderId="34">
      <alignment horizontal="right"/>
    </xf>
    <xf numFmtId="0" fontId="179" fillId="27" borderId="34">
      <alignment horizontal="right"/>
    </xf>
    <xf numFmtId="0" fontId="179"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78" fillId="27" borderId="34">
      <alignment horizontal="right"/>
    </xf>
    <xf numFmtId="213" fontId="178" fillId="27" borderId="34">
      <alignment horizontal="right"/>
    </xf>
    <xf numFmtId="0" fontId="178" fillId="27" borderId="34">
      <alignment horizontal="right"/>
    </xf>
    <xf numFmtId="0" fontId="178" fillId="27" borderId="34">
      <alignment horizontal="right"/>
    </xf>
    <xf numFmtId="0" fontId="179" fillId="27" borderId="34">
      <alignment horizontal="right"/>
    </xf>
    <xf numFmtId="0" fontId="179"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78" fillId="27" borderId="34">
      <alignment horizontal="right"/>
    </xf>
    <xf numFmtId="213" fontId="178" fillId="27" borderId="34">
      <alignment horizontal="right"/>
    </xf>
    <xf numFmtId="0" fontId="178" fillId="27" borderId="34">
      <alignment horizontal="right"/>
    </xf>
    <xf numFmtId="0" fontId="178" fillId="27" borderId="34">
      <alignment horizontal="right"/>
    </xf>
    <xf numFmtId="0" fontId="179" fillId="27" borderId="34">
      <alignment horizontal="right"/>
    </xf>
    <xf numFmtId="0" fontId="179" fillId="27" borderId="34">
      <alignment horizontal="right"/>
    </xf>
    <xf numFmtId="0" fontId="178" fillId="27" borderId="34">
      <alignment horizontal="right"/>
    </xf>
    <xf numFmtId="213" fontId="178" fillId="27" borderId="34">
      <alignment horizontal="right"/>
    </xf>
    <xf numFmtId="0" fontId="178" fillId="27" borderId="34">
      <alignment horizontal="right"/>
    </xf>
    <xf numFmtId="0" fontId="178" fillId="27" borderId="34">
      <alignment horizontal="right"/>
    </xf>
    <xf numFmtId="0" fontId="179" fillId="27" borderId="34">
      <alignment horizontal="right"/>
    </xf>
    <xf numFmtId="0" fontId="178" fillId="27" borderId="34">
      <alignment horizontal="right"/>
    </xf>
    <xf numFmtId="213" fontId="178" fillId="27" borderId="34">
      <alignment horizontal="right"/>
    </xf>
    <xf numFmtId="0" fontId="178" fillId="27" borderId="34">
      <alignment horizontal="right"/>
    </xf>
    <xf numFmtId="0" fontId="178" fillId="27" borderId="34">
      <alignment horizontal="right"/>
    </xf>
    <xf numFmtId="0" fontId="179" fillId="27" borderId="34">
      <alignment horizontal="right"/>
    </xf>
    <xf numFmtId="0" fontId="179" fillId="27" borderId="34">
      <alignment horizontal="right"/>
    </xf>
    <xf numFmtId="0" fontId="179"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78" fillId="27" borderId="34">
      <alignment horizontal="right"/>
    </xf>
    <xf numFmtId="213" fontId="178" fillId="27" borderId="34">
      <alignment horizontal="right"/>
    </xf>
    <xf numFmtId="0" fontId="178" fillId="27" borderId="34">
      <alignment horizontal="right"/>
    </xf>
    <xf numFmtId="0" fontId="178" fillId="27" borderId="34">
      <alignment horizontal="right"/>
    </xf>
    <xf numFmtId="0" fontId="179" fillId="27" borderId="34">
      <alignment horizontal="right"/>
    </xf>
    <xf numFmtId="0" fontId="179" fillId="27" borderId="34">
      <alignment horizontal="right"/>
    </xf>
    <xf numFmtId="0" fontId="178" fillId="27" borderId="34">
      <alignment horizontal="right"/>
    </xf>
    <xf numFmtId="213" fontId="178" fillId="27" borderId="34">
      <alignment horizontal="right"/>
    </xf>
    <xf numFmtId="0" fontId="178" fillId="27" borderId="34">
      <alignment horizontal="right"/>
    </xf>
    <xf numFmtId="0" fontId="178" fillId="27" borderId="34">
      <alignment horizontal="right"/>
    </xf>
    <xf numFmtId="0" fontId="179" fillId="27" borderId="34">
      <alignment horizontal="right"/>
    </xf>
    <xf numFmtId="0" fontId="179"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78" fillId="27" borderId="34">
      <alignment horizontal="right"/>
    </xf>
    <xf numFmtId="213" fontId="178" fillId="27" borderId="34">
      <alignment horizontal="right"/>
    </xf>
    <xf numFmtId="0" fontId="178" fillId="27" borderId="34">
      <alignment horizontal="right"/>
    </xf>
    <xf numFmtId="0" fontId="178" fillId="27" borderId="34">
      <alignment horizontal="right"/>
    </xf>
    <xf numFmtId="0" fontId="179" fillId="27" borderId="34">
      <alignment horizontal="right"/>
    </xf>
    <xf numFmtId="0" fontId="179" fillId="27" borderId="34">
      <alignment horizontal="right"/>
    </xf>
    <xf numFmtId="0" fontId="166" fillId="27" borderId="34">
      <alignment horizontal="right"/>
    </xf>
    <xf numFmtId="0" fontId="178" fillId="27" borderId="34">
      <alignment horizontal="right"/>
    </xf>
    <xf numFmtId="213" fontId="178" fillId="27" borderId="34">
      <alignment horizontal="right"/>
    </xf>
    <xf numFmtId="0" fontId="178" fillId="27" borderId="34">
      <alignment horizontal="right"/>
    </xf>
    <xf numFmtId="0" fontId="178" fillId="27" borderId="34">
      <alignment horizontal="right"/>
    </xf>
    <xf numFmtId="0" fontId="179" fillId="27" borderId="34">
      <alignment horizontal="right"/>
    </xf>
    <xf numFmtId="0" fontId="179" fillId="27" borderId="34">
      <alignment horizontal="right"/>
    </xf>
    <xf numFmtId="0" fontId="178" fillId="27" borderId="34">
      <alignment horizontal="right"/>
    </xf>
    <xf numFmtId="191" fontId="178" fillId="27" borderId="34">
      <alignment horizontal="right"/>
    </xf>
    <xf numFmtId="0" fontId="178" fillId="27" borderId="34">
      <alignment horizontal="right"/>
    </xf>
    <xf numFmtId="0" fontId="178" fillId="27" borderId="34">
      <alignment horizontal="right"/>
    </xf>
    <xf numFmtId="191" fontId="179" fillId="27" borderId="34">
      <alignment horizontal="right"/>
    </xf>
    <xf numFmtId="0" fontId="178" fillId="27" borderId="34">
      <alignment horizontal="right"/>
    </xf>
    <xf numFmtId="191" fontId="178" fillId="27" borderId="34">
      <alignment horizontal="right"/>
    </xf>
    <xf numFmtId="0" fontId="178" fillId="27" borderId="34">
      <alignment horizontal="right"/>
    </xf>
    <xf numFmtId="0" fontId="178" fillId="27" borderId="34">
      <alignment horizontal="right"/>
    </xf>
    <xf numFmtId="191" fontId="179" fillId="27" borderId="34">
      <alignment horizontal="right"/>
    </xf>
    <xf numFmtId="0" fontId="179" fillId="27" borderId="34">
      <alignment horizontal="right"/>
    </xf>
    <xf numFmtId="0" fontId="179" fillId="27" borderId="34">
      <alignment horizontal="right"/>
    </xf>
    <xf numFmtId="0" fontId="178" fillId="27" borderId="34">
      <alignment horizontal="right"/>
    </xf>
    <xf numFmtId="213" fontId="178" fillId="27" borderId="34">
      <alignment horizontal="right"/>
    </xf>
    <xf numFmtId="0" fontId="178" fillId="27" borderId="34">
      <alignment horizontal="right"/>
    </xf>
    <xf numFmtId="0" fontId="178" fillId="27" borderId="34">
      <alignment horizontal="right"/>
    </xf>
    <xf numFmtId="0" fontId="179" fillId="27" borderId="34">
      <alignment horizontal="right"/>
    </xf>
    <xf numFmtId="0" fontId="178" fillId="27" borderId="34">
      <alignment horizontal="right"/>
    </xf>
    <xf numFmtId="213" fontId="178" fillId="27" borderId="34">
      <alignment horizontal="right"/>
    </xf>
    <xf numFmtId="0" fontId="178" fillId="27" borderId="34">
      <alignment horizontal="right"/>
    </xf>
    <xf numFmtId="0" fontId="178" fillId="27" borderId="34">
      <alignment horizontal="right"/>
    </xf>
    <xf numFmtId="0" fontId="179" fillId="27" borderId="34">
      <alignment horizontal="right"/>
    </xf>
    <xf numFmtId="0" fontId="179" fillId="27" borderId="34">
      <alignment horizontal="right"/>
    </xf>
    <xf numFmtId="0" fontId="179"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78" fillId="27" borderId="34">
      <alignment horizontal="right"/>
    </xf>
    <xf numFmtId="213" fontId="178" fillId="27" borderId="34">
      <alignment horizontal="right"/>
    </xf>
    <xf numFmtId="0" fontId="178" fillId="27" borderId="34">
      <alignment horizontal="right"/>
    </xf>
    <xf numFmtId="0" fontId="178" fillId="27" borderId="34">
      <alignment horizontal="right"/>
    </xf>
    <xf numFmtId="0" fontId="179" fillId="27" borderId="34">
      <alignment horizontal="right"/>
    </xf>
    <xf numFmtId="0" fontId="179" fillId="27" borderId="34">
      <alignment horizontal="right"/>
    </xf>
    <xf numFmtId="0" fontId="166" fillId="27" borderId="34">
      <alignment horizontal="right"/>
    </xf>
    <xf numFmtId="0" fontId="178" fillId="27" borderId="34">
      <alignment horizontal="right"/>
    </xf>
    <xf numFmtId="213" fontId="178" fillId="27" borderId="34">
      <alignment horizontal="right"/>
    </xf>
    <xf numFmtId="0" fontId="178" fillId="27" borderId="34">
      <alignment horizontal="right"/>
    </xf>
    <xf numFmtId="0" fontId="178" fillId="27" borderId="34">
      <alignment horizontal="right"/>
    </xf>
    <xf numFmtId="0" fontId="179" fillId="27" borderId="34">
      <alignment horizontal="right"/>
    </xf>
    <xf numFmtId="0" fontId="179" fillId="27" borderId="34">
      <alignment horizontal="right"/>
    </xf>
    <xf numFmtId="0" fontId="178" fillId="27" borderId="34">
      <alignment horizontal="right"/>
    </xf>
    <xf numFmtId="191" fontId="178" fillId="27" borderId="34">
      <alignment horizontal="right"/>
    </xf>
    <xf numFmtId="0" fontId="178" fillId="27" borderId="34">
      <alignment horizontal="right"/>
    </xf>
    <xf numFmtId="0" fontId="178" fillId="27" borderId="34">
      <alignment horizontal="right"/>
    </xf>
    <xf numFmtId="191" fontId="179" fillId="27" borderId="34">
      <alignment horizontal="right"/>
    </xf>
    <xf numFmtId="0" fontId="178" fillId="27" borderId="34">
      <alignment horizontal="right"/>
    </xf>
    <xf numFmtId="191" fontId="178" fillId="27" borderId="34">
      <alignment horizontal="right"/>
    </xf>
    <xf numFmtId="0" fontId="178" fillId="27" borderId="34">
      <alignment horizontal="right"/>
    </xf>
    <xf numFmtId="0" fontId="178" fillId="27" borderId="34">
      <alignment horizontal="right"/>
    </xf>
    <xf numFmtId="191" fontId="179" fillId="27" borderId="34">
      <alignment horizontal="right"/>
    </xf>
    <xf numFmtId="0" fontId="179" fillId="27" borderId="34">
      <alignment horizontal="right"/>
    </xf>
    <xf numFmtId="0" fontId="179" fillId="27" borderId="34">
      <alignment horizontal="right"/>
    </xf>
    <xf numFmtId="0" fontId="178" fillId="27" borderId="34">
      <alignment horizontal="right"/>
    </xf>
    <xf numFmtId="213" fontId="178" fillId="27" borderId="34">
      <alignment horizontal="right"/>
    </xf>
    <xf numFmtId="0" fontId="178" fillId="27" borderId="34">
      <alignment horizontal="right"/>
    </xf>
    <xf numFmtId="0" fontId="178" fillId="27" borderId="34">
      <alignment horizontal="right"/>
    </xf>
    <xf numFmtId="0" fontId="179" fillId="27" borderId="34">
      <alignment horizontal="right"/>
    </xf>
    <xf numFmtId="0" fontId="178" fillId="27" borderId="34">
      <alignment horizontal="right"/>
    </xf>
    <xf numFmtId="213" fontId="178" fillId="27" borderId="34">
      <alignment horizontal="right"/>
    </xf>
    <xf numFmtId="0" fontId="178" fillId="27" borderId="34">
      <alignment horizontal="right"/>
    </xf>
    <xf numFmtId="0" fontId="178" fillId="27" borderId="34">
      <alignment horizontal="right"/>
    </xf>
    <xf numFmtId="0" fontId="179" fillId="27" borderId="34">
      <alignment horizontal="right"/>
    </xf>
    <xf numFmtId="0" fontId="179" fillId="27" borderId="34">
      <alignment horizontal="right"/>
    </xf>
    <xf numFmtId="0" fontId="179" fillId="27" borderId="34">
      <alignment horizontal="right"/>
    </xf>
    <xf numFmtId="0" fontId="168" fillId="0" borderId="0" applyFont="0" applyFill="0" applyBorder="0" applyAlignment="0" applyProtection="0"/>
    <xf numFmtId="0" fontId="7" fillId="0" borderId="0" applyNumberFormat="0">
      <alignment horizontal="right"/>
    </xf>
    <xf numFmtId="15" fontId="7" fillId="0" borderId="0" applyFont="0" applyFill="0" applyBorder="0" applyProtection="0">
      <alignment horizontal="right"/>
    </xf>
    <xf numFmtId="8" fontId="168" fillId="0" borderId="0" applyFill="0" applyBorder="0" applyProtection="0">
      <alignment horizontal="center"/>
    </xf>
    <xf numFmtId="6" fontId="168" fillId="0" borderId="0">
      <alignment horizontal="center"/>
    </xf>
    <xf numFmtId="8" fontId="168" fillId="0" borderId="0" applyFill="0" applyBorder="0" applyProtection="0">
      <alignment horizontal="center"/>
    </xf>
    <xf numFmtId="0" fontId="171" fillId="0" borderId="0" applyFont="0" applyFill="0" applyBorder="0" applyAlignment="0" applyProtection="0"/>
    <xf numFmtId="4" fontId="168" fillId="0" borderId="0" applyFont="0" applyFill="0" applyBorder="0" applyAlignment="0" applyProtection="0"/>
    <xf numFmtId="191" fontId="171" fillId="0" borderId="0" applyFont="0" applyFill="0" applyBorder="0" applyAlignment="0" applyProtection="0"/>
    <xf numFmtId="0" fontId="166" fillId="77" borderId="0"/>
    <xf numFmtId="0" fontId="166" fillId="77" borderId="0"/>
    <xf numFmtId="0" fontId="167" fillId="77" borderId="0"/>
    <xf numFmtId="0" fontId="167" fillId="0" borderId="0"/>
    <xf numFmtId="0" fontId="166" fillId="77" borderId="0"/>
    <xf numFmtId="0" fontId="178" fillId="0" borderId="0"/>
    <xf numFmtId="0" fontId="178" fillId="0" borderId="0"/>
    <xf numFmtId="0" fontId="163" fillId="0" borderId="0" applyFont="0" applyFill="0" applyBorder="0" applyAlignment="0" applyProtection="0"/>
    <xf numFmtId="0" fontId="180" fillId="0" borderId="0" applyFont="0" applyFill="0" applyBorder="0" applyAlignment="0" applyProtection="0"/>
    <xf numFmtId="0" fontId="151" fillId="0" borderId="0" applyNumberFormat="0" applyFill="0" applyBorder="0" applyAlignment="0" applyProtection="0"/>
    <xf numFmtId="0" fontId="181" fillId="0" borderId="0"/>
    <xf numFmtId="0" fontId="177" fillId="0" borderId="0" applyNumberFormat="0" applyFont="0" applyAlignment="0">
      <alignment vertical="center"/>
    </xf>
    <xf numFmtId="0" fontId="166" fillId="0" borderId="70"/>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78" fillId="27" borderId="34">
      <alignment horizontal="right"/>
    </xf>
    <xf numFmtId="211" fontId="178" fillId="27" borderId="34">
      <alignment horizontal="right"/>
    </xf>
    <xf numFmtId="0" fontId="178" fillId="27" borderId="34">
      <alignment horizontal="right"/>
    </xf>
    <xf numFmtId="0" fontId="178" fillId="27" borderId="34">
      <alignment horizontal="right"/>
    </xf>
    <xf numFmtId="211" fontId="179" fillId="27" borderId="34">
      <alignment horizontal="right"/>
    </xf>
    <xf numFmtId="0" fontId="179"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78" fillId="27" borderId="34">
      <alignment horizontal="right"/>
    </xf>
    <xf numFmtId="211" fontId="178" fillId="27" borderId="34">
      <alignment horizontal="right"/>
    </xf>
    <xf numFmtId="0" fontId="178" fillId="27" borderId="34">
      <alignment horizontal="right"/>
    </xf>
    <xf numFmtId="0" fontId="178" fillId="27" borderId="34">
      <alignment horizontal="right"/>
    </xf>
    <xf numFmtId="211" fontId="179" fillId="27" borderId="34">
      <alignment horizontal="right"/>
    </xf>
    <xf numFmtId="0" fontId="179" fillId="27" borderId="34">
      <alignment horizontal="right"/>
    </xf>
    <xf numFmtId="0" fontId="178" fillId="27" borderId="34">
      <alignment horizontal="right"/>
    </xf>
    <xf numFmtId="0" fontId="178" fillId="27" borderId="34">
      <alignment horizontal="right"/>
    </xf>
    <xf numFmtId="0" fontId="179" fillId="27" borderId="34">
      <alignment horizontal="right"/>
    </xf>
    <xf numFmtId="0" fontId="179"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78" fillId="27" borderId="34">
      <alignment horizontal="right"/>
    </xf>
    <xf numFmtId="211" fontId="178" fillId="27" borderId="34">
      <alignment horizontal="right"/>
    </xf>
    <xf numFmtId="0" fontId="178" fillId="27" borderId="34">
      <alignment horizontal="right"/>
    </xf>
    <xf numFmtId="0" fontId="178" fillId="27" borderId="34">
      <alignment horizontal="right"/>
    </xf>
    <xf numFmtId="211" fontId="179" fillId="27" borderId="34">
      <alignment horizontal="right"/>
    </xf>
    <xf numFmtId="0" fontId="179" fillId="27" borderId="34">
      <alignment horizontal="right"/>
    </xf>
    <xf numFmtId="0" fontId="178" fillId="27" borderId="34">
      <alignment horizontal="right"/>
    </xf>
    <xf numFmtId="211" fontId="178" fillId="27" borderId="34">
      <alignment horizontal="right"/>
    </xf>
    <xf numFmtId="0" fontId="178" fillId="27" borderId="34">
      <alignment horizontal="right"/>
    </xf>
    <xf numFmtId="0" fontId="178" fillId="27" borderId="34">
      <alignment horizontal="right"/>
    </xf>
    <xf numFmtId="211" fontId="179" fillId="27" borderId="34">
      <alignment horizontal="right"/>
    </xf>
    <xf numFmtId="0" fontId="179"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78" fillId="27" borderId="34">
      <alignment horizontal="right"/>
    </xf>
    <xf numFmtId="211" fontId="178" fillId="27" borderId="34">
      <alignment horizontal="right"/>
    </xf>
    <xf numFmtId="0" fontId="178" fillId="27" borderId="34">
      <alignment horizontal="right"/>
    </xf>
    <xf numFmtId="0" fontId="178" fillId="27" borderId="34">
      <alignment horizontal="right"/>
    </xf>
    <xf numFmtId="211" fontId="179" fillId="27" borderId="34">
      <alignment horizontal="right"/>
    </xf>
    <xf numFmtId="0" fontId="179"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78" fillId="27" borderId="34">
      <alignment horizontal="right"/>
    </xf>
    <xf numFmtId="211" fontId="178" fillId="27" borderId="34">
      <alignment horizontal="right"/>
    </xf>
    <xf numFmtId="0" fontId="178" fillId="27" borderId="34">
      <alignment horizontal="right"/>
    </xf>
    <xf numFmtId="0" fontId="178" fillId="27" borderId="34">
      <alignment horizontal="right"/>
    </xf>
    <xf numFmtId="211" fontId="179" fillId="27" borderId="34">
      <alignment horizontal="right"/>
    </xf>
    <xf numFmtId="0" fontId="179" fillId="27" borderId="34">
      <alignment horizontal="right"/>
    </xf>
    <xf numFmtId="0" fontId="178" fillId="27" borderId="34">
      <alignment horizontal="right"/>
    </xf>
    <xf numFmtId="0" fontId="178" fillId="27" borderId="34">
      <alignment horizontal="right"/>
    </xf>
    <xf numFmtId="0" fontId="179" fillId="27" borderId="34">
      <alignment horizontal="right"/>
    </xf>
    <xf numFmtId="0" fontId="179"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78" fillId="27" borderId="34">
      <alignment horizontal="right"/>
    </xf>
    <xf numFmtId="211" fontId="178" fillId="27" borderId="34">
      <alignment horizontal="right"/>
    </xf>
    <xf numFmtId="0" fontId="178" fillId="27" borderId="34">
      <alignment horizontal="right"/>
    </xf>
    <xf numFmtId="0" fontId="178" fillId="27" borderId="34">
      <alignment horizontal="right"/>
    </xf>
    <xf numFmtId="211" fontId="179" fillId="27" borderId="34">
      <alignment horizontal="right"/>
    </xf>
    <xf numFmtId="0" fontId="179" fillId="27" borderId="34">
      <alignment horizontal="right"/>
    </xf>
    <xf numFmtId="0" fontId="178" fillId="27" borderId="34">
      <alignment horizontal="right"/>
    </xf>
    <xf numFmtId="211" fontId="178" fillId="27" borderId="34">
      <alignment horizontal="right"/>
    </xf>
    <xf numFmtId="0" fontId="178" fillId="27" borderId="34">
      <alignment horizontal="right"/>
    </xf>
    <xf numFmtId="0" fontId="178" fillId="27" borderId="34">
      <alignment horizontal="right"/>
    </xf>
    <xf numFmtId="211" fontId="179" fillId="27" borderId="34">
      <alignment horizontal="right"/>
    </xf>
    <xf numFmtId="0" fontId="179"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78" fillId="27" borderId="34">
      <alignment horizontal="right"/>
    </xf>
    <xf numFmtId="211" fontId="178" fillId="27" borderId="34">
      <alignment horizontal="right"/>
    </xf>
    <xf numFmtId="0" fontId="178" fillId="27" borderId="34">
      <alignment horizontal="right"/>
    </xf>
    <xf numFmtId="0" fontId="178" fillId="27" borderId="34">
      <alignment horizontal="right"/>
    </xf>
    <xf numFmtId="211" fontId="179" fillId="27" borderId="34">
      <alignment horizontal="right"/>
    </xf>
    <xf numFmtId="0" fontId="179" fillId="27" borderId="34">
      <alignment horizontal="right"/>
    </xf>
    <xf numFmtId="0" fontId="166" fillId="27" borderId="34">
      <alignment horizontal="right"/>
    </xf>
    <xf numFmtId="0" fontId="178" fillId="27" borderId="34">
      <alignment horizontal="right"/>
    </xf>
    <xf numFmtId="211" fontId="178" fillId="27" borderId="34">
      <alignment horizontal="right"/>
    </xf>
    <xf numFmtId="0" fontId="178" fillId="27" borderId="34">
      <alignment horizontal="right"/>
    </xf>
    <xf numFmtId="0" fontId="178" fillId="27" borderId="34">
      <alignment horizontal="right"/>
    </xf>
    <xf numFmtId="211" fontId="179" fillId="27" borderId="34">
      <alignment horizontal="right"/>
    </xf>
    <xf numFmtId="0" fontId="179" fillId="27" borderId="34">
      <alignment horizontal="right"/>
    </xf>
    <xf numFmtId="0" fontId="178" fillId="27" borderId="34">
      <alignment horizontal="right"/>
    </xf>
    <xf numFmtId="213" fontId="178" fillId="27" borderId="34">
      <alignment horizontal="right"/>
    </xf>
    <xf numFmtId="0" fontId="178" fillId="27" borderId="34">
      <alignment horizontal="right"/>
    </xf>
    <xf numFmtId="0" fontId="178" fillId="27" borderId="34">
      <alignment horizontal="right"/>
    </xf>
    <xf numFmtId="0" fontId="179" fillId="27" borderId="34">
      <alignment horizontal="right"/>
    </xf>
    <xf numFmtId="0" fontId="178" fillId="27" borderId="34">
      <alignment horizontal="right"/>
    </xf>
    <xf numFmtId="213" fontId="178" fillId="27" borderId="34">
      <alignment horizontal="right"/>
    </xf>
    <xf numFmtId="0" fontId="178" fillId="27" borderId="34">
      <alignment horizontal="right"/>
    </xf>
    <xf numFmtId="0" fontId="178" fillId="27" borderId="34">
      <alignment horizontal="right"/>
    </xf>
    <xf numFmtId="0" fontId="179" fillId="27" borderId="34">
      <alignment horizontal="right"/>
    </xf>
    <xf numFmtId="0" fontId="179" fillId="27" borderId="34">
      <alignment horizontal="right"/>
    </xf>
    <xf numFmtId="0" fontId="179" fillId="27" borderId="34">
      <alignment horizontal="right"/>
    </xf>
    <xf numFmtId="0" fontId="178" fillId="27" borderId="34">
      <alignment horizontal="right"/>
    </xf>
    <xf numFmtId="0" fontId="178" fillId="27" borderId="34">
      <alignment horizontal="right"/>
    </xf>
    <xf numFmtId="0" fontId="179" fillId="27" borderId="34">
      <alignment horizontal="right"/>
    </xf>
    <xf numFmtId="0" fontId="179"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66" fillId="27" borderId="34">
      <alignment horizontal="right"/>
    </xf>
    <xf numFmtId="0" fontId="178" fillId="27" borderId="34">
      <alignment horizontal="right"/>
    </xf>
    <xf numFmtId="211" fontId="178" fillId="27" borderId="34">
      <alignment horizontal="right"/>
    </xf>
    <xf numFmtId="0" fontId="178" fillId="27" borderId="34">
      <alignment horizontal="right"/>
    </xf>
    <xf numFmtId="0" fontId="178" fillId="27" borderId="34">
      <alignment horizontal="right"/>
    </xf>
    <xf numFmtId="211" fontId="179" fillId="27" borderId="34">
      <alignment horizontal="right"/>
    </xf>
    <xf numFmtId="0" fontId="179" fillId="27" borderId="34">
      <alignment horizontal="right"/>
    </xf>
    <xf numFmtId="0" fontId="166" fillId="27" borderId="34">
      <alignment horizontal="right"/>
    </xf>
    <xf numFmtId="0" fontId="178" fillId="27" borderId="34">
      <alignment horizontal="right"/>
    </xf>
    <xf numFmtId="211" fontId="178" fillId="27" borderId="34">
      <alignment horizontal="right"/>
    </xf>
    <xf numFmtId="0" fontId="178" fillId="27" borderId="34">
      <alignment horizontal="right"/>
    </xf>
    <xf numFmtId="0" fontId="178" fillId="27" borderId="34">
      <alignment horizontal="right"/>
    </xf>
    <xf numFmtId="211" fontId="179" fillId="27" borderId="34">
      <alignment horizontal="right"/>
    </xf>
    <xf numFmtId="0" fontId="179" fillId="27" borderId="34">
      <alignment horizontal="right"/>
    </xf>
    <xf numFmtId="0" fontId="178" fillId="27" borderId="34">
      <alignment horizontal="right"/>
    </xf>
    <xf numFmtId="213" fontId="178" fillId="27" borderId="34">
      <alignment horizontal="right"/>
    </xf>
    <xf numFmtId="0" fontId="178" fillId="27" borderId="34">
      <alignment horizontal="right"/>
    </xf>
    <xf numFmtId="0" fontId="178" fillId="27" borderId="34">
      <alignment horizontal="right"/>
    </xf>
    <xf numFmtId="0" fontId="179" fillId="27" borderId="34">
      <alignment horizontal="right"/>
    </xf>
    <xf numFmtId="0" fontId="178" fillId="27" borderId="34">
      <alignment horizontal="right"/>
    </xf>
    <xf numFmtId="213" fontId="178" fillId="27" borderId="34">
      <alignment horizontal="right"/>
    </xf>
    <xf numFmtId="0" fontId="178" fillId="27" borderId="34">
      <alignment horizontal="right"/>
    </xf>
    <xf numFmtId="0" fontId="178" fillId="27" borderId="34">
      <alignment horizontal="right"/>
    </xf>
    <xf numFmtId="0" fontId="179" fillId="27" borderId="34">
      <alignment horizontal="right"/>
    </xf>
    <xf numFmtId="0" fontId="179" fillId="27" borderId="34">
      <alignment horizontal="right"/>
    </xf>
    <xf numFmtId="0" fontId="179" fillId="27" borderId="34">
      <alignment horizontal="right"/>
    </xf>
    <xf numFmtId="0" fontId="178" fillId="27" borderId="34">
      <alignment horizontal="right"/>
    </xf>
    <xf numFmtId="0" fontId="178" fillId="27" borderId="34">
      <alignment horizontal="right"/>
    </xf>
    <xf numFmtId="0" fontId="179" fillId="27" borderId="34">
      <alignment horizontal="right"/>
    </xf>
    <xf numFmtId="0" fontId="179" fillId="27" borderId="34">
      <alignment horizontal="right"/>
    </xf>
    <xf numFmtId="0" fontId="152" fillId="36" borderId="0" applyNumberFormat="0" applyBorder="0" applyAlignment="0" applyProtection="0"/>
    <xf numFmtId="0" fontId="182" fillId="0" borderId="0">
      <alignment horizontal="center"/>
    </xf>
    <xf numFmtId="0" fontId="140" fillId="0" borderId="0" applyFill="0" applyBorder="0" applyProtection="0">
      <alignment horizontal="right"/>
    </xf>
    <xf numFmtId="0" fontId="153" fillId="0" borderId="44" applyNumberFormat="0" applyFill="0" applyAlignment="0" applyProtection="0"/>
    <xf numFmtId="0" fontId="154" fillId="0" borderId="46" applyNumberFormat="0" applyFill="0" applyAlignment="0" applyProtection="0"/>
    <xf numFmtId="0" fontId="155" fillId="0" borderId="47" applyNumberFormat="0" applyFill="0" applyAlignment="0" applyProtection="0"/>
    <xf numFmtId="0" fontId="155" fillId="0" borderId="0" applyNumberFormat="0" applyFill="0" applyBorder="0" applyAlignment="0" applyProtection="0"/>
    <xf numFmtId="10" fontId="173" fillId="0" borderId="0" applyNumberFormat="0" applyFill="0" applyBorder="0" applyAlignment="0" applyProtection="0">
      <alignment horizontal="right"/>
    </xf>
    <xf numFmtId="0" fontId="156" fillId="33" borderId="41" applyNumberFormat="0" applyAlignment="0" applyProtection="0"/>
    <xf numFmtId="0" fontId="144" fillId="0" borderId="0" applyNumberFormat="0" applyFill="0" applyBorder="0" applyAlignment="0">
      <protection locked="0"/>
    </xf>
    <xf numFmtId="0" fontId="141" fillId="0" borderId="0" applyAlignment="0"/>
    <xf numFmtId="0" fontId="183" fillId="0" borderId="0"/>
    <xf numFmtId="0" fontId="157" fillId="0" borderId="50" applyNumberFormat="0" applyFill="0" applyAlignment="0" applyProtection="0"/>
    <xf numFmtId="181" fontId="7" fillId="0" borderId="0" applyNumberFormat="0" applyFont="0" applyFill="0" applyBorder="0" applyAlignment="0"/>
    <xf numFmtId="0" fontId="165" fillId="0" borderId="0">
      <alignment horizontal="right"/>
    </xf>
    <xf numFmtId="0" fontId="167" fillId="77" borderId="0">
      <alignment horizontal="right"/>
    </xf>
    <xf numFmtId="17" fontId="68" fillId="0" borderId="0"/>
    <xf numFmtId="0" fontId="7" fillId="0" borderId="0">
      <alignment horizontal="right"/>
    </xf>
    <xf numFmtId="216" fontId="7" fillId="0" borderId="0">
      <alignment horizontal="right"/>
    </xf>
    <xf numFmtId="0" fontId="7" fillId="0" borderId="0">
      <alignment horizontal="right"/>
    </xf>
    <xf numFmtId="0" fontId="7" fillId="0" borderId="0">
      <alignment horizontal="right"/>
    </xf>
    <xf numFmtId="0" fontId="7" fillId="0" borderId="0">
      <alignment horizontal="right"/>
    </xf>
    <xf numFmtId="0" fontId="7" fillId="0" borderId="0">
      <alignment horizontal="right"/>
    </xf>
    <xf numFmtId="216" fontId="7" fillId="0" borderId="0">
      <alignment horizontal="right"/>
    </xf>
    <xf numFmtId="0" fontId="7" fillId="0" borderId="0">
      <alignment horizontal="right"/>
    </xf>
    <xf numFmtId="0" fontId="7" fillId="0" borderId="0">
      <alignment horizontal="right"/>
    </xf>
    <xf numFmtId="0" fontId="7" fillId="0" borderId="0">
      <alignment horizontal="right"/>
    </xf>
    <xf numFmtId="164" fontId="165" fillId="0" borderId="0">
      <alignment horizontal="right"/>
    </xf>
    <xf numFmtId="0" fontId="165" fillId="0" borderId="0">
      <alignment horizontal="right"/>
    </xf>
    <xf numFmtId="0" fontId="165" fillId="0" borderId="0">
      <alignment horizontal="right"/>
    </xf>
    <xf numFmtId="0" fontId="165" fillId="0" borderId="0">
      <alignment horizontal="right"/>
    </xf>
    <xf numFmtId="0" fontId="165" fillId="0" borderId="0">
      <alignment horizontal="right"/>
    </xf>
    <xf numFmtId="164" fontId="165" fillId="0" borderId="0">
      <alignment horizontal="right"/>
    </xf>
    <xf numFmtId="0" fontId="165" fillId="0" borderId="0">
      <alignment horizontal="right"/>
    </xf>
    <xf numFmtId="0" fontId="165" fillId="0" borderId="0">
      <alignment horizontal="right"/>
    </xf>
    <xf numFmtId="0" fontId="165" fillId="0" borderId="0">
      <alignment horizontal="right"/>
    </xf>
    <xf numFmtId="0" fontId="7" fillId="0" borderId="0">
      <alignment horizontal="right"/>
    </xf>
    <xf numFmtId="216" fontId="7" fillId="0" borderId="0">
      <alignment horizontal="right"/>
    </xf>
    <xf numFmtId="0" fontId="7" fillId="0" borderId="0">
      <alignment horizontal="right"/>
    </xf>
    <xf numFmtId="0" fontId="7" fillId="0" borderId="0">
      <alignment horizontal="right"/>
    </xf>
    <xf numFmtId="0" fontId="7" fillId="0" borderId="0">
      <alignment horizontal="right"/>
    </xf>
    <xf numFmtId="0" fontId="165" fillId="0" borderId="0">
      <alignment horizontal="right"/>
    </xf>
    <xf numFmtId="0" fontId="7" fillId="0" borderId="0">
      <alignment horizontal="right"/>
    </xf>
    <xf numFmtId="216" fontId="7" fillId="0" borderId="0">
      <alignment horizontal="right"/>
    </xf>
    <xf numFmtId="0" fontId="7" fillId="0" borderId="0">
      <alignment horizontal="right"/>
    </xf>
    <xf numFmtId="0" fontId="7" fillId="0" borderId="0">
      <alignment horizontal="right"/>
    </xf>
    <xf numFmtId="0" fontId="7" fillId="0" borderId="0">
      <alignment horizontal="right"/>
    </xf>
    <xf numFmtId="0" fontId="7" fillId="0" borderId="0">
      <alignment horizontal="right"/>
    </xf>
    <xf numFmtId="216" fontId="7" fillId="0" borderId="0">
      <alignment horizontal="right"/>
    </xf>
    <xf numFmtId="0" fontId="7" fillId="0" borderId="0">
      <alignment horizontal="right"/>
    </xf>
    <xf numFmtId="0" fontId="7" fillId="0" borderId="0">
      <alignment horizontal="right"/>
    </xf>
    <xf numFmtId="0" fontId="7" fillId="0" borderId="0">
      <alignment horizontal="right"/>
    </xf>
    <xf numFmtId="164" fontId="165" fillId="0" borderId="0">
      <alignment horizontal="right"/>
    </xf>
    <xf numFmtId="0" fontId="165" fillId="0" borderId="0">
      <alignment horizontal="right"/>
    </xf>
    <xf numFmtId="0" fontId="165" fillId="0" borderId="0">
      <alignment horizontal="right"/>
    </xf>
    <xf numFmtId="0" fontId="165" fillId="0" borderId="0">
      <alignment horizontal="right"/>
    </xf>
    <xf numFmtId="0" fontId="165" fillId="0" borderId="0">
      <alignment horizontal="right"/>
    </xf>
    <xf numFmtId="164" fontId="165" fillId="0" borderId="0">
      <alignment horizontal="right"/>
    </xf>
    <xf numFmtId="0" fontId="165" fillId="0" borderId="0">
      <alignment horizontal="right"/>
    </xf>
    <xf numFmtId="0" fontId="165" fillId="0" borderId="0">
      <alignment horizontal="right"/>
    </xf>
    <xf numFmtId="0" fontId="165" fillId="0" borderId="0">
      <alignment horizontal="right"/>
    </xf>
    <xf numFmtId="0" fontId="7" fillId="0" borderId="0">
      <alignment horizontal="right"/>
    </xf>
    <xf numFmtId="216" fontId="7" fillId="0" borderId="0">
      <alignment horizontal="right"/>
    </xf>
    <xf numFmtId="0" fontId="7" fillId="0" borderId="0">
      <alignment horizontal="right"/>
    </xf>
    <xf numFmtId="0" fontId="7" fillId="0" borderId="0">
      <alignment horizontal="right"/>
    </xf>
    <xf numFmtId="0" fontId="7" fillId="0" borderId="0">
      <alignment horizontal="right"/>
    </xf>
    <xf numFmtId="0" fontId="7" fillId="0" borderId="0">
      <alignment horizontal="right"/>
    </xf>
    <xf numFmtId="216" fontId="7" fillId="0" borderId="0">
      <alignment horizontal="right"/>
    </xf>
    <xf numFmtId="0" fontId="7" fillId="0" borderId="0">
      <alignment horizontal="right"/>
    </xf>
    <xf numFmtId="0" fontId="7" fillId="0" borderId="0">
      <alignment horizontal="right"/>
    </xf>
    <xf numFmtId="0" fontId="7" fillId="0" borderId="0">
      <alignment horizontal="right"/>
    </xf>
    <xf numFmtId="0" fontId="7" fillId="0" borderId="0">
      <alignment horizontal="right"/>
    </xf>
    <xf numFmtId="216" fontId="7" fillId="0" borderId="0">
      <alignment horizontal="right"/>
    </xf>
    <xf numFmtId="0" fontId="7" fillId="0" borderId="0">
      <alignment horizontal="right"/>
    </xf>
    <xf numFmtId="0" fontId="7" fillId="0" borderId="0">
      <alignment horizontal="right"/>
    </xf>
    <xf numFmtId="0" fontId="7" fillId="0" borderId="0">
      <alignment horizontal="right"/>
    </xf>
    <xf numFmtId="0" fontId="165" fillId="0" borderId="0">
      <alignment horizontal="right"/>
    </xf>
    <xf numFmtId="172" fontId="165" fillId="0" borderId="0">
      <alignment horizontal="right"/>
    </xf>
    <xf numFmtId="0" fontId="165" fillId="0" borderId="0">
      <alignment horizontal="right"/>
    </xf>
    <xf numFmtId="0" fontId="165" fillId="0" borderId="0">
      <alignment horizontal="right"/>
    </xf>
    <xf numFmtId="0" fontId="165" fillId="0" borderId="0">
      <alignment horizontal="right"/>
    </xf>
    <xf numFmtId="164" fontId="165" fillId="0" borderId="0">
      <alignment horizontal="right"/>
    </xf>
    <xf numFmtId="0" fontId="165" fillId="0" borderId="0">
      <alignment horizontal="right"/>
    </xf>
    <xf numFmtId="0" fontId="165" fillId="0" borderId="0">
      <alignment horizontal="right"/>
    </xf>
    <xf numFmtId="0" fontId="165" fillId="0" borderId="0">
      <alignment horizontal="right"/>
    </xf>
    <xf numFmtId="0" fontId="7" fillId="0" borderId="0">
      <alignment horizontal="right"/>
    </xf>
    <xf numFmtId="216" fontId="7" fillId="0" borderId="0">
      <alignment horizontal="right"/>
    </xf>
    <xf numFmtId="0" fontId="7" fillId="0" borderId="0">
      <alignment horizontal="right"/>
    </xf>
    <xf numFmtId="0" fontId="7" fillId="0" borderId="0">
      <alignment horizontal="right"/>
    </xf>
    <xf numFmtId="0" fontId="7" fillId="0" borderId="0">
      <alignment horizontal="right"/>
    </xf>
    <xf numFmtId="0" fontId="7" fillId="0" borderId="0">
      <alignment horizontal="right"/>
    </xf>
    <xf numFmtId="216" fontId="7" fillId="0" borderId="0">
      <alignment horizontal="right"/>
    </xf>
    <xf numFmtId="0" fontId="7" fillId="0" borderId="0">
      <alignment horizontal="right"/>
    </xf>
    <xf numFmtId="0" fontId="7" fillId="0" borderId="0">
      <alignment horizontal="right"/>
    </xf>
    <xf numFmtId="0" fontId="7" fillId="0" borderId="0">
      <alignment horizontal="right"/>
    </xf>
    <xf numFmtId="0" fontId="165" fillId="0" borderId="0">
      <alignment horizontal="right"/>
    </xf>
    <xf numFmtId="172" fontId="165" fillId="0" borderId="0">
      <alignment horizontal="right"/>
    </xf>
    <xf numFmtId="0" fontId="165" fillId="0" borderId="0">
      <alignment horizontal="right"/>
    </xf>
    <xf numFmtId="0" fontId="165" fillId="0" borderId="0">
      <alignment horizontal="right"/>
    </xf>
    <xf numFmtId="0" fontId="165" fillId="0" borderId="0">
      <alignment horizontal="right"/>
    </xf>
    <xf numFmtId="164" fontId="165" fillId="0" borderId="0">
      <alignment horizontal="right"/>
    </xf>
    <xf numFmtId="0" fontId="165" fillId="0" borderId="0">
      <alignment horizontal="right"/>
    </xf>
    <xf numFmtId="0" fontId="165" fillId="0" borderId="0">
      <alignment horizontal="right"/>
    </xf>
    <xf numFmtId="0" fontId="165" fillId="0" borderId="0">
      <alignment horizontal="right"/>
    </xf>
    <xf numFmtId="0" fontId="43" fillId="0" borderId="0" applyNumberFormat="0" applyFill="0" applyBorder="0" applyProtection="0"/>
    <xf numFmtId="0" fontId="68" fillId="0" borderId="0" applyNumberFormat="0" applyFill="0" applyBorder="0" applyProtection="0"/>
    <xf numFmtId="38" fontId="184" fillId="0" borderId="0" applyNumberFormat="0" applyFill="0" applyBorder="0">
      <alignment horizontal="left" vertical="center"/>
    </xf>
    <xf numFmtId="0" fontId="185" fillId="0" borderId="0" applyFill="0" applyBorder="0">
      <alignment vertical="center"/>
    </xf>
    <xf numFmtId="0" fontId="166" fillId="77" borderId="34">
      <alignment horizontal="right"/>
    </xf>
    <xf numFmtId="215" fontId="168" fillId="0" borderId="0" applyFill="0" applyBorder="0" applyProtection="0">
      <alignment horizontal="center"/>
    </xf>
    <xf numFmtId="217" fontId="168" fillId="0" borderId="0" applyFont="0" applyFill="0" applyBorder="0" applyAlignment="0" applyProtection="0">
      <alignment horizontal="centerContinuous"/>
      <protection locked="0"/>
    </xf>
    <xf numFmtId="0" fontId="168" fillId="0" borderId="0" applyFont="0" applyFill="0" applyBorder="0" applyAlignment="0" applyProtection="0"/>
    <xf numFmtId="0" fontId="68" fillId="0" borderId="0" applyFont="0" applyFill="0" applyBorder="0" applyAlignment="0" applyProtection="0"/>
    <xf numFmtId="0" fontId="168" fillId="0" borderId="0" applyFont="0" applyFill="0" applyBorder="0" applyAlignment="0" applyProtection="0"/>
    <xf numFmtId="0" fontId="68" fillId="0" borderId="0" applyFont="0" applyFill="0" applyBorder="0" applyAlignment="0" applyProtection="0"/>
    <xf numFmtId="0" fontId="68" fillId="0" borderId="0" applyFont="0" applyFill="0" applyBorder="0" applyAlignment="0" applyProtection="0"/>
    <xf numFmtId="0" fontId="168" fillId="0" borderId="0" applyFont="0" applyFill="0" applyBorder="0" applyAlignment="0" applyProtection="0"/>
    <xf numFmtId="0" fontId="68" fillId="0" borderId="0" applyFont="0" applyFill="0" applyBorder="0" applyAlignment="0" applyProtection="0"/>
    <xf numFmtId="0" fontId="68" fillId="0" borderId="0" applyFont="0" applyFill="0" applyBorder="0" applyAlignment="0" applyProtection="0"/>
    <xf numFmtId="0" fontId="158" fillId="43" borderId="0" applyNumberFormat="0" applyBorder="0" applyAlignment="0" applyProtection="0"/>
    <xf numFmtId="0" fontId="52" fillId="6" borderId="0" applyAlignment="0"/>
    <xf numFmtId="0" fontId="53" fillId="7" borderId="0" applyAlignment="0"/>
    <xf numFmtId="0" fontId="54" fillId="0" borderId="0" applyAlignment="0"/>
    <xf numFmtId="0" fontId="186" fillId="0" borderId="0"/>
    <xf numFmtId="0" fontId="7" fillId="37" borderId="52" applyNumberFormat="0" applyFont="0" applyAlignment="0" applyProtection="0"/>
    <xf numFmtId="0" fontId="187" fillId="0" borderId="0">
      <alignment horizontal="left" vertical="top"/>
      <protection locked="0"/>
    </xf>
    <xf numFmtId="0" fontId="159" fillId="41" borderId="53" applyNumberFormat="0" applyAlignment="0" applyProtection="0"/>
    <xf numFmtId="0" fontId="188" fillId="0" borderId="0" applyFill="0">
      <alignment horizontal="center" vertical="center"/>
    </xf>
    <xf numFmtId="0" fontId="178" fillId="0" borderId="0" applyNumberFormat="0" applyFill="0" applyBorder="0" applyAlignment="0" applyProtection="0"/>
    <xf numFmtId="0" fontId="167" fillId="77" borderId="0"/>
    <xf numFmtId="0" fontId="178" fillId="0" borderId="0"/>
    <xf numFmtId="9" fontId="168" fillId="0" borderId="0" applyFont="0" applyFill="0" applyBorder="0" applyAlignment="0" applyProtection="0"/>
    <xf numFmtId="0" fontId="168" fillId="0" borderId="0" applyFont="0" applyFill="0" applyBorder="0" applyAlignment="0" applyProtection="0"/>
    <xf numFmtId="0" fontId="168" fillId="0" borderId="0" applyFont="0" applyFill="0" applyBorder="0" applyAlignment="0" applyProtection="0"/>
    <xf numFmtId="165" fontId="168" fillId="0" borderId="0" applyFont="0" applyFill="0" applyBorder="0" applyAlignment="0" applyProtection="0"/>
    <xf numFmtId="0" fontId="22" fillId="27" borderId="0" applyFill="0" applyBorder="0" applyAlignment="0" applyProtection="0">
      <protection hidden="1"/>
    </xf>
    <xf numFmtId="221" fontId="7" fillId="0" borderId="0" applyFont="0" applyFill="0" applyBorder="0" applyProtection="0">
      <alignment horizontal="right"/>
    </xf>
    <xf numFmtId="0" fontId="166" fillId="77" borderId="0">
      <alignment horizontal="right"/>
    </xf>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78" fillId="27" borderId="0"/>
    <xf numFmtId="0" fontId="179"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78" fillId="27" borderId="0"/>
    <xf numFmtId="0" fontId="179"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78" fillId="27" borderId="0"/>
    <xf numFmtId="0" fontId="179" fillId="27" borderId="0"/>
    <xf numFmtId="0" fontId="178" fillId="27" borderId="0"/>
    <xf numFmtId="0" fontId="179"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78" fillId="27" borderId="0"/>
    <xf numFmtId="0" fontId="179"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78" fillId="27" borderId="0"/>
    <xf numFmtId="0" fontId="179"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78" fillId="27" borderId="0"/>
    <xf numFmtId="0" fontId="179" fillId="27" borderId="0"/>
    <xf numFmtId="0" fontId="178" fillId="27" borderId="0"/>
    <xf numFmtId="0" fontId="179"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78" fillId="27" borderId="0"/>
    <xf numFmtId="0" fontId="179" fillId="27" borderId="0"/>
    <xf numFmtId="0" fontId="166" fillId="27" borderId="0"/>
    <xf numFmtId="0" fontId="178" fillId="27" borderId="0"/>
    <xf numFmtId="0" fontId="179" fillId="27" borderId="0"/>
    <xf numFmtId="0" fontId="178" fillId="27" borderId="0"/>
    <xf numFmtId="0" fontId="178" fillId="27" borderId="0"/>
    <xf numFmtId="185" fontId="178" fillId="27" borderId="0"/>
    <xf numFmtId="185" fontId="178" fillId="27" borderId="0"/>
    <xf numFmtId="0" fontId="178" fillId="27" borderId="0"/>
    <xf numFmtId="0" fontId="179" fillId="27" borderId="0"/>
    <xf numFmtId="0" fontId="178" fillId="27" borderId="0"/>
    <xf numFmtId="0" fontId="178" fillId="27" borderId="0"/>
    <xf numFmtId="185" fontId="178" fillId="27" borderId="0"/>
    <xf numFmtId="185" fontId="178" fillId="27" borderId="0"/>
    <xf numFmtId="0" fontId="178" fillId="27" borderId="0"/>
    <xf numFmtId="0" fontId="179" fillId="27" borderId="0"/>
    <xf numFmtId="0" fontId="179" fillId="27" borderId="0"/>
    <xf numFmtId="0" fontId="179"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66" fillId="27" borderId="0"/>
    <xf numFmtId="0" fontId="178" fillId="27" borderId="0"/>
    <xf numFmtId="0" fontId="179" fillId="27" borderId="0"/>
    <xf numFmtId="0" fontId="166" fillId="27" borderId="0"/>
    <xf numFmtId="0" fontId="178" fillId="27" borderId="0"/>
    <xf numFmtId="0" fontId="179" fillId="27" borderId="0"/>
    <xf numFmtId="0" fontId="178" fillId="27" borderId="0"/>
    <xf numFmtId="0" fontId="178" fillId="27" borderId="0"/>
    <xf numFmtId="185" fontId="178" fillId="27" borderId="0"/>
    <xf numFmtId="185" fontId="178" fillId="27" borderId="0"/>
    <xf numFmtId="0" fontId="178" fillId="27" borderId="0"/>
    <xf numFmtId="0" fontId="179" fillId="27" borderId="0"/>
    <xf numFmtId="0" fontId="178" fillId="27" borderId="0"/>
    <xf numFmtId="0" fontId="178" fillId="27" borderId="0"/>
    <xf numFmtId="185" fontId="178" fillId="27" borderId="0"/>
    <xf numFmtId="185" fontId="178" fillId="27" borderId="0"/>
    <xf numFmtId="0" fontId="178" fillId="27" borderId="0"/>
    <xf numFmtId="0" fontId="179" fillId="27" borderId="0"/>
    <xf numFmtId="0" fontId="179" fillId="27" borderId="0"/>
    <xf numFmtId="0" fontId="179" fillId="27" borderId="0"/>
    <xf numFmtId="0" fontId="189" fillId="0" borderId="0">
      <alignment horizontal="center"/>
    </xf>
    <xf numFmtId="0" fontId="164" fillId="0" borderId="19">
      <alignment horizontal="centerContinuous"/>
    </xf>
    <xf numFmtId="0" fontId="178" fillId="27" borderId="0">
      <alignment horizontal="right"/>
    </xf>
    <xf numFmtId="0" fontId="165" fillId="0" borderId="0">
      <alignment horizontal="center"/>
    </xf>
    <xf numFmtId="0" fontId="178" fillId="27" borderId="34">
      <alignment horizontal="right"/>
    </xf>
    <xf numFmtId="210" fontId="190" fillId="0" borderId="0"/>
    <xf numFmtId="0" fontId="7" fillId="0" borderId="0" applyFont="0" applyFill="0" applyBorder="0" applyProtection="0">
      <alignment horizontal="right"/>
    </xf>
    <xf numFmtId="0" fontId="7" fillId="0" borderId="0" applyFont="0" applyFill="0" applyBorder="0" applyProtection="0">
      <alignment horizontal="right"/>
    </xf>
    <xf numFmtId="0" fontId="7" fillId="0" borderId="0" applyFont="0" applyFill="0" applyBorder="0" applyProtection="0">
      <alignment horizontal="right"/>
    </xf>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69">
      <alignment horizontal="centerContinuous"/>
    </xf>
    <xf numFmtId="0" fontId="66" fillId="0" borderId="69">
      <alignment horizontal="centerContinuous"/>
    </xf>
    <xf numFmtId="0" fontId="66" fillId="0" borderId="69">
      <alignment horizontal="centerContinuous"/>
    </xf>
    <xf numFmtId="0" fontId="66" fillId="0" borderId="69">
      <alignment horizontal="centerContinuous"/>
    </xf>
    <xf numFmtId="0" fontId="66" fillId="0" borderId="69">
      <alignment horizontal="centerContinuous"/>
    </xf>
    <xf numFmtId="0" fontId="66" fillId="0" borderId="69">
      <alignment horizontal="centerContinuous"/>
    </xf>
    <xf numFmtId="0" fontId="66" fillId="0" borderId="69">
      <alignment horizontal="centerContinuous"/>
    </xf>
    <xf numFmtId="0" fontId="66" fillId="0" borderId="69">
      <alignment horizontal="centerContinuous"/>
    </xf>
    <xf numFmtId="0" fontId="75" fillId="0" borderId="0" applyFill="0" applyBorder="0" applyProtection="0">
      <alignment horizontal="left"/>
    </xf>
    <xf numFmtId="0" fontId="57" fillId="8" borderId="0" applyAlignment="0"/>
    <xf numFmtId="0" fontId="45" fillId="0" borderId="69"/>
    <xf numFmtId="12" fontId="7" fillId="0" borderId="0" applyFont="0" applyFill="0" applyBorder="0" applyProtection="0">
      <alignment horizontal="right"/>
    </xf>
    <xf numFmtId="0" fontId="7" fillId="77" borderId="0" applyFont="0" applyFill="0" applyBorder="0" applyProtection="0">
      <alignment horizontal="right"/>
    </xf>
    <xf numFmtId="0" fontId="160" fillId="0" borderId="0"/>
    <xf numFmtId="0" fontId="9" fillId="0" borderId="0" applyNumberFormat="0" applyFill="0" applyBorder="0" applyProtection="0">
      <alignment horizontal="left"/>
    </xf>
    <xf numFmtId="222" fontId="35" fillId="0" borderId="0" applyFill="0" applyBorder="0" applyProtection="0">
      <alignment horizontal="right" vertical="top"/>
    </xf>
    <xf numFmtId="219" fontId="35" fillId="0" borderId="0" applyFill="0" applyBorder="0" applyProtection="0">
      <alignment horizontal="right" wrapText="1"/>
    </xf>
    <xf numFmtId="214" fontId="35" fillId="0" borderId="0" applyFill="0" applyBorder="0" applyProtection="0">
      <alignment horizontal="right"/>
    </xf>
    <xf numFmtId="223" fontId="35" fillId="0" borderId="0" applyFill="0" applyBorder="0" applyProtection="0">
      <alignment horizontal="right"/>
    </xf>
    <xf numFmtId="224" fontId="35" fillId="0" borderId="0" applyFill="0" applyBorder="0" applyProtection="0">
      <alignment horizontal="right"/>
    </xf>
    <xf numFmtId="225" fontId="35" fillId="0" borderId="0" applyFill="0" applyBorder="0" applyProtection="0">
      <alignment horizontal="right"/>
    </xf>
    <xf numFmtId="212" fontId="35" fillId="0" borderId="0" applyFill="0" applyBorder="0" applyProtection="0">
      <alignment horizontal="right" wrapText="1"/>
    </xf>
    <xf numFmtId="191" fontId="35" fillId="0" borderId="0" applyFill="0" applyBorder="0" applyProtection="0">
      <alignment horizontal="right" wrapText="1"/>
    </xf>
    <xf numFmtId="4" fontId="35" fillId="0" borderId="0" applyFill="0" applyBorder="0" applyProtection="0">
      <alignment wrapText="1"/>
    </xf>
    <xf numFmtId="0" fontId="35" fillId="0" borderId="0" applyNumberFormat="0" applyFill="0" applyBorder="0" applyProtection="0">
      <alignment horizontal="left" vertical="top" wrapText="1"/>
    </xf>
    <xf numFmtId="0" fontId="145" fillId="0" borderId="0" applyNumberFormat="0" applyFill="0" applyBorder="0" applyProtection="0">
      <alignment horizontal="left" vertical="top" wrapText="1"/>
    </xf>
    <xf numFmtId="218" fontId="191" fillId="0" borderId="0" applyFill="0" applyBorder="0" applyProtection="0">
      <alignment horizontal="center" wrapText="1"/>
    </xf>
    <xf numFmtId="212" fontId="191" fillId="0" borderId="0" applyFill="0" applyBorder="0" applyProtection="0">
      <alignment horizontal="right" wrapText="1"/>
    </xf>
    <xf numFmtId="219" fontId="191" fillId="0" borderId="0" applyFill="0" applyBorder="0" applyProtection="0">
      <alignment horizontal="right" wrapText="1"/>
    </xf>
    <xf numFmtId="226" fontId="191" fillId="0" borderId="0" applyFill="0" applyBorder="0" applyProtection="0">
      <alignment horizontal="right" wrapText="1"/>
    </xf>
    <xf numFmtId="37" fontId="191" fillId="0" borderId="0" applyFill="0" applyBorder="0" applyProtection="0">
      <alignment horizontal="center" wrapText="1"/>
    </xf>
    <xf numFmtId="223" fontId="191" fillId="0" borderId="0" applyFill="0" applyBorder="0" applyProtection="0">
      <alignment horizontal="right"/>
    </xf>
    <xf numFmtId="227" fontId="191" fillId="0" borderId="0" applyFill="0" applyBorder="0" applyProtection="0">
      <alignment horizontal="right"/>
    </xf>
    <xf numFmtId="214" fontId="191" fillId="0" borderId="0" applyFill="0" applyBorder="0" applyProtection="0">
      <alignment horizontal="right"/>
    </xf>
    <xf numFmtId="4" fontId="191" fillId="0" borderId="0" applyFill="0" applyBorder="0" applyProtection="0">
      <alignment wrapText="1"/>
    </xf>
    <xf numFmtId="0" fontId="145" fillId="0" borderId="71" applyNumberFormat="0" applyFill="0" applyProtection="0">
      <alignment wrapText="1"/>
    </xf>
    <xf numFmtId="0" fontId="9" fillId="0" borderId="0" applyNumberFormat="0" applyFill="0" applyBorder="0" applyProtection="0"/>
    <xf numFmtId="0" fontId="145" fillId="0" borderId="71" applyNumberFormat="0" applyFill="0" applyProtection="0">
      <alignment horizontal="center" wrapText="1"/>
    </xf>
    <xf numFmtId="220" fontId="145" fillId="0" borderId="0" applyFill="0" applyBorder="0" applyProtection="0">
      <alignment horizontal="center" wrapText="1"/>
    </xf>
    <xf numFmtId="0" fontId="75" fillId="0" borderId="0" applyNumberFormat="0" applyFill="0" applyBorder="0" applyProtection="0">
      <alignment horizontal="justify" wrapText="1"/>
    </xf>
    <xf numFmtId="0" fontId="145" fillId="0" borderId="0" applyNumberFormat="0" applyFill="0" applyBorder="0" applyProtection="0">
      <alignment horizontal="centerContinuous" wrapText="1"/>
    </xf>
    <xf numFmtId="0" fontId="35" fillId="0" borderId="0" applyNumberFormat="0" applyFill="0" applyBorder="0" applyProtection="0">
      <alignment horizontal="left"/>
    </xf>
    <xf numFmtId="0" fontId="145" fillId="0" borderId="0" applyNumberFormat="0" applyFill="0" applyBorder="0" applyAlignment="0" applyProtection="0"/>
    <xf numFmtId="0" fontId="145" fillId="0" borderId="0" applyNumberFormat="0" applyFill="0" applyBorder="0" applyAlignment="0" applyProtection="0"/>
    <xf numFmtId="0" fontId="145" fillId="0" borderId="0" applyNumberFormat="0" applyFill="0" applyBorder="0" applyAlignment="0" applyProtection="0"/>
    <xf numFmtId="0" fontId="145" fillId="0" borderId="0" applyNumberFormat="0" applyFill="0" applyBorder="0" applyAlignment="0" applyProtection="0"/>
    <xf numFmtId="0" fontId="58" fillId="0" borderId="0" applyAlignment="0"/>
    <xf numFmtId="6" fontId="184" fillId="0" borderId="72" applyFill="0">
      <alignment vertical="center"/>
    </xf>
    <xf numFmtId="0" fontId="59" fillId="0" borderId="0" applyAlignment="0"/>
    <xf numFmtId="0" fontId="67" fillId="0" borderId="0">
      <alignment horizontal="centerContinuous"/>
    </xf>
    <xf numFmtId="49" fontId="192" fillId="0" borderId="0"/>
    <xf numFmtId="0" fontId="35" fillId="0" borderId="0"/>
    <xf numFmtId="0" fontId="60" fillId="0" borderId="0" applyAlignment="0"/>
    <xf numFmtId="0" fontId="61" fillId="0" borderId="0" applyAlignment="0"/>
    <xf numFmtId="0" fontId="62" fillId="0" borderId="0" applyAlignment="0"/>
    <xf numFmtId="0" fontId="184" fillId="0" borderId="0" applyFill="0" applyBorder="0">
      <alignment vertical="center"/>
    </xf>
    <xf numFmtId="0" fontId="68" fillId="0" borderId="0">
      <alignment horizontal="center"/>
    </xf>
    <xf numFmtId="0" fontId="7" fillId="0" borderId="0"/>
    <xf numFmtId="38" fontId="193" fillId="0" borderId="0" applyNumberFormat="0" applyFill="0" applyBorder="0">
      <alignment horizontal="left" vertical="center"/>
    </xf>
    <xf numFmtId="38" fontId="194" fillId="0" borderId="0" applyNumberFormat="0" applyFill="0" applyBorder="0">
      <alignment horizontal="centerContinuous" vertical="center"/>
    </xf>
    <xf numFmtId="0" fontId="63" fillId="0" borderId="0" applyAlignment="0"/>
    <xf numFmtId="0" fontId="195" fillId="0" borderId="0"/>
    <xf numFmtId="0" fontId="196" fillId="0" borderId="0" applyFill="0" applyBorder="0" applyAlignment="0" applyProtection="0"/>
    <xf numFmtId="0" fontId="161" fillId="0" borderId="56" applyNumberFormat="0" applyFill="0" applyAlignment="0" applyProtection="0"/>
    <xf numFmtId="0" fontId="143" fillId="0" borderId="0"/>
    <xf numFmtId="0" fontId="143" fillId="27" borderId="0" applyFill="0"/>
    <xf numFmtId="0" fontId="143" fillId="27" borderId="0" applyFill="0"/>
    <xf numFmtId="0" fontId="146" fillId="0" borderId="0" applyNumberFormat="0"/>
    <xf numFmtId="188" fontId="197" fillId="0" borderId="0">
      <alignment horizontal="left"/>
      <protection locked="0"/>
    </xf>
    <xf numFmtId="0" fontId="144" fillId="0" borderId="0"/>
    <xf numFmtId="0" fontId="162" fillId="0" borderId="0" applyNumberFormat="0" applyFill="0" applyBorder="0" applyAlignment="0" applyProtection="0"/>
    <xf numFmtId="5" fontId="42" fillId="0" borderId="0">
      <alignment vertical="center"/>
    </xf>
    <xf numFmtId="0" fontId="198" fillId="78" borderId="0"/>
    <xf numFmtId="0" fontId="199" fillId="0" borderId="0" applyFill="0" applyBorder="0">
      <alignment vertical="center"/>
    </xf>
    <xf numFmtId="0" fontId="184" fillId="79" borderId="73" applyNumberFormat="0" applyFont="0" applyBorder="0" applyAlignment="0" applyProtection="0">
      <alignment horizontal="right"/>
    </xf>
    <xf numFmtId="0" fontId="7" fillId="0" borderId="0"/>
    <xf numFmtId="0" fontId="1" fillId="0" borderId="0"/>
    <xf numFmtId="0" fontId="7" fillId="0" borderId="0"/>
    <xf numFmtId="9" fontId="7"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43" fontId="7" fillId="0" borderId="0" applyFont="0" applyFill="0" applyBorder="0" applyAlignment="0" applyProtection="0"/>
    <xf numFmtId="0" fontId="93" fillId="41" borderId="41" applyNumberFormat="0" applyAlignment="0" applyProtection="0"/>
    <xf numFmtId="0" fontId="106" fillId="33" borderId="41" applyNumberFormat="0" applyAlignment="0" applyProtection="0"/>
    <xf numFmtId="0" fontId="7" fillId="37" borderId="52" applyNumberFormat="0" applyFont="0" applyAlignment="0" applyProtection="0"/>
    <xf numFmtId="0" fontId="114" fillId="41" borderId="53" applyNumberFormat="0" applyAlignment="0" applyProtection="0"/>
    <xf numFmtId="0" fontId="119" fillId="0" borderId="56" applyNumberFormat="0" applyFill="0" applyAlignment="0" applyProtection="0"/>
    <xf numFmtId="0" fontId="94" fillId="55" borderId="41" applyNumberFormat="0" applyAlignment="0" applyProtection="0"/>
    <xf numFmtId="0" fontId="75" fillId="0" borderId="26">
      <alignment horizontal="left" vertical="center"/>
    </xf>
    <xf numFmtId="0" fontId="107" fillId="43" borderId="41" applyNumberFormat="0" applyAlignment="0" applyProtection="0"/>
    <xf numFmtId="0" fontId="7" fillId="37" borderId="52" applyNumberFormat="0" applyFont="0" applyAlignment="0" applyProtection="0"/>
    <xf numFmtId="0" fontId="115" fillId="55" borderId="54" applyNumberFormat="0" applyAlignment="0" applyProtection="0"/>
    <xf numFmtId="1" fontId="91" fillId="0" borderId="55" applyNumberFormat="0" applyFont="0" applyFill="0" applyAlignment="0" applyProtection="0">
      <alignment horizontal="center"/>
    </xf>
    <xf numFmtId="0" fontId="119" fillId="0" borderId="57" applyNumberFormat="0" applyFill="0" applyAlignment="0" applyProtection="0"/>
    <xf numFmtId="183" fontId="46" fillId="0" borderId="27" applyFont="0" applyFill="0" applyBorder="0" applyAlignment="0" applyProtection="0"/>
    <xf numFmtId="0" fontId="7" fillId="0" borderId="0"/>
    <xf numFmtId="0" fontId="156" fillId="33" borderId="41" applyNumberFormat="0" applyAlignment="0" applyProtection="0"/>
    <xf numFmtId="0" fontId="7" fillId="37" borderId="52" applyNumberFormat="0" applyFont="0" applyAlignment="0" applyProtection="0"/>
    <xf numFmtId="0" fontId="159" fillId="41" borderId="53" applyNumberFormat="0" applyAlignment="0" applyProtection="0"/>
    <xf numFmtId="0" fontId="174" fillId="0" borderId="68" applyFill="0" applyProtection="0">
      <alignment horizontal="right"/>
    </xf>
    <xf numFmtId="0" fontId="149" fillId="41" borderId="41" applyNumberFormat="0" applyAlignment="0" applyProtection="0"/>
    <xf numFmtId="0" fontId="161" fillId="0" borderId="56" applyNumberFormat="0" applyFill="0" applyAlignment="0" applyProtection="0"/>
    <xf numFmtId="0" fontId="7" fillId="0" borderId="0"/>
    <xf numFmtId="0" fontId="7" fillId="0" borderId="0"/>
    <xf numFmtId="0" fontId="7" fillId="0" borderId="0"/>
    <xf numFmtId="0" fontId="93" fillId="41" borderId="41" applyNumberFormat="0" applyAlignment="0" applyProtection="0"/>
    <xf numFmtId="0" fontId="106" fillId="33" borderId="41" applyNumberFormat="0" applyAlignment="0" applyProtection="0"/>
    <xf numFmtId="0" fontId="7" fillId="37" borderId="52" applyNumberFormat="0" applyFont="0" applyAlignment="0" applyProtection="0"/>
    <xf numFmtId="0" fontId="114" fillId="41" borderId="53" applyNumberFormat="0" applyAlignment="0" applyProtection="0"/>
    <xf numFmtId="0" fontId="119" fillId="0" borderId="56" applyNumberFormat="0" applyFill="0" applyAlignment="0" applyProtection="0"/>
    <xf numFmtId="0" fontId="94" fillId="55" borderId="41" applyNumberFormat="0" applyAlignment="0" applyProtection="0"/>
    <xf numFmtId="0" fontId="107" fillId="43" borderId="41" applyNumberFormat="0" applyAlignment="0" applyProtection="0"/>
    <xf numFmtId="0" fontId="149" fillId="41" borderId="41" applyNumberFormat="0" applyAlignment="0" applyProtection="0"/>
    <xf numFmtId="0" fontId="7" fillId="37" borderId="52" applyNumberFormat="0" applyFont="0" applyAlignment="0" applyProtection="0"/>
    <xf numFmtId="0" fontId="174" fillId="0" borderId="68" applyFill="0" applyProtection="0">
      <alignment horizontal="right"/>
    </xf>
    <xf numFmtId="0" fontId="161" fillId="0" borderId="56" applyNumberFormat="0" applyFill="0" applyAlignment="0" applyProtection="0"/>
    <xf numFmtId="0" fontId="174" fillId="0" borderId="68" applyFill="0" applyProtection="0">
      <alignment horizontal="right"/>
    </xf>
    <xf numFmtId="0" fontId="149" fillId="41" borderId="41" applyNumberFormat="0" applyAlignment="0" applyProtection="0"/>
    <xf numFmtId="0" fontId="159" fillId="41" borderId="53" applyNumberFormat="0" applyAlignment="0" applyProtection="0"/>
    <xf numFmtId="0" fontId="7" fillId="37" borderId="52" applyNumberFormat="0" applyFont="0" applyAlignment="0" applyProtection="0"/>
    <xf numFmtId="0" fontId="156" fillId="33" borderId="41" applyNumberFormat="0" applyAlignment="0" applyProtection="0"/>
    <xf numFmtId="0" fontId="156" fillId="33" borderId="41" applyNumberFormat="0" applyAlignment="0" applyProtection="0"/>
    <xf numFmtId="0" fontId="7" fillId="37" borderId="52" applyNumberFormat="0" applyFont="0" applyAlignment="0" applyProtection="0"/>
    <xf numFmtId="0" fontId="159" fillId="41" borderId="53" applyNumberFormat="0" applyAlignment="0" applyProtection="0"/>
    <xf numFmtId="0" fontId="161" fillId="0" borderId="56" applyNumberFormat="0" applyFill="0" applyAlignment="0" applyProtection="0"/>
    <xf numFmtId="0" fontId="93" fillId="41" borderId="41" applyNumberFormat="0" applyAlignment="0" applyProtection="0"/>
    <xf numFmtId="0" fontId="106" fillId="33" borderId="41" applyNumberFormat="0" applyAlignment="0" applyProtection="0"/>
    <xf numFmtId="0" fontId="7" fillId="37" borderId="52" applyNumberFormat="0" applyFont="0" applyAlignment="0" applyProtection="0"/>
    <xf numFmtId="0" fontId="114" fillId="41" borderId="53" applyNumberFormat="0" applyAlignment="0" applyProtection="0"/>
    <xf numFmtId="0" fontId="119" fillId="0" borderId="56" applyNumberFormat="0" applyFill="0" applyAlignment="0" applyProtection="0"/>
    <xf numFmtId="0" fontId="94" fillId="55" borderId="41" applyNumberFormat="0" applyAlignment="0" applyProtection="0"/>
    <xf numFmtId="0" fontId="75" fillId="0" borderId="26">
      <alignment horizontal="left" vertical="center"/>
    </xf>
    <xf numFmtId="0" fontId="107" fillId="43" borderId="41" applyNumberFormat="0" applyAlignment="0" applyProtection="0"/>
    <xf numFmtId="0" fontId="7" fillId="37" borderId="52" applyNumberFormat="0" applyFont="0" applyAlignment="0" applyProtection="0"/>
    <xf numFmtId="0" fontId="115" fillId="55" borderId="54" applyNumberFormat="0" applyAlignment="0" applyProtection="0"/>
    <xf numFmtId="1" fontId="91" fillId="0" borderId="55" applyNumberFormat="0" applyFont="0" applyFill="0" applyAlignment="0" applyProtection="0">
      <alignment horizontal="center"/>
    </xf>
    <xf numFmtId="0" fontId="119" fillId="0" borderId="57" applyNumberFormat="0" applyFill="0" applyAlignment="0" applyProtection="0"/>
    <xf numFmtId="183" fontId="46" fillId="0" borderId="27" applyFont="0" applyFill="0" applyBorder="0" applyAlignment="0" applyProtection="0"/>
    <xf numFmtId="0" fontId="156" fillId="33" borderId="41" applyNumberFormat="0" applyAlignment="0" applyProtection="0"/>
    <xf numFmtId="0" fontId="7" fillId="37" borderId="52" applyNumberFormat="0" applyFont="0" applyAlignment="0" applyProtection="0"/>
    <xf numFmtId="0" fontId="159" fillId="41" borderId="53" applyNumberFormat="0" applyAlignment="0" applyProtection="0"/>
    <xf numFmtId="0" fontId="174" fillId="0" borderId="68" applyFill="0" applyProtection="0">
      <alignment horizontal="right"/>
    </xf>
    <xf numFmtId="0" fontId="149" fillId="41" borderId="41" applyNumberFormat="0" applyAlignment="0" applyProtection="0"/>
    <xf numFmtId="0" fontId="161" fillId="0" borderId="56" applyNumberFormat="0" applyFill="0" applyAlignment="0" applyProtection="0"/>
    <xf numFmtId="0" fontId="93" fillId="41" borderId="41" applyNumberFormat="0" applyAlignment="0" applyProtection="0"/>
    <xf numFmtId="0" fontId="106" fillId="33" borderId="41" applyNumberFormat="0" applyAlignment="0" applyProtection="0"/>
    <xf numFmtId="0" fontId="7" fillId="37" borderId="52" applyNumberFormat="0" applyFont="0" applyAlignment="0" applyProtection="0"/>
    <xf numFmtId="0" fontId="114" fillId="41" borderId="53" applyNumberFormat="0" applyAlignment="0" applyProtection="0"/>
    <xf numFmtId="0" fontId="119" fillId="0" borderId="56" applyNumberFormat="0" applyFill="0" applyAlignment="0" applyProtection="0"/>
    <xf numFmtId="0" fontId="94" fillId="55" borderId="41" applyNumberFormat="0" applyAlignment="0" applyProtection="0"/>
    <xf numFmtId="0" fontId="75" fillId="0" borderId="26">
      <alignment horizontal="left" vertical="center"/>
    </xf>
    <xf numFmtId="0" fontId="107" fillId="43" borderId="41" applyNumberFormat="0" applyAlignment="0" applyProtection="0"/>
    <xf numFmtId="0" fontId="7" fillId="37" borderId="52" applyNumberFormat="0" applyFont="0" applyAlignment="0" applyProtection="0"/>
    <xf numFmtId="0" fontId="115" fillId="55" borderId="54" applyNumberFormat="0" applyAlignment="0" applyProtection="0"/>
    <xf numFmtId="1" fontId="91" fillId="0" borderId="55" applyNumberFormat="0" applyFont="0" applyFill="0" applyAlignment="0" applyProtection="0">
      <alignment horizontal="center"/>
    </xf>
    <xf numFmtId="0" fontId="119" fillId="0" borderId="57" applyNumberFormat="0" applyFill="0" applyAlignment="0" applyProtection="0"/>
    <xf numFmtId="183" fontId="46" fillId="0" borderId="27" applyFont="0" applyFill="0" applyBorder="0" applyAlignment="0" applyProtection="0"/>
    <xf numFmtId="0" fontId="156" fillId="33" borderId="41" applyNumberFormat="0" applyAlignment="0" applyProtection="0"/>
    <xf numFmtId="0" fontId="7" fillId="37" borderId="52" applyNumberFormat="0" applyFont="0" applyAlignment="0" applyProtection="0"/>
    <xf numFmtId="0" fontId="159" fillId="41" borderId="53" applyNumberFormat="0" applyAlignment="0" applyProtection="0"/>
    <xf numFmtId="0" fontId="174" fillId="0" borderId="68" applyFill="0" applyProtection="0">
      <alignment horizontal="right"/>
    </xf>
    <xf numFmtId="0" fontId="149" fillId="41" borderId="41" applyNumberFormat="0" applyAlignment="0" applyProtection="0"/>
    <xf numFmtId="0" fontId="161" fillId="0" borderId="56" applyNumberFormat="0" applyFill="0" applyAlignment="0" applyProtection="0"/>
    <xf numFmtId="0" fontId="7" fillId="0" borderId="0"/>
    <xf numFmtId="43" fontId="7" fillId="0" borderId="0" applyFont="0" applyFill="0" applyBorder="0" applyAlignment="0" applyProtection="0"/>
    <xf numFmtId="4" fontId="48"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0" fontId="70" fillId="0" borderId="0"/>
    <xf numFmtId="0" fontId="35" fillId="0" borderId="0"/>
    <xf numFmtId="0" fontId="55"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44" fontId="1" fillId="0" borderId="0" applyFont="0" applyFill="0" applyBorder="0" applyAlignment="0" applyProtection="0"/>
    <xf numFmtId="0" fontId="7" fillId="0" borderId="0"/>
    <xf numFmtId="9" fontId="1" fillId="0" borderId="0" applyFont="0" applyFill="0" applyBorder="0" applyAlignment="0" applyProtection="0"/>
    <xf numFmtId="0" fontId="1" fillId="0" borderId="0"/>
    <xf numFmtId="0" fontId="72" fillId="0" borderId="11">
      <alignment horizontal="center"/>
    </xf>
    <xf numFmtId="0" fontId="72" fillId="0" borderId="11">
      <alignment horizontal="center"/>
    </xf>
    <xf numFmtId="9" fontId="7" fillId="0" borderId="0" applyFont="0" applyFill="0" applyBorder="0" applyAlignment="0" applyProtection="0"/>
    <xf numFmtId="44" fontId="7" fillId="0" borderId="0" applyFont="0" applyFill="0" applyBorder="0" applyAlignment="0" applyProtection="0"/>
    <xf numFmtId="43" fontId="7"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ill="0" applyBorder="0" applyAlignment="0" applyProtection="0"/>
    <xf numFmtId="182" fontId="46" fillId="0" borderId="0" applyFont="0" applyFill="0" applyBorder="0" applyAlignment="0" applyProtection="0"/>
    <xf numFmtId="182" fontId="46" fillId="0" borderId="0" applyFont="0" applyFill="0" applyBorder="0" applyAlignment="0" applyProtection="0"/>
    <xf numFmtId="181" fontId="46" fillId="0" borderId="0" applyFont="0" applyFill="0" applyBorder="0" applyAlignment="0" applyProtection="0"/>
    <xf numFmtId="181" fontId="46" fillId="0" borderId="0" applyFont="0" applyFill="0" applyBorder="0" applyAlignment="0" applyProtection="0"/>
    <xf numFmtId="44" fontId="7" fillId="0" borderId="0" applyFont="0" applyFill="0" applyBorder="0" applyAlignment="0" applyProtection="0"/>
    <xf numFmtId="185" fontId="46" fillId="0" borderId="0"/>
    <xf numFmtId="185" fontId="46" fillId="0" borderId="0"/>
    <xf numFmtId="184" fontId="46" fillId="0" borderId="0"/>
    <xf numFmtId="184" fontId="46" fillId="0" borderId="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0" fontId="7" fillId="0" borderId="0"/>
    <xf numFmtId="0" fontId="35" fillId="0" borderId="0"/>
    <xf numFmtId="0" fontId="70"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7" fillId="0" borderId="0"/>
    <xf numFmtId="43" fontId="7"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xf numFmtId="1" fontId="91" fillId="0" borderId="29" applyNumberFormat="0" applyFont="0" applyFill="0" applyAlignment="0" applyProtection="0">
      <alignment horizontal="center"/>
    </xf>
    <xf numFmtId="0" fontId="200" fillId="0" borderId="0"/>
    <xf numFmtId="44" fontId="200" fillId="0" borderId="0" applyFont="0" applyFill="0" applyBorder="0" applyAlignment="0" applyProtection="0"/>
    <xf numFmtId="9" fontId="200" fillId="0" borderId="0" applyFont="0" applyFill="0" applyBorder="0" applyAlignment="0" applyProtection="0"/>
    <xf numFmtId="43" fontId="200" fillId="0" borderId="0" applyFont="0" applyFill="0" applyBorder="0" applyAlignment="0" applyProtection="0"/>
    <xf numFmtId="9" fontId="201" fillId="0" borderId="0" applyFont="0" applyFill="0" applyBorder="0" applyAlignment="0" applyProtection="0"/>
    <xf numFmtId="0" fontId="202" fillId="0" borderId="74"/>
    <xf numFmtId="5" fontId="203" fillId="0" borderId="0" applyFont="0" applyFill="0" applyBorder="0" applyAlignment="0" applyProtection="0"/>
    <xf numFmtId="8" fontId="203" fillId="0" borderId="0" applyFont="0" applyFill="0" applyBorder="0" applyAlignment="0" applyProtection="0"/>
    <xf numFmtId="9" fontId="203" fillId="0" borderId="0" applyFont="0" applyFill="0" applyBorder="0" applyAlignment="0" applyProtection="0"/>
    <xf numFmtId="10" fontId="203" fillId="0" borderId="0" applyFont="0" applyFill="0" applyBorder="0" applyAlignment="0" applyProtection="0"/>
    <xf numFmtId="44" fontId="68" fillId="0" borderId="0" applyFont="0" applyFill="0" applyBorder="0" applyAlignment="0" applyProtection="0"/>
    <xf numFmtId="42" fontId="68" fillId="0" borderId="0" applyFont="0" applyFill="0" applyBorder="0" applyAlignment="0" applyProtection="0"/>
    <xf numFmtId="228" fontId="7" fillId="0" borderId="0" applyFont="0" applyFill="0" applyBorder="0" applyAlignment="0" applyProtection="0"/>
    <xf numFmtId="229" fontId="7" fillId="0" borderId="0" applyFont="0" applyFill="0" applyBorder="0" applyAlignment="0" applyProtection="0"/>
    <xf numFmtId="0" fontId="204" fillId="0" borderId="0" applyNumberFormat="0" applyFill="0" applyBorder="0" applyAlignment="0" applyProtection="0"/>
    <xf numFmtId="0" fontId="68" fillId="0" borderId="0"/>
    <xf numFmtId="0" fontId="70" fillId="40" borderId="0" applyNumberFormat="0" applyBorder="0" applyAlignment="0" applyProtection="0"/>
    <xf numFmtId="0" fontId="70" fillId="43" borderId="0" applyNumberFormat="0" applyBorder="0" applyAlignment="0" applyProtection="0"/>
    <xf numFmtId="0" fontId="70" fillId="43" borderId="0" applyNumberFormat="0" applyBorder="0" applyAlignment="0" applyProtection="0"/>
    <xf numFmtId="0" fontId="70" fillId="33" borderId="0" applyNumberFormat="0" applyBorder="0" applyAlignment="0" applyProtection="0"/>
    <xf numFmtId="0" fontId="70" fillId="40" borderId="0" applyNumberFormat="0" applyBorder="0" applyAlignment="0" applyProtection="0"/>
    <xf numFmtId="0" fontId="70" fillId="43" borderId="0" applyNumberFormat="0" applyBorder="0" applyAlignment="0" applyProtection="0"/>
    <xf numFmtId="0" fontId="70" fillId="32" borderId="0" applyNumberFormat="0" applyBorder="0" applyAlignment="0" applyProtection="0"/>
    <xf numFmtId="0" fontId="70" fillId="34" borderId="0" applyNumberFormat="0" applyBorder="0" applyAlignment="0" applyProtection="0"/>
    <xf numFmtId="0" fontId="70" fillId="36" borderId="0" applyNumberFormat="0" applyBorder="0" applyAlignment="0" applyProtection="0"/>
    <xf numFmtId="0" fontId="70" fillId="38" borderId="0" applyNumberFormat="0" applyBorder="0" applyAlignment="0" applyProtection="0"/>
    <xf numFmtId="0" fontId="70" fillId="39" borderId="0" applyNumberFormat="0" applyBorder="0" applyAlignment="0" applyProtection="0"/>
    <xf numFmtId="0" fontId="70" fillId="33" borderId="0" applyNumberFormat="0" applyBorder="0" applyAlignment="0" applyProtection="0"/>
    <xf numFmtId="0" fontId="70" fillId="40" borderId="0" applyNumberFormat="0" applyBorder="0" applyAlignment="0" applyProtection="0"/>
    <xf numFmtId="0" fontId="70" fillId="54" borderId="0" applyNumberFormat="0" applyBorder="0" applyAlignment="0" applyProtection="0"/>
    <xf numFmtId="0" fontId="70" fillId="43" borderId="0" applyNumberFormat="0" applyBorder="0" applyAlignment="0" applyProtection="0"/>
    <xf numFmtId="0" fontId="70" fillId="34" borderId="0" applyNumberFormat="0" applyBorder="0" applyAlignment="0" applyProtection="0"/>
    <xf numFmtId="0" fontId="70" fillId="40" borderId="0" applyNumberFormat="0" applyBorder="0" applyAlignment="0" applyProtection="0"/>
    <xf numFmtId="0" fontId="70" fillId="43" borderId="0" applyNumberFormat="0" applyBorder="0" applyAlignment="0" applyProtection="0"/>
    <xf numFmtId="0" fontId="70" fillId="40" borderId="0" applyNumberFormat="0" applyBorder="0" applyAlignment="0" applyProtection="0"/>
    <xf numFmtId="0" fontId="70" fillId="35" borderId="0" applyNumberFormat="0" applyBorder="0" applyAlignment="0" applyProtection="0"/>
    <xf numFmtId="0" fontId="70" fillId="42" borderId="0" applyNumberFormat="0" applyBorder="0" applyAlignment="0" applyProtection="0"/>
    <xf numFmtId="0" fontId="70" fillId="38" borderId="0" applyNumberFormat="0" applyBorder="0" applyAlignment="0" applyProtection="0"/>
    <xf numFmtId="0" fontId="70" fillId="40" borderId="0" applyNumberFormat="0" applyBorder="0" applyAlignment="0" applyProtection="0"/>
    <xf numFmtId="0" fontId="70" fillId="44" borderId="0" applyNumberFormat="0" applyBorder="0" applyAlignment="0" applyProtection="0"/>
    <xf numFmtId="0" fontId="89" fillId="40" borderId="0" applyNumberFormat="0" applyBorder="0" applyAlignment="0" applyProtection="0"/>
    <xf numFmtId="0" fontId="89" fillId="54" borderId="0" applyNumberFormat="0" applyBorder="0" applyAlignment="0" applyProtection="0"/>
    <xf numFmtId="0" fontId="89" fillId="44" borderId="0" applyNumberFormat="0" applyBorder="0" applyAlignment="0" applyProtection="0"/>
    <xf numFmtId="0" fontId="89" fillId="34" borderId="0" applyNumberFormat="0" applyBorder="0" applyAlignment="0" applyProtection="0"/>
    <xf numFmtId="0" fontId="89" fillId="40" borderId="0" applyNumberFormat="0" applyBorder="0" applyAlignment="0" applyProtection="0"/>
    <xf numFmtId="0" fontId="89" fillId="43" borderId="0" applyNumberFormat="0" applyBorder="0" applyAlignment="0" applyProtection="0"/>
    <xf numFmtId="0" fontId="89" fillId="45" borderId="0" applyNumberFormat="0" applyBorder="0" applyAlignment="0" applyProtection="0"/>
    <xf numFmtId="0" fontId="89" fillId="35" borderId="0" applyNumberFormat="0" applyBorder="0" applyAlignment="0" applyProtection="0"/>
    <xf numFmtId="0" fontId="89" fillId="42" borderId="0" applyNumberFormat="0" applyBorder="0" applyAlignment="0" applyProtection="0"/>
    <xf numFmtId="0" fontId="89" fillId="47" borderId="0" applyNumberFormat="0" applyBorder="0" applyAlignment="0" applyProtection="0"/>
    <xf numFmtId="0" fontId="89" fillId="48" borderId="0" applyNumberFormat="0" applyBorder="0" applyAlignment="0" applyProtection="0"/>
    <xf numFmtId="0" fontId="89" fillId="49" borderId="0" applyNumberFormat="0" applyBorder="0" applyAlignment="0" applyProtection="0"/>
    <xf numFmtId="0" fontId="42" fillId="0" borderId="0"/>
    <xf numFmtId="1" fontId="205" fillId="0" borderId="0">
      <alignment horizontal="center"/>
    </xf>
    <xf numFmtId="1" fontId="206" fillId="0" borderId="0" applyFill="0" applyBorder="0" applyProtection="0">
      <alignment horizontal="right" wrapText="1"/>
      <protection locked="0"/>
    </xf>
    <xf numFmtId="230" fontId="44" fillId="0" borderId="0" applyFill="0" applyBorder="0" applyProtection="0">
      <alignment horizontal="right"/>
      <protection locked="0"/>
    </xf>
    <xf numFmtId="1" fontId="206" fillId="0" borderId="0" applyFill="0" applyBorder="0" applyProtection="0">
      <alignment horizontal="right" wrapText="1"/>
      <protection locked="0"/>
    </xf>
    <xf numFmtId="0" fontId="207" fillId="0" borderId="0" applyNumberFormat="0" applyFill="0" applyBorder="0" applyAlignment="0" applyProtection="0"/>
    <xf numFmtId="0" fontId="208" fillId="0" borderId="0" applyNumberFormat="0" applyFill="0" applyBorder="0" applyProtection="0">
      <protection locked="0"/>
    </xf>
    <xf numFmtId="230" fontId="209" fillId="0" borderId="0">
      <protection locked="0"/>
    </xf>
    <xf numFmtId="0" fontId="208" fillId="0" borderId="0" applyNumberFormat="0" applyFill="0" applyBorder="0" applyProtection="0">
      <protection locked="0"/>
    </xf>
    <xf numFmtId="188" fontId="68" fillId="0" borderId="0">
      <alignment vertical="top"/>
    </xf>
    <xf numFmtId="231" fontId="210" fillId="0" borderId="0" applyFill="0" applyBorder="0" applyProtection="0"/>
    <xf numFmtId="188" fontId="210" fillId="0" borderId="0">
      <alignment horizontal="left"/>
    </xf>
    <xf numFmtId="0" fontId="99" fillId="36" borderId="0" applyNumberFormat="0" applyBorder="0" applyAlignment="0" applyProtection="0"/>
    <xf numFmtId="0" fontId="203" fillId="0" borderId="19" applyNumberFormat="0" applyFont="0" applyFill="0" applyAlignment="0" applyProtection="0"/>
    <xf numFmtId="0" fontId="203" fillId="0" borderId="20" applyNumberFormat="0" applyFont="0" applyFill="0" applyAlignment="0" applyProtection="0"/>
    <xf numFmtId="0" fontId="203" fillId="0" borderId="34" applyNumberFormat="0" applyFont="0" applyFill="0" applyAlignment="0" applyProtection="0"/>
    <xf numFmtId="0" fontId="203" fillId="0" borderId="25" applyNumberFormat="0" applyFont="0" applyFill="0" applyAlignment="0" applyProtection="0"/>
    <xf numFmtId="0" fontId="99" fillId="36" borderId="0" applyNumberFormat="0" applyBorder="0" applyAlignment="0" applyProtection="0"/>
    <xf numFmtId="232" fontId="7" fillId="0" borderId="0" applyFont="0" applyFill="0" applyBorder="0" applyAlignment="0" applyProtection="0"/>
    <xf numFmtId="0" fontId="93" fillId="41" borderId="41" applyNumberFormat="0" applyAlignment="0" applyProtection="0"/>
    <xf numFmtId="0" fontId="95" fillId="56" borderId="42" applyNumberFormat="0" applyAlignment="0" applyProtection="0"/>
    <xf numFmtId="0" fontId="108" fillId="0" borderId="50" applyNumberFormat="0" applyFill="0" applyAlignment="0" applyProtection="0"/>
    <xf numFmtId="0" fontId="95" fillId="56" borderId="42" applyNumberFormat="0" applyAlignment="0" applyProtection="0"/>
    <xf numFmtId="0" fontId="120" fillId="0" borderId="75" applyNumberFormat="0" applyFill="0" applyAlignment="0" applyProtection="0"/>
    <xf numFmtId="1" fontId="211" fillId="0" borderId="0"/>
    <xf numFmtId="1" fontId="170" fillId="0" borderId="0">
      <protection locked="0"/>
    </xf>
    <xf numFmtId="0" fontId="46" fillId="0" borderId="0">
      <alignment horizontal="center" wrapText="1"/>
      <protection hidden="1"/>
    </xf>
    <xf numFmtId="233" fontId="212" fillId="0" borderId="0"/>
    <xf numFmtId="233" fontId="212" fillId="0" borderId="0"/>
    <xf numFmtId="233" fontId="212" fillId="0" borderId="0"/>
    <xf numFmtId="233" fontId="212" fillId="0" borderId="0"/>
    <xf numFmtId="233" fontId="212" fillId="0" borderId="0"/>
    <xf numFmtId="233" fontId="212" fillId="0" borderId="0"/>
    <xf numFmtId="233" fontId="212" fillId="0" borderId="0"/>
    <xf numFmtId="233" fontId="212" fillId="0" borderId="0"/>
    <xf numFmtId="234" fontId="48" fillId="0" borderId="19"/>
    <xf numFmtId="3" fontId="7" fillId="0" borderId="0" applyFont="0" applyFill="0" applyBorder="0" applyAlignment="0" applyProtection="0"/>
    <xf numFmtId="0" fontId="213" fillId="81" borderId="0">
      <alignment horizontal="center" vertical="center" wrapText="1"/>
    </xf>
    <xf numFmtId="38" fontId="39" fillId="0" borderId="0" applyNumberFormat="0" applyFill="0" applyBorder="0">
      <alignment horizontal="left"/>
    </xf>
    <xf numFmtId="235" fontId="7" fillId="0" borderId="0" applyFill="0" applyBorder="0">
      <alignment horizontal="right"/>
      <protection locked="0"/>
    </xf>
    <xf numFmtId="8" fontId="43" fillId="0" borderId="0" applyFont="0" applyFill="0" applyBorder="0" applyAlignment="0" applyProtection="0">
      <alignment horizontal="left"/>
    </xf>
    <xf numFmtId="171" fontId="214" fillId="0" borderId="0" applyFont="0" applyFill="0" applyBorder="0" applyAlignment="0" applyProtection="0"/>
    <xf numFmtId="236" fontId="7" fillId="0" borderId="0" applyFont="0" applyFill="0" applyBorder="0" applyAlignment="0" applyProtection="0"/>
    <xf numFmtId="0" fontId="46" fillId="0" borderId="0" applyFont="0" applyFill="0" applyBorder="0" applyAlignment="0">
      <protection locked="0"/>
    </xf>
    <xf numFmtId="237" fontId="7" fillId="0" borderId="0" applyFont="0" applyFill="0" applyBorder="0" applyAlignment="0" applyProtection="0"/>
    <xf numFmtId="0" fontId="7" fillId="0" borderId="0" applyFont="0" applyFill="0" applyBorder="0" applyAlignment="0" applyProtection="0"/>
    <xf numFmtId="17" fontId="40" fillId="0" borderId="25" applyFont="0" applyFill="0" applyBorder="0" applyAlignment="0" applyProtection="0"/>
    <xf numFmtId="37" fontId="215" fillId="0" borderId="0"/>
    <xf numFmtId="238" fontId="216" fillId="0" borderId="0"/>
    <xf numFmtId="239" fontId="216" fillId="0" borderId="0"/>
    <xf numFmtId="0" fontId="104" fillId="0" borderId="0" applyNumberFormat="0" applyFill="0" applyBorder="0" applyAlignment="0" applyProtection="0"/>
    <xf numFmtId="0" fontId="89" fillId="53" borderId="0" applyNumberFormat="0" applyBorder="0" applyAlignment="0" applyProtection="0"/>
    <xf numFmtId="0" fontId="89" fillId="54" borderId="0" applyNumberFormat="0" applyBorder="0" applyAlignment="0" applyProtection="0"/>
    <xf numFmtId="0" fontId="89" fillId="44" borderId="0" applyNumberFormat="0" applyBorder="0" applyAlignment="0" applyProtection="0"/>
    <xf numFmtId="0" fontId="89" fillId="82" borderId="0" applyNumberFormat="0" applyBorder="0" applyAlignment="0" applyProtection="0"/>
    <xf numFmtId="0" fontId="89" fillId="48" borderId="0" applyNumberFormat="0" applyBorder="0" applyAlignment="0" applyProtection="0"/>
    <xf numFmtId="0" fontId="89" fillId="51" borderId="0" applyNumberFormat="0" applyBorder="0" applyAlignment="0" applyProtection="0"/>
    <xf numFmtId="0" fontId="89" fillId="50" borderId="0" applyNumberFormat="0" applyBorder="0" applyAlignment="0" applyProtection="0"/>
    <xf numFmtId="0" fontId="89" fillId="51" borderId="0" applyNumberFormat="0" applyBorder="0" applyAlignment="0" applyProtection="0"/>
    <xf numFmtId="0" fontId="89" fillId="52" borderId="0" applyNumberFormat="0" applyBorder="0" applyAlignment="0" applyProtection="0"/>
    <xf numFmtId="0" fontId="89" fillId="47" borderId="0" applyNumberFormat="0" applyBorder="0" applyAlignment="0" applyProtection="0"/>
    <xf numFmtId="0" fontId="89" fillId="48" borderId="0" applyNumberFormat="0" applyBorder="0" applyAlignment="0" applyProtection="0"/>
    <xf numFmtId="0" fontId="89" fillId="54" borderId="0" applyNumberFormat="0" applyBorder="0" applyAlignment="0" applyProtection="0"/>
    <xf numFmtId="0" fontId="106" fillId="33" borderId="41" applyNumberFormat="0" applyAlignment="0" applyProtection="0"/>
    <xf numFmtId="240" fontId="7" fillId="0" borderId="0" applyFont="0" applyFill="0" applyBorder="0" applyAlignment="0" applyProtection="0"/>
    <xf numFmtId="0" fontId="217" fillId="0" borderId="0">
      <protection locked="0"/>
    </xf>
    <xf numFmtId="0" fontId="217" fillId="0" borderId="0">
      <protection locked="0"/>
    </xf>
    <xf numFmtId="0" fontId="217" fillId="0" borderId="0">
      <protection locked="0"/>
    </xf>
    <xf numFmtId="0" fontId="217" fillId="0" borderId="0">
      <protection locked="0"/>
    </xf>
    <xf numFmtId="0" fontId="217" fillId="0" borderId="0">
      <protection locked="0"/>
    </xf>
    <xf numFmtId="0" fontId="217" fillId="0" borderId="0">
      <protection locked="0"/>
    </xf>
    <xf numFmtId="0" fontId="217" fillId="0" borderId="0">
      <protection locked="0"/>
    </xf>
    <xf numFmtId="0" fontId="46" fillId="0" borderId="0"/>
    <xf numFmtId="2" fontId="7" fillId="0" borderId="0" applyFont="0" applyFill="0" applyBorder="0" applyAlignment="0" applyProtection="0"/>
    <xf numFmtId="241" fontId="42" fillId="0" borderId="0" applyFont="0" applyFill="0" applyBorder="0" applyAlignment="0" applyProtection="0">
      <protection locked="0"/>
    </xf>
    <xf numFmtId="13" fontId="42" fillId="0" borderId="0" applyFont="0" applyFill="0" applyBorder="0" applyAlignment="0" applyProtection="0">
      <protection locked="0"/>
    </xf>
    <xf numFmtId="38" fontId="35" fillId="27" borderId="0" applyNumberFormat="0" applyBorder="0" applyAlignment="0" applyProtection="0"/>
    <xf numFmtId="165" fontId="218" fillId="0" borderId="0" applyFill="0" applyBorder="0" applyProtection="0">
      <alignment horizontal="right"/>
      <protection locked="0"/>
    </xf>
    <xf numFmtId="0" fontId="37" fillId="0" borderId="0" applyNumberFormat="0" applyFill="0" applyBorder="0" applyAlignment="0" applyProtection="0">
      <alignment vertical="top"/>
      <protection locked="0"/>
    </xf>
    <xf numFmtId="0" fontId="163"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90" fillId="34" borderId="0" applyNumberFormat="0" applyBorder="0" applyAlignment="0" applyProtection="0"/>
    <xf numFmtId="0" fontId="90" fillId="38" borderId="0" applyNumberFormat="0" applyBorder="0" applyAlignment="0" applyProtection="0"/>
    <xf numFmtId="10" fontId="35" fillId="4" borderId="66" applyNumberFormat="0" applyBorder="0" applyAlignment="0" applyProtection="0"/>
    <xf numFmtId="13" fontId="206" fillId="0" borderId="76" applyNumberFormat="0" applyFont="0" applyFill="0" applyAlignment="0" applyProtection="0">
      <alignment horizontal="right" wrapText="1"/>
      <protection locked="0"/>
    </xf>
    <xf numFmtId="0" fontId="7" fillId="0" borderId="0" applyFill="0" applyBorder="0">
      <alignment horizontal="right"/>
      <protection locked="0"/>
    </xf>
    <xf numFmtId="38" fontId="45" fillId="0" borderId="0" applyNumberFormat="0" applyBorder="0" applyProtection="0">
      <alignment horizontal="left"/>
    </xf>
    <xf numFmtId="242" fontId="7" fillId="0" borderId="0" applyFill="0" applyBorder="0">
      <alignment horizontal="right"/>
      <protection locked="0"/>
    </xf>
    <xf numFmtId="0" fontId="9" fillId="80" borderId="77">
      <alignment horizontal="left" vertical="center" wrapText="1"/>
    </xf>
    <xf numFmtId="15" fontId="7" fillId="0" borderId="0"/>
    <xf numFmtId="243" fontId="7" fillId="0" borderId="0" applyFont="0" applyFill="0" applyBorder="0" applyAlignment="0" applyProtection="0"/>
    <xf numFmtId="4" fontId="219" fillId="0" borderId="0" applyFont="0" applyFill="0" applyBorder="0" applyAlignment="0" applyProtection="0"/>
    <xf numFmtId="244" fontId="7" fillId="0" borderId="0" applyFont="0" applyFill="0" applyBorder="0" applyAlignment="0" applyProtection="0"/>
    <xf numFmtId="14" fontId="203" fillId="0" borderId="0" applyFont="0" applyFill="0" applyBorder="0" applyAlignment="0" applyProtection="0"/>
    <xf numFmtId="42" fontId="7" fillId="0" borderId="0" applyFont="0" applyFill="0" applyBorder="0" applyAlignment="0" applyProtection="0"/>
    <xf numFmtId="44" fontId="7" fillId="0" borderId="0" applyFont="0" applyFill="0" applyBorder="0" applyAlignment="0" applyProtection="0"/>
    <xf numFmtId="245" fontId="7" fillId="0" borderId="0" applyFont="0" applyFill="0" applyBorder="0" applyAlignment="0" applyProtection="0"/>
    <xf numFmtId="246" fontId="7" fillId="0" borderId="0" applyFont="0" applyFill="0" applyBorder="0" applyAlignment="0" applyProtection="0"/>
    <xf numFmtId="0" fontId="220" fillId="43" borderId="0" applyNumberFormat="0" applyBorder="0" applyAlignment="0" applyProtection="0"/>
    <xf numFmtId="0" fontId="55" fillId="0" borderId="0"/>
    <xf numFmtId="247" fontId="186" fillId="0" borderId="0"/>
    <xf numFmtId="0" fontId="1" fillId="0" borderId="0"/>
    <xf numFmtId="0" fontId="221" fillId="0" borderId="0"/>
    <xf numFmtId="188" fontId="45" fillId="0" borderId="0" applyBorder="0">
      <alignment horizontal="left"/>
    </xf>
    <xf numFmtId="0" fontId="201" fillId="43" borderId="52" applyNumberFormat="0" applyFont="0" applyAlignment="0" applyProtection="0"/>
    <xf numFmtId="0" fontId="70" fillId="37" borderId="52" applyNumberFormat="0" applyFont="0" applyAlignment="0" applyProtection="0"/>
    <xf numFmtId="248" fontId="8" fillId="0" borderId="0" applyFont="0" applyFill="0" applyBorder="0" applyAlignment="0" applyProtection="0"/>
    <xf numFmtId="43" fontId="68" fillId="0" borderId="0" applyFont="0" applyFill="0" applyBorder="0" applyAlignment="0" applyProtection="0"/>
    <xf numFmtId="41" fontId="68" fillId="0" borderId="0" applyFont="0" applyFill="0" applyBorder="0" applyAlignment="0" applyProtection="0"/>
    <xf numFmtId="249" fontId="222" fillId="0" borderId="0">
      <protection locked="0"/>
    </xf>
    <xf numFmtId="10" fontId="7" fillId="0" borderId="0" applyFont="0" applyFill="0" applyBorder="0" applyAlignment="0" applyProtection="0"/>
    <xf numFmtId="165" fontId="214" fillId="0" borderId="0" applyFont="0" applyFill="0" applyBorder="0" applyAlignment="0" applyProtection="0"/>
    <xf numFmtId="10" fontId="214" fillId="0" borderId="0" applyFont="0" applyFill="0" applyBorder="0" applyAlignment="0" applyProtection="0"/>
    <xf numFmtId="9" fontId="7" fillId="0" borderId="0"/>
    <xf numFmtId="250" fontId="7" fillId="0" borderId="0" applyFill="0" applyBorder="0">
      <alignment horizontal="right"/>
      <protection locked="0"/>
    </xf>
    <xf numFmtId="2" fontId="7" fillId="0" borderId="0" applyFont="0" applyFill="0" applyAlignment="0" applyProtection="0"/>
    <xf numFmtId="9" fontId="7" fillId="0" borderId="0" applyNumberFormat="0" applyFill="0" applyBorder="0" applyAlignment="0" applyProtection="0"/>
    <xf numFmtId="251" fontId="46" fillId="0" borderId="0" applyFill="0" applyBorder="0">
      <alignment horizontal="right"/>
      <protection locked="0"/>
    </xf>
    <xf numFmtId="252" fontId="7" fillId="0" borderId="0">
      <alignment horizontal="right"/>
      <protection locked="0"/>
    </xf>
    <xf numFmtId="0" fontId="223" fillId="0" borderId="0" applyNumberFormat="0" applyFill="0" applyBorder="0" applyProtection="0">
      <protection locked="0"/>
    </xf>
    <xf numFmtId="0" fontId="114" fillId="55" borderId="53" applyNumberFormat="0" applyAlignment="0" applyProtection="0"/>
    <xf numFmtId="0" fontId="114" fillId="41" borderId="53" applyNumberFormat="0" applyAlignment="0" applyProtection="0"/>
    <xf numFmtId="253" fontId="224" fillId="0" borderId="0" applyFill="0" applyBorder="0">
      <alignment horizontal="right"/>
      <protection hidden="1"/>
    </xf>
    <xf numFmtId="0" fontId="225" fillId="81" borderId="66">
      <alignment horizontal="center" vertical="center" wrapText="1"/>
      <protection hidden="1"/>
    </xf>
    <xf numFmtId="38" fontId="46"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230" fontId="226" fillId="83" borderId="0" applyNumberFormat="0" applyFont="0" applyBorder="0" applyAlignment="0" applyProtection="0">
      <protection locked="0"/>
    </xf>
    <xf numFmtId="254" fontId="46" fillId="0" borderId="0">
      <protection locked="0"/>
    </xf>
    <xf numFmtId="38" fontId="227" fillId="0" borderId="0" applyNumberFormat="0" applyBorder="0">
      <alignment horizontal="left"/>
    </xf>
    <xf numFmtId="0" fontId="203" fillId="0" borderId="0" applyNumberFormat="0" applyFont="0" applyFill="0" applyBorder="0" applyProtection="0">
      <alignment horizontal="left" vertical="top" wrapText="1"/>
    </xf>
    <xf numFmtId="0" fontId="120" fillId="0" borderId="0" applyNumberFormat="0" applyFill="0" applyBorder="0" applyAlignment="0" applyProtection="0"/>
    <xf numFmtId="0" fontId="120" fillId="0" borderId="0" applyNumberFormat="0" applyFill="0" applyBorder="0" applyAlignment="0" applyProtection="0"/>
    <xf numFmtId="0" fontId="97" fillId="0" borderId="0" applyNumberFormat="0" applyFill="0" applyBorder="0" applyAlignment="0" applyProtection="0"/>
    <xf numFmtId="0" fontId="46" fillId="0" borderId="0" applyBorder="0"/>
    <xf numFmtId="0" fontId="117" fillId="0" borderId="0" applyNumberFormat="0" applyFill="0" applyBorder="0" applyAlignment="0" applyProtection="0"/>
    <xf numFmtId="0" fontId="100" fillId="0" borderId="44" applyNumberFormat="0" applyFill="0" applyAlignment="0" applyProtection="0"/>
    <xf numFmtId="0" fontId="102" fillId="0" borderId="46" applyNumberFormat="0" applyFill="0" applyAlignment="0" applyProtection="0"/>
    <xf numFmtId="0" fontId="104" fillId="0" borderId="47" applyNumberFormat="0" applyFill="0" applyAlignment="0" applyProtection="0"/>
    <xf numFmtId="0" fontId="115" fillId="0" borderId="0" applyNumberFormat="0" applyFill="0" applyBorder="0" applyAlignment="0" applyProtection="0"/>
    <xf numFmtId="1" fontId="43" fillId="0" borderId="19" applyNumberFormat="0">
      <alignment horizontal="right"/>
    </xf>
    <xf numFmtId="0" fontId="46" fillId="0" borderId="0"/>
    <xf numFmtId="0" fontId="42" fillId="84" borderId="0" applyNumberFormat="0" applyFont="0" applyBorder="0" applyAlignment="0" applyProtection="0"/>
    <xf numFmtId="5" fontId="203" fillId="0" borderId="0" applyFont="0" applyFill="0" applyBorder="0" applyAlignment="0" applyProtection="0"/>
    <xf numFmtId="8" fontId="203" fillId="0" borderId="0" applyFont="0" applyFill="0" applyBorder="0" applyAlignment="0" applyProtection="0"/>
    <xf numFmtId="9" fontId="203" fillId="0" borderId="0" applyFont="0" applyFill="0" applyBorder="0" applyAlignment="0" applyProtection="0"/>
    <xf numFmtId="10" fontId="203" fillId="0" borderId="0" applyFont="0" applyFill="0" applyBorder="0" applyAlignment="0" applyProtection="0"/>
    <xf numFmtId="0" fontId="203" fillId="0" borderId="19" applyNumberFormat="0" applyFont="0" applyFill="0" applyAlignment="0" applyProtection="0"/>
    <xf numFmtId="0" fontId="203" fillId="0" borderId="20" applyNumberFormat="0" applyFont="0" applyFill="0" applyAlignment="0" applyProtection="0"/>
    <xf numFmtId="0" fontId="203" fillId="0" borderId="34" applyNumberFormat="0" applyFont="0" applyFill="0" applyAlignment="0" applyProtection="0"/>
    <xf numFmtId="0" fontId="203" fillId="0" borderId="25" applyNumberFormat="0" applyFont="0" applyFill="0" applyAlignment="0" applyProtection="0"/>
    <xf numFmtId="14" fontId="203" fillId="0" borderId="0" applyFont="0" applyFill="0" applyBorder="0" applyAlignment="0" applyProtection="0"/>
    <xf numFmtId="0" fontId="1" fillId="0" borderId="0"/>
    <xf numFmtId="5" fontId="203" fillId="0" borderId="0" applyFont="0" applyFill="0" applyBorder="0" applyAlignment="0" applyProtection="0"/>
    <xf numFmtId="0" fontId="203" fillId="0" borderId="0" applyNumberFormat="0" applyFont="0" applyFill="0" applyBorder="0" applyProtection="0">
      <alignment horizontal="left" vertical="top" wrapText="1"/>
    </xf>
    <xf numFmtId="5" fontId="203" fillId="0" borderId="0" applyFont="0" applyFill="0" applyBorder="0" applyAlignment="0" applyProtection="0"/>
    <xf numFmtId="5" fontId="203" fillId="0" borderId="0" applyFont="0" applyFill="0" applyBorder="0" applyAlignment="0" applyProtection="0"/>
    <xf numFmtId="5" fontId="203" fillId="0" borderId="0" applyFont="0" applyFill="0" applyBorder="0" applyAlignment="0" applyProtection="0"/>
    <xf numFmtId="5" fontId="203" fillId="0" borderId="0" applyFont="0" applyFill="0" applyBorder="0" applyAlignment="0" applyProtection="0"/>
    <xf numFmtId="5" fontId="203" fillId="0" borderId="0" applyFont="0" applyFill="0" applyBorder="0" applyAlignment="0" applyProtection="0"/>
    <xf numFmtId="5" fontId="203" fillId="0" borderId="0" applyFont="0" applyFill="0" applyBorder="0" applyAlignment="0" applyProtection="0"/>
    <xf numFmtId="0" fontId="1" fillId="15" borderId="0" applyNumberFormat="0" applyBorder="0" applyAlignment="0" applyProtection="0"/>
    <xf numFmtId="5" fontId="203" fillId="0" borderId="0" applyFont="0" applyFill="0" applyBorder="0" applyAlignment="0" applyProtection="0"/>
    <xf numFmtId="8" fontId="203" fillId="0" borderId="0" applyFont="0" applyFill="0" applyBorder="0" applyAlignment="0" applyProtection="0"/>
    <xf numFmtId="9" fontId="203" fillId="0" borderId="0" applyFont="0" applyFill="0" applyBorder="0" applyAlignment="0" applyProtection="0"/>
    <xf numFmtId="10" fontId="203" fillId="0" borderId="0" applyFont="0" applyFill="0" applyBorder="0" applyAlignment="0" applyProtection="0"/>
    <xf numFmtId="0" fontId="1" fillId="13" borderId="0" applyNumberFormat="0" applyBorder="0" applyAlignment="0" applyProtection="0"/>
    <xf numFmtId="5" fontId="203" fillId="0" borderId="0" applyFont="0" applyFill="0" applyBorder="0" applyAlignment="0" applyProtection="0"/>
    <xf numFmtId="0" fontId="1" fillId="15" borderId="0" applyNumberFormat="0" applyBorder="0" applyAlignment="0" applyProtection="0"/>
    <xf numFmtId="0" fontId="1" fillId="0" borderId="0"/>
    <xf numFmtId="5" fontId="203" fillId="0" borderId="0" applyFont="0" applyFill="0" applyBorder="0" applyAlignment="0" applyProtection="0"/>
    <xf numFmtId="0" fontId="1" fillId="15" borderId="0" applyNumberFormat="0" applyBorder="0" applyAlignment="0" applyProtection="0"/>
    <xf numFmtId="0" fontId="228" fillId="0" borderId="0" applyFill="0" applyBorder="0" applyAlignment="0" applyProtection="0"/>
    <xf numFmtId="44" fontId="1" fillId="0" borderId="0" applyFont="0" applyFill="0" applyBorder="0" applyAlignment="0" applyProtection="0"/>
    <xf numFmtId="0" fontId="145" fillId="0" borderId="0" applyFill="0" applyAlignment="0" applyProtection="0"/>
    <xf numFmtId="44" fontId="35" fillId="0" borderId="0" applyFont="0" applyFill="0" applyBorder="0" applyAlignment="0" applyProtection="0"/>
    <xf numFmtId="0" fontId="203" fillId="0" borderId="19" applyNumberFormat="0" applyFont="0" applyFill="0" applyAlignment="0" applyProtection="0"/>
    <xf numFmtId="0" fontId="203" fillId="0" borderId="20" applyNumberFormat="0" applyFont="0" applyFill="0" applyAlignment="0" applyProtection="0"/>
    <xf numFmtId="0" fontId="203" fillId="0" borderId="34" applyNumberFormat="0" applyFont="0" applyFill="0" applyAlignment="0" applyProtection="0"/>
    <xf numFmtId="0" fontId="203" fillId="0" borderId="25" applyNumberFormat="0" applyFont="0" applyFill="0" applyAlignment="0" applyProtection="0"/>
    <xf numFmtId="43" fontId="23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5" fillId="0" borderId="0" applyFont="0" applyFill="0" applyBorder="0" applyAlignment="0" applyProtection="0"/>
    <xf numFmtId="190" fontId="7" fillId="0" borderId="0" applyFont="0" applyFill="0" applyBorder="0" applyAlignment="0" applyProtection="0"/>
    <xf numFmtId="43" fontId="1" fillId="0" borderId="0" applyFont="0" applyFill="0" applyBorder="0" applyAlignment="0" applyProtection="0"/>
    <xf numFmtId="255" fontId="7" fillId="0" borderId="0" applyFont="0" applyFill="0" applyBorder="0" applyAlignment="0" applyProtection="0"/>
    <xf numFmtId="255" fontId="7" fillId="0" borderId="0" applyFont="0" applyFill="0" applyBorder="0" applyAlignment="0" applyProtection="0"/>
    <xf numFmtId="256" fontId="7" fillId="0" borderId="0" applyFont="0" applyFill="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14" fontId="203" fillId="0" borderId="0" applyFont="0" applyFill="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0" borderId="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5" fontId="203" fillId="0" borderId="0" applyFont="0" applyFill="0" applyBorder="0" applyAlignment="0" applyProtection="0"/>
    <xf numFmtId="0" fontId="203" fillId="0" borderId="0" applyNumberFormat="0" applyFont="0" applyFill="0" applyBorder="0" applyProtection="0">
      <alignment horizontal="left" vertical="top" wrapText="1"/>
    </xf>
    <xf numFmtId="0" fontId="1" fillId="15" borderId="0" applyNumberFormat="0" applyBorder="0" applyAlignment="0" applyProtection="0"/>
    <xf numFmtId="0" fontId="230" fillId="0" borderId="0"/>
    <xf numFmtId="5" fontId="203" fillId="0" borderId="0" applyFont="0" applyFill="0" applyBorder="0" applyAlignment="0" applyProtection="0"/>
    <xf numFmtId="0" fontId="1" fillId="21" borderId="0" applyNumberFormat="0" applyBorder="0" applyAlignment="0" applyProtection="0"/>
    <xf numFmtId="43" fontId="1" fillId="0" borderId="0" applyFont="0" applyFill="0" applyBorder="0" applyAlignment="0" applyProtection="0"/>
    <xf numFmtId="5" fontId="203" fillId="0" borderId="0" applyFont="0" applyFill="0" applyBorder="0" applyAlignment="0" applyProtection="0"/>
    <xf numFmtId="43" fontId="1" fillId="0" borderId="0" applyFont="0" applyFill="0" applyBorder="0" applyAlignment="0" applyProtection="0"/>
    <xf numFmtId="0" fontId="68" fillId="0" borderId="0" applyFill="0" applyBorder="0" applyAlignment="0" applyProtection="0"/>
    <xf numFmtId="0" fontId="1" fillId="19" borderId="0" applyNumberFormat="0" applyBorder="0" applyAlignment="0" applyProtection="0"/>
    <xf numFmtId="5" fontId="203" fillId="0" borderId="0" applyFont="0" applyFill="0" applyBorder="0" applyAlignment="0" applyProtection="0"/>
    <xf numFmtId="0" fontId="1" fillId="23" borderId="0" applyNumberFormat="0" applyBorder="0" applyAlignment="0" applyProtection="0"/>
    <xf numFmtId="44" fontId="231" fillId="0" borderId="0" applyFont="0" applyFill="0" applyBorder="0" applyAlignment="0" applyProtection="0"/>
    <xf numFmtId="5" fontId="203" fillId="0" borderId="0" applyFont="0" applyFill="0" applyBorder="0" applyAlignment="0" applyProtection="0"/>
    <xf numFmtId="0" fontId="1" fillId="21" borderId="0" applyNumberFormat="0" applyBorder="0" applyAlignment="0" applyProtection="0"/>
    <xf numFmtId="0" fontId="1" fillId="19" borderId="0" applyNumberFormat="0" applyBorder="0" applyAlignment="0" applyProtection="0"/>
    <xf numFmtId="5" fontId="203" fillId="0" borderId="0" applyFont="0" applyFill="0" applyBorder="0" applyAlignment="0" applyProtection="0"/>
    <xf numFmtId="0" fontId="1" fillId="23" borderId="0" applyNumberFormat="0" applyBorder="0" applyAlignment="0" applyProtection="0"/>
    <xf numFmtId="43" fontId="1" fillId="0" borderId="0" applyFont="0" applyFill="0" applyBorder="0" applyAlignment="0" applyProtection="0"/>
    <xf numFmtId="5" fontId="203" fillId="0" borderId="0" applyFont="0" applyFill="0" applyBorder="0" applyAlignment="0" applyProtection="0"/>
    <xf numFmtId="0" fontId="1" fillId="21" borderId="0" applyNumberFormat="0" applyBorder="0" applyAlignment="0" applyProtection="0"/>
    <xf numFmtId="0" fontId="1" fillId="19" borderId="0" applyNumberFormat="0" applyBorder="0" applyAlignment="0" applyProtection="0"/>
    <xf numFmtId="5" fontId="203" fillId="0" borderId="0" applyFont="0" applyFill="0" applyBorder="0" applyAlignment="0" applyProtection="0"/>
    <xf numFmtId="0" fontId="1" fillId="23"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5" fontId="203" fillId="0" borderId="0" applyFont="0" applyFill="0" applyBorder="0" applyAlignment="0" applyProtection="0"/>
    <xf numFmtId="0" fontId="1" fillId="21" borderId="0" applyNumberFormat="0" applyBorder="0" applyAlignment="0" applyProtection="0"/>
    <xf numFmtId="0" fontId="9" fillId="0" borderId="0" applyFill="0" applyAlignment="0" applyProtection="0"/>
    <xf numFmtId="0" fontId="1" fillId="21" borderId="0" applyNumberFormat="0" applyBorder="0" applyAlignment="0" applyProtection="0"/>
    <xf numFmtId="5" fontId="203" fillId="0" borderId="0" applyFont="0" applyFill="0" applyBorder="0" applyAlignment="0" applyProtection="0"/>
    <xf numFmtId="0" fontId="1" fillId="23" borderId="0" applyNumberFormat="0" applyBorder="0" applyAlignment="0" applyProtection="0"/>
    <xf numFmtId="0" fontId="1" fillId="15" borderId="0" applyNumberFormat="0" applyBorder="0" applyAlignment="0" applyProtection="0"/>
    <xf numFmtId="256" fontId="7" fillId="0" borderId="0" applyFont="0" applyFill="0" applyBorder="0" applyAlignment="0" applyProtection="0"/>
    <xf numFmtId="5" fontId="203" fillId="0" borderId="0" applyFont="0" applyFill="0" applyBorder="0" applyAlignment="0" applyProtection="0"/>
    <xf numFmtId="0" fontId="1" fillId="21" borderId="0" applyNumberFormat="0" applyBorder="0" applyAlignment="0" applyProtection="0"/>
    <xf numFmtId="43" fontId="35" fillId="0" borderId="0" applyFont="0" applyFill="0" applyBorder="0" applyAlignment="0" applyProtection="0"/>
    <xf numFmtId="0" fontId="1" fillId="21" borderId="0" applyNumberFormat="0" applyBorder="0" applyAlignment="0" applyProtection="0"/>
    <xf numFmtId="5" fontId="203" fillId="0" borderId="0" applyFont="0" applyFill="0" applyBorder="0" applyAlignment="0" applyProtection="0"/>
    <xf numFmtId="0" fontId="1" fillId="15" borderId="0" applyNumberFormat="0" applyBorder="0" applyAlignment="0" applyProtection="0"/>
    <xf numFmtId="257" fontId="7" fillId="0" borderId="0" applyFont="0" applyFill="0" applyBorder="0" applyAlignment="0" applyProtection="0"/>
    <xf numFmtId="5" fontId="203" fillId="0" borderId="0" applyFont="0" applyFill="0" applyBorder="0" applyAlignment="0" applyProtection="0"/>
    <xf numFmtId="0" fontId="1" fillId="21" borderId="0" applyNumberFormat="0" applyBorder="0" applyAlignment="0" applyProtection="0"/>
    <xf numFmtId="0" fontId="1" fillId="21" borderId="0" applyNumberFormat="0" applyBorder="0" applyAlignment="0" applyProtection="0"/>
    <xf numFmtId="5" fontId="203" fillId="0" borderId="0" applyFont="0" applyFill="0" applyBorder="0" applyAlignment="0" applyProtection="0"/>
    <xf numFmtId="0" fontId="1" fillId="23" borderId="0" applyNumberFormat="0" applyBorder="0" applyAlignment="0" applyProtection="0"/>
    <xf numFmtId="257" fontId="7" fillId="0" borderId="0" applyFont="0" applyFill="0" applyBorder="0" applyAlignment="0" applyProtection="0"/>
    <xf numFmtId="5" fontId="203" fillId="0" borderId="0" applyFont="0" applyFill="0" applyBorder="0" applyAlignment="0" applyProtection="0"/>
    <xf numFmtId="0" fontId="1" fillId="23" borderId="0" applyNumberFormat="0" applyBorder="0" applyAlignment="0" applyProtection="0"/>
    <xf numFmtId="0" fontId="1" fillId="15" borderId="0" applyNumberFormat="0" applyBorder="0" applyAlignment="0" applyProtection="0"/>
    <xf numFmtId="240" fontId="7" fillId="0" borderId="0" applyFont="0" applyFill="0" applyBorder="0" applyAlignment="0" applyProtection="0"/>
    <xf numFmtId="0" fontId="1" fillId="21" borderId="0" applyNumberFormat="0" applyBorder="0" applyAlignment="0" applyProtection="0"/>
    <xf numFmtId="5" fontId="203" fillId="0" borderId="0" applyFont="0" applyFill="0" applyBorder="0" applyAlignment="0" applyProtection="0"/>
    <xf numFmtId="0" fontId="1" fillId="23" borderId="0" applyNumberFormat="0" applyBorder="0" applyAlignment="0" applyProtection="0"/>
    <xf numFmtId="0" fontId="229" fillId="0" borderId="0" applyFill="0" applyBorder="0" applyProtection="0">
      <alignment horizontal="center" vertical="center"/>
    </xf>
    <xf numFmtId="256" fontId="7" fillId="0" borderId="0" applyFont="0" applyFill="0" applyBorder="0" applyAlignment="0" applyProtection="0"/>
    <xf numFmtId="0" fontId="1" fillId="13" borderId="0" applyNumberFormat="0" applyBorder="0" applyAlignment="0" applyProtection="0"/>
    <xf numFmtId="5" fontId="203" fillId="0" borderId="0" applyFont="0" applyFill="0" applyBorder="0" applyAlignment="0" applyProtection="0"/>
    <xf numFmtId="0" fontId="1" fillId="23" borderId="0" applyNumberFormat="0" applyBorder="0" applyAlignment="0" applyProtection="0"/>
    <xf numFmtId="0" fontId="9" fillId="0" borderId="19" applyFill="0" applyAlignment="0" applyProtection="0"/>
    <xf numFmtId="5" fontId="203"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15" borderId="0" applyNumberFormat="0" applyBorder="0" applyAlignment="0" applyProtection="0"/>
    <xf numFmtId="5" fontId="203" fillId="0" borderId="0" applyFont="0" applyFill="0" applyBorder="0" applyAlignment="0" applyProtection="0"/>
    <xf numFmtId="0" fontId="1" fillId="23" borderId="0" applyNumberFormat="0" applyBorder="0" applyAlignment="0" applyProtection="0"/>
    <xf numFmtId="0" fontId="1" fillId="15" borderId="0" applyNumberFormat="0" applyBorder="0" applyAlignment="0" applyProtection="0"/>
    <xf numFmtId="0" fontId="1" fillId="21" borderId="0" applyNumberFormat="0" applyBorder="0" applyAlignment="0" applyProtection="0"/>
    <xf numFmtId="9" fontId="1" fillId="0" borderId="0" applyFont="0" applyFill="0" applyBorder="0" applyAlignment="0" applyProtection="0"/>
    <xf numFmtId="0" fontId="1" fillId="23" borderId="0" applyNumberFormat="0" applyBorder="0" applyAlignment="0" applyProtection="0"/>
    <xf numFmtId="0" fontId="1" fillId="15" borderId="0" applyNumberFormat="0" applyBorder="0" applyAlignment="0" applyProtection="0"/>
    <xf numFmtId="0" fontId="1" fillId="23" borderId="0" applyNumberFormat="0" applyBorder="0" applyAlignment="0" applyProtection="0"/>
    <xf numFmtId="0" fontId="1" fillId="15" borderId="0" applyNumberFormat="0" applyBorder="0" applyAlignment="0" applyProtection="0"/>
    <xf numFmtId="0" fontId="35" fillId="0" borderId="0"/>
    <xf numFmtId="0" fontId="1" fillId="2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22" borderId="0" applyNumberFormat="0" applyBorder="0" applyAlignment="0" applyProtection="0"/>
    <xf numFmtId="9" fontId="231" fillId="0" borderId="0" applyFont="0" applyFill="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24" fillId="0" borderId="0" applyNumberFormat="0" applyFill="0" applyBorder="0" applyAlignment="0" applyProtection="0"/>
    <xf numFmtId="0" fontId="35" fillId="0" borderId="0"/>
    <xf numFmtId="256"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56" fontId="7" fillId="0" borderId="0" applyFont="0" applyFill="0" applyBorder="0" applyAlignment="0" applyProtection="0"/>
    <xf numFmtId="43" fontId="1" fillId="0" borderId="0" applyFont="0" applyFill="0" applyBorder="0" applyAlignment="0" applyProtection="0"/>
    <xf numFmtId="256" fontId="7" fillId="0" borderId="0" applyFont="0" applyFill="0" applyBorder="0" applyAlignment="0" applyProtection="0"/>
    <xf numFmtId="256" fontId="7" fillId="0" borderId="0" applyFont="0" applyFill="0" applyBorder="0" applyAlignment="0" applyProtection="0"/>
    <xf numFmtId="256" fontId="7" fillId="0" borderId="0" applyFont="0" applyFill="0" applyBorder="0" applyAlignment="0" applyProtection="0"/>
    <xf numFmtId="256" fontId="7" fillId="0" borderId="0" applyFont="0" applyFill="0" applyBorder="0" applyAlignment="0" applyProtection="0"/>
    <xf numFmtId="256" fontId="7" fillId="0" borderId="0" applyFont="0" applyFill="0" applyBorder="0" applyAlignment="0" applyProtection="0"/>
    <xf numFmtId="255"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55"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55" fontId="7" fillId="0" borderId="0" applyFont="0" applyFill="0" applyBorder="0" applyAlignment="0" applyProtection="0"/>
    <xf numFmtId="43" fontId="1" fillId="0" borderId="0" applyFont="0" applyFill="0" applyBorder="0" applyAlignment="0" applyProtection="0"/>
    <xf numFmtId="256" fontId="7" fillId="0" borderId="0" applyFont="0" applyFill="0" applyBorder="0" applyAlignment="0" applyProtection="0"/>
    <xf numFmtId="256" fontId="7" fillId="0" borderId="0" applyFont="0" applyFill="0" applyBorder="0" applyAlignment="0" applyProtection="0"/>
    <xf numFmtId="256" fontId="7" fillId="0" borderId="0" applyFont="0" applyFill="0" applyBorder="0" applyAlignment="0" applyProtection="0"/>
    <xf numFmtId="43" fontId="1" fillId="0" borderId="0" applyFont="0" applyFill="0" applyBorder="0" applyAlignment="0" applyProtection="0"/>
    <xf numFmtId="256"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0"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58" fontId="7" fillId="0" borderId="0" applyFont="0" applyFill="0" applyBorder="0" applyAlignment="0" applyProtection="0"/>
    <xf numFmtId="256"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56"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256" fontId="7" fillId="0" borderId="0" applyFont="0" applyFill="0" applyBorder="0" applyAlignment="0" applyProtection="0"/>
    <xf numFmtId="43" fontId="1" fillId="0" borderId="0" applyFont="0" applyFill="0" applyBorder="0" applyAlignment="0" applyProtection="0"/>
    <xf numFmtId="43" fontId="68" fillId="0" borderId="0" applyFont="0" applyFill="0" applyBorder="0" applyAlignment="0" applyProtection="0"/>
    <xf numFmtId="43" fontId="68" fillId="0" borderId="0" applyFont="0" applyFill="0" applyBorder="0" applyAlignment="0" applyProtection="0"/>
    <xf numFmtId="43" fontId="6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8" fillId="0" borderId="0" applyFont="0" applyFill="0" applyBorder="0" applyAlignment="0" applyProtection="0"/>
    <xf numFmtId="43" fontId="68" fillId="0" borderId="0" applyFont="0" applyFill="0" applyBorder="0" applyAlignment="0" applyProtection="0"/>
    <xf numFmtId="43" fontId="1" fillId="0" borderId="0" applyFont="0" applyFill="0" applyBorder="0" applyAlignment="0" applyProtection="0"/>
    <xf numFmtId="255" fontId="7" fillId="0" borderId="0" applyFont="0" applyFill="0" applyBorder="0" applyAlignment="0" applyProtection="0"/>
    <xf numFmtId="255" fontId="7" fillId="0" borderId="0" applyFont="0" applyFill="0" applyBorder="0" applyAlignment="0" applyProtection="0"/>
    <xf numFmtId="43" fontId="1" fillId="0" borderId="0" applyFont="0" applyFill="0" applyBorder="0" applyAlignment="0" applyProtection="0"/>
    <xf numFmtId="43" fontId="68" fillId="0" borderId="0" applyFont="0" applyFill="0" applyBorder="0" applyAlignment="0" applyProtection="0"/>
    <xf numFmtId="256" fontId="7" fillId="0" borderId="0" applyFont="0" applyFill="0" applyBorder="0" applyAlignment="0" applyProtection="0"/>
    <xf numFmtId="256" fontId="7"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77" fontId="7" fillId="0" borderId="0" applyFont="0" applyFill="0" applyBorder="0" applyAlignment="0" applyProtection="0"/>
    <xf numFmtId="177" fontId="7" fillId="0" borderId="0" applyFont="0" applyFill="0" applyBorder="0" applyAlignment="0" applyProtection="0"/>
    <xf numFmtId="177" fontId="7" fillId="0" borderId="0" applyFont="0" applyFill="0" applyBorder="0" applyAlignment="0" applyProtection="0"/>
    <xf numFmtId="43" fontId="1" fillId="0" borderId="0" applyFont="0" applyFill="0" applyBorder="0" applyAlignment="0" applyProtection="0"/>
    <xf numFmtId="43" fontId="70" fillId="0" borderId="0" applyFont="0" applyFill="0" applyBorder="0" applyAlignment="0" applyProtection="0"/>
    <xf numFmtId="256" fontId="7" fillId="0" borderId="0" applyFont="0" applyFill="0" applyBorder="0" applyAlignment="0" applyProtection="0"/>
    <xf numFmtId="255" fontId="7" fillId="0" borderId="0" applyFont="0" applyFill="0" applyBorder="0" applyAlignment="0" applyProtection="0"/>
    <xf numFmtId="256" fontId="7"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255" fontId="7" fillId="0" borderId="0" applyFont="0" applyFill="0" applyBorder="0" applyAlignment="0" applyProtection="0"/>
    <xf numFmtId="43" fontId="70" fillId="0" borderId="0" applyFont="0" applyFill="0" applyBorder="0" applyAlignment="0" applyProtection="0"/>
    <xf numFmtId="256" fontId="7" fillId="0" borderId="0" applyFont="0" applyFill="0" applyBorder="0" applyAlignment="0" applyProtection="0"/>
    <xf numFmtId="256" fontId="7" fillId="0" borderId="0" applyFont="0" applyFill="0" applyBorder="0" applyAlignment="0" applyProtection="0"/>
    <xf numFmtId="43" fontId="70" fillId="0" borderId="0" applyFont="0" applyFill="0" applyBorder="0" applyAlignment="0" applyProtection="0"/>
    <xf numFmtId="255" fontId="7" fillId="0" borderId="0" applyFont="0" applyFill="0" applyBorder="0" applyAlignment="0" applyProtection="0"/>
    <xf numFmtId="43" fontId="70" fillId="0" borderId="0" applyFont="0" applyFill="0" applyBorder="0" applyAlignment="0" applyProtection="0"/>
    <xf numFmtId="256" fontId="7" fillId="0" borderId="0" applyFont="0" applyFill="0" applyBorder="0" applyAlignment="0" applyProtection="0"/>
    <xf numFmtId="43" fontId="1" fillId="0" borderId="0" applyFont="0" applyFill="0" applyBorder="0" applyAlignment="0" applyProtection="0"/>
    <xf numFmtId="256" fontId="7" fillId="0" borderId="0" applyFont="0" applyFill="0" applyBorder="0" applyAlignment="0" applyProtection="0"/>
    <xf numFmtId="43" fontId="1" fillId="0" borderId="0" applyFont="0" applyFill="0" applyBorder="0" applyAlignment="0" applyProtection="0"/>
    <xf numFmtId="256" fontId="7" fillId="0" borderId="0" applyFont="0" applyFill="0" applyBorder="0" applyAlignment="0" applyProtection="0"/>
    <xf numFmtId="43" fontId="70" fillId="0" borderId="0" applyFont="0" applyFill="0" applyBorder="0" applyAlignment="0" applyProtection="0"/>
    <xf numFmtId="256"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255" fontId="7"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255" fontId="7" fillId="0" borderId="0" applyFont="0" applyFill="0" applyBorder="0" applyAlignment="0" applyProtection="0"/>
    <xf numFmtId="256" fontId="7" fillId="0" borderId="0" applyFont="0" applyFill="0" applyBorder="0" applyAlignment="0" applyProtection="0"/>
    <xf numFmtId="256" fontId="7" fillId="0" borderId="0" applyFont="0" applyFill="0" applyBorder="0" applyAlignment="0" applyProtection="0"/>
    <xf numFmtId="255" fontId="7" fillId="0" borderId="0" applyFont="0" applyFill="0" applyBorder="0" applyAlignment="0" applyProtection="0"/>
    <xf numFmtId="43" fontId="70" fillId="0" borderId="0" applyFont="0" applyFill="0" applyBorder="0" applyAlignment="0" applyProtection="0"/>
    <xf numFmtId="255" fontId="7" fillId="0" borderId="0" applyFont="0" applyFill="0" applyBorder="0" applyAlignment="0" applyProtection="0"/>
    <xf numFmtId="256" fontId="7" fillId="0" borderId="0" applyFont="0" applyFill="0" applyBorder="0" applyAlignment="0" applyProtection="0"/>
    <xf numFmtId="256" fontId="7"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255" fontId="7" fillId="0" borderId="0" applyFont="0" applyFill="0" applyBorder="0" applyAlignment="0" applyProtection="0"/>
    <xf numFmtId="256" fontId="7" fillId="0" borderId="0" applyFont="0" applyFill="0" applyBorder="0" applyAlignment="0" applyProtection="0"/>
    <xf numFmtId="255" fontId="7" fillId="0" borderId="0" applyFont="0" applyFill="0" applyBorder="0" applyAlignment="0" applyProtection="0"/>
    <xf numFmtId="256"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5" fillId="0" borderId="0" applyFont="0" applyFill="0" applyBorder="0" applyAlignment="0" applyProtection="0"/>
    <xf numFmtId="43" fontId="68" fillId="0" borderId="0" applyFont="0" applyFill="0" applyBorder="0" applyAlignment="0" applyProtection="0"/>
    <xf numFmtId="256" fontId="7" fillId="0" borderId="0" applyFont="0" applyFill="0" applyBorder="0" applyAlignment="0" applyProtection="0"/>
    <xf numFmtId="255" fontId="7" fillId="0" borderId="0" applyFont="0" applyFill="0" applyBorder="0" applyAlignment="0" applyProtection="0"/>
    <xf numFmtId="256" fontId="7" fillId="0" borderId="0" applyFont="0" applyFill="0" applyBorder="0" applyAlignment="0" applyProtection="0"/>
    <xf numFmtId="255"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70"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7" fillId="0" borderId="0" applyFont="0" applyFill="0" applyBorder="0" applyAlignment="0" applyProtection="0"/>
    <xf numFmtId="44" fontId="35"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232" fillId="0" borderId="0" applyNumberFormat="0" applyFill="0" applyBorder="0" applyAlignment="0" applyProtection="0">
      <alignment vertical="top"/>
      <protection locked="0"/>
    </xf>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alignment vertical="center"/>
    </xf>
    <xf numFmtId="0" fontId="3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7" fillId="0" borderId="0"/>
    <xf numFmtId="0" fontId="1" fillId="0" borderId="0"/>
    <xf numFmtId="0" fontId="1" fillId="0" borderId="0"/>
    <xf numFmtId="0" fontId="7" fillId="0" borderId="0"/>
    <xf numFmtId="0" fontId="7"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35" fillId="0" borderId="0"/>
    <xf numFmtId="0" fontId="3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0" fillId="0" borderId="0"/>
    <xf numFmtId="0" fontId="1" fillId="0" borderId="0"/>
    <xf numFmtId="0" fontId="70" fillId="0" borderId="0"/>
    <xf numFmtId="0" fontId="7" fillId="0" borderId="0"/>
    <xf numFmtId="0" fontId="7" fillId="0" borderId="0"/>
    <xf numFmtId="0" fontId="70" fillId="0" borderId="0"/>
    <xf numFmtId="0" fontId="7" fillId="0" borderId="0"/>
    <xf numFmtId="0" fontId="7" fillId="0" borderId="0"/>
    <xf numFmtId="0" fontId="70" fillId="0" borderId="0"/>
    <xf numFmtId="0" fontId="7" fillId="0" borderId="0"/>
    <xf numFmtId="0" fontId="7" fillId="0" borderId="0">
      <alignment vertical="center"/>
    </xf>
    <xf numFmtId="0" fontId="7" fillId="0" borderId="0"/>
    <xf numFmtId="0" fontId="35"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35" fillId="0" borderId="0"/>
    <xf numFmtId="0" fontId="7" fillId="0" borderId="0">
      <alignment vertical="center"/>
    </xf>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5" fillId="0" borderId="0"/>
    <xf numFmtId="0" fontId="5" fillId="0" borderId="0"/>
    <xf numFmtId="0" fontId="7"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9" fontId="7" fillId="0" borderId="0" applyFont="0" applyFill="0" applyBorder="0" applyAlignment="0" applyProtection="0"/>
    <xf numFmtId="9" fontId="70" fillId="0" borderId="0" applyFont="0" applyFill="0" applyBorder="0" applyAlignment="0" applyProtection="0"/>
    <xf numFmtId="9" fontId="70" fillId="0" borderId="0" applyFont="0" applyFill="0" applyBorder="0" applyAlignment="0" applyProtection="0"/>
    <xf numFmtId="9" fontId="1" fillId="0" borderId="0" applyFont="0" applyFill="0" applyBorder="0" applyAlignment="0" applyProtection="0"/>
    <xf numFmtId="9" fontId="70" fillId="0" borderId="0" applyFont="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7" fillId="0" borderId="0" applyFont="0" applyFill="0" applyBorder="0" applyAlignment="0" applyProtection="0"/>
    <xf numFmtId="0" fontId="232" fillId="0" borderId="0" applyNumberFormat="0" applyFill="0" applyBorder="0" applyAlignment="0" applyProtection="0">
      <alignment vertical="top"/>
      <protection locked="0"/>
    </xf>
    <xf numFmtId="0" fontId="139" fillId="0" borderId="0" applyNumberFormat="0" applyFill="0" applyBorder="0" applyAlignment="0" applyProtection="0"/>
    <xf numFmtId="0" fontId="1" fillId="0" borderId="0"/>
    <xf numFmtId="0" fontId="35" fillId="0" borderId="0"/>
    <xf numFmtId="0" fontId="35" fillId="0" borderId="0"/>
    <xf numFmtId="0" fontId="230" fillId="0" borderId="0"/>
    <xf numFmtId="43" fontId="231"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43" fontId="234" fillId="0" borderId="0" applyFont="0" applyFill="0" applyBorder="0" applyAlignment="0" applyProtection="0"/>
    <xf numFmtId="44" fontId="234" fillId="0" borderId="0" applyFont="0" applyFill="0" applyBorder="0" applyAlignment="0" applyProtection="0"/>
    <xf numFmtId="43" fontId="1" fillId="0" borderId="0" applyFont="0" applyFill="0" applyBorder="0" applyAlignment="0" applyProtection="0"/>
    <xf numFmtId="259" fontId="235" fillId="0" borderId="0" applyFont="0" applyFill="0" applyBorder="0" applyAlignment="0" applyProtection="0"/>
    <xf numFmtId="260" fontId="235" fillId="0" borderId="0" applyFont="0" applyFill="0" applyBorder="0" applyAlignment="0" applyProtection="0"/>
    <xf numFmtId="261" fontId="235" fillId="0" borderId="0" applyFont="0" applyFill="0" applyBorder="0" applyAlignment="0" applyProtection="0"/>
    <xf numFmtId="262" fontId="235" fillId="0" borderId="0" applyFont="0" applyFill="0" applyBorder="0" applyAlignment="0" applyProtection="0"/>
    <xf numFmtId="0" fontId="1" fillId="0" borderId="0"/>
    <xf numFmtId="44" fontId="1" fillId="0" borderId="0" applyFont="0" applyFill="0" applyBorder="0" applyAlignment="0" applyProtection="0"/>
    <xf numFmtId="0" fontId="236" fillId="0" borderId="78">
      <alignment horizontal="left"/>
    </xf>
    <xf numFmtId="0" fontId="237" fillId="0" borderId="78">
      <alignment horizontal="left" wrapText="1"/>
    </xf>
    <xf numFmtId="0" fontId="237" fillId="0" borderId="0">
      <alignment horizontal="right" vertical="center"/>
    </xf>
    <xf numFmtId="0" fontId="140" fillId="0" borderId="0" applyFill="0" applyBorder="0" applyProtection="0">
      <alignment horizontal="center" vertical="center"/>
    </xf>
    <xf numFmtId="0" fontId="236" fillId="0" borderId="0">
      <alignment horizontal="center" vertical="center" wrapText="1"/>
    </xf>
    <xf numFmtId="0" fontId="145" fillId="0" borderId="33">
      <alignment horizontal="center"/>
    </xf>
    <xf numFmtId="255" fontId="7" fillId="0" borderId="0" applyFont="0" applyFill="0" applyBorder="0" applyAlignment="0" applyProtection="0"/>
    <xf numFmtId="255" fontId="7" fillId="0" borderId="0" applyFont="0" applyFill="0" applyBorder="0" applyAlignment="0" applyProtection="0"/>
    <xf numFmtId="257"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0"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255"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255" fontId="7" fillId="0" borderId="0" applyFont="0" applyFill="0" applyBorder="0" applyAlignment="0" applyProtection="0"/>
    <xf numFmtId="43" fontId="70" fillId="0" borderId="0" applyFont="0" applyFill="0" applyBorder="0" applyAlignment="0" applyProtection="0"/>
    <xf numFmtId="255" fontId="7" fillId="0" borderId="0" applyFont="0" applyFill="0" applyBorder="0" applyAlignment="0" applyProtection="0"/>
    <xf numFmtId="255"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263" fontId="238" fillId="0" borderId="0" applyFill="0" applyBorder="0" applyProtection="0"/>
    <xf numFmtId="264" fontId="219"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70" fillId="0" borderId="0" applyFont="0" applyFill="0" applyBorder="0" applyAlignment="0" applyProtection="0"/>
    <xf numFmtId="44" fontId="7" fillId="0" borderId="0" applyFont="0" applyFill="0" applyBorder="0" applyAlignment="0" applyProtection="0"/>
    <xf numFmtId="44" fontId="70"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70" fillId="0" borderId="0" applyFont="0" applyFill="0" applyBorder="0" applyAlignment="0" applyProtection="0"/>
    <xf numFmtId="9" fontId="7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7" fillId="0" borderId="0" applyFont="0" applyFill="0" applyBorder="0" applyAlignment="0" applyProtection="0"/>
    <xf numFmtId="0" fontId="237" fillId="0" borderId="0">
      <alignment horizontal="left" vertical="center" wrapText="1"/>
    </xf>
    <xf numFmtId="0" fontId="236" fillId="0" borderId="0">
      <alignment horizontal="left" vertical="center" wrapText="1"/>
    </xf>
    <xf numFmtId="43" fontId="7" fillId="0" borderId="0" applyFont="0" applyFill="0" applyBorder="0" applyAlignment="0" applyProtection="0"/>
    <xf numFmtId="0" fontId="1" fillId="0" borderId="0"/>
    <xf numFmtId="0" fontId="7" fillId="0" borderId="0"/>
    <xf numFmtId="0" fontId="1" fillId="0" borderId="0"/>
    <xf numFmtId="193" fontId="48" fillId="0" borderId="79" applyFill="0" applyBorder="0" applyProtection="0">
      <alignment horizontal="right"/>
      <protection locked="0"/>
    </xf>
    <xf numFmtId="194" fontId="48" fillId="0" borderId="79" applyFill="0" applyBorder="0" applyProtection="0">
      <alignment horizontal="right"/>
      <protection locked="0"/>
    </xf>
    <xf numFmtId="195" fontId="48" fillId="0" borderId="79" applyFill="0" applyBorder="0" applyProtection="0">
      <alignment horizontal="right"/>
      <protection locked="0"/>
    </xf>
    <xf numFmtId="0" fontId="75" fillId="0" borderId="80" applyNumberFormat="0" applyAlignment="0" applyProtection="0">
      <alignment horizontal="left" vertical="center"/>
    </xf>
    <xf numFmtId="0" fontId="75" fillId="0" borderId="26">
      <alignment horizontal="left" vertical="center"/>
    </xf>
    <xf numFmtId="197" fontId="48" fillId="0" borderId="81" applyFill="0" applyBorder="0" applyProtection="0">
      <alignment horizontal="center"/>
      <protection locked="0"/>
    </xf>
    <xf numFmtId="198" fontId="48" fillId="0" borderId="81" applyFill="0" applyBorder="0" applyProtection="0">
      <alignment horizontal="center"/>
      <protection locked="0"/>
    </xf>
    <xf numFmtId="203" fontId="48" fillId="0" borderId="81" applyFill="0" applyBorder="0" applyProtection="0">
      <alignment horizontal="center"/>
      <protection locked="0"/>
    </xf>
    <xf numFmtId="206" fontId="48" fillId="0" borderId="81" applyFill="0" applyBorder="0" applyProtection="0">
      <alignment horizontal="center"/>
      <protection locked="0"/>
    </xf>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1" fillId="12" borderId="0" applyNumberFormat="0" applyBorder="0" applyAlignment="0" applyProtection="0"/>
    <xf numFmtId="0" fontId="1" fillId="14"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13" borderId="0" applyNumberFormat="0" applyBorder="0" applyAlignment="0" applyProtection="0"/>
    <xf numFmtId="0" fontId="1" fillId="15" borderId="0" applyNumberFormat="0" applyBorder="0" applyAlignment="0" applyProtection="0"/>
    <xf numFmtId="0" fontId="1" fillId="17" borderId="0" applyNumberFormat="0" applyBorder="0" applyAlignment="0" applyProtection="0"/>
    <xf numFmtId="0" fontId="1" fillId="19" borderId="0" applyNumberFormat="0" applyBorder="0" applyAlignment="0" applyProtection="0"/>
    <xf numFmtId="0" fontId="1" fillId="21" borderId="0" applyNumberFormat="0" applyBorder="0" applyAlignment="0" applyProtection="0"/>
    <xf numFmtId="0" fontId="1" fillId="23" borderId="0" applyNumberFormat="0" applyBorder="0" applyAlignment="0" applyProtection="0"/>
    <xf numFmtId="43" fontId="1" fillId="0" borderId="0" applyFont="0" applyFill="0" applyBorder="0" applyAlignment="0" applyProtection="0"/>
    <xf numFmtId="0" fontId="139" fillId="0" borderId="0" applyNumberFormat="0" applyFill="0" applyBorder="0" applyAlignment="0" applyProtection="0"/>
    <xf numFmtId="43" fontId="35" fillId="0" borderId="0" applyFont="0" applyFill="0" applyBorder="0" applyAlignment="0" applyProtection="0"/>
    <xf numFmtId="0" fontId="1"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39" fillId="0" borderId="0" applyNumberFormat="0" applyFill="0" applyBorder="0" applyAlignment="0" applyProtection="0"/>
    <xf numFmtId="265" fontId="7" fillId="0" borderId="0"/>
    <xf numFmtId="0" fontId="35" fillId="0" borderId="0"/>
    <xf numFmtId="0" fontId="1" fillId="0" borderId="0"/>
    <xf numFmtId="0" fontId="1" fillId="0" borderId="0"/>
    <xf numFmtId="0" fontId="1" fillId="0" borderId="0"/>
    <xf numFmtId="0" fontId="1" fillId="11" borderId="32" applyNumberFormat="0" applyFont="0" applyAlignment="0" applyProtection="0"/>
    <xf numFmtId="9" fontId="3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1" fillId="0" borderId="0"/>
    <xf numFmtId="0" fontId="139" fillId="0" borderId="0" applyNumberFormat="0" applyFill="0" applyBorder="0" applyAlignment="0" applyProtection="0"/>
    <xf numFmtId="0" fontId="1" fillId="0" borderId="0"/>
    <xf numFmtId="0" fontId="1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39"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9" fontId="203" fillId="0" borderId="0" applyFon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5" fontId="203" fillId="0" borderId="0" applyFon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43" fontId="200" fillId="0" borderId="0" applyFont="0" applyFill="0" applyBorder="0" applyAlignment="0" applyProtection="0"/>
    <xf numFmtId="9" fontId="200" fillId="0" borderId="0" applyFont="0" applyFill="0" applyBorder="0" applyAlignment="0" applyProtection="0"/>
    <xf numFmtId="44" fontId="200" fillId="0" borderId="0" applyFont="0" applyFill="0" applyBorder="0" applyAlignment="0" applyProtection="0"/>
    <xf numFmtId="0" fontId="139" fillId="0" borderId="0" applyNumberFormat="0" applyFill="0" applyBorder="0" applyAlignment="0" applyProtection="0"/>
    <xf numFmtId="0" fontId="200"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200" fillId="0" borderId="0"/>
    <xf numFmtId="44" fontId="200" fillId="0" borderId="0" applyFont="0" applyFill="0" applyBorder="0" applyAlignment="0" applyProtection="0"/>
    <xf numFmtId="9" fontId="200" fillId="0" borderId="0" applyFont="0" applyFill="0" applyBorder="0" applyAlignment="0" applyProtection="0"/>
    <xf numFmtId="43" fontId="200" fillId="0" borderId="0" applyFont="0" applyFill="0" applyBorder="0" applyAlignment="0" applyProtection="0"/>
    <xf numFmtId="5" fontId="203" fillId="0" borderId="0" applyFont="0" applyFill="0" applyBorder="0" applyAlignment="0" applyProtection="0"/>
    <xf numFmtId="9" fontId="203" fillId="0" borderId="0" applyFont="0" applyFill="0" applyBorder="0" applyAlignment="0" applyProtection="0"/>
    <xf numFmtId="0" fontId="203" fillId="0" borderId="25" applyNumberFormat="0" applyFont="0" applyFill="0" applyAlignment="0" applyProtection="0"/>
    <xf numFmtId="0" fontId="93" fillId="41" borderId="41" applyNumberFormat="0" applyAlignment="0" applyProtection="0"/>
    <xf numFmtId="17" fontId="40" fillId="0" borderId="25" applyFont="0" applyFill="0" applyBorder="0" applyAlignment="0" applyProtection="0"/>
    <xf numFmtId="0" fontId="106" fillId="33" borderId="41" applyNumberFormat="0" applyAlignment="0" applyProtection="0"/>
    <xf numFmtId="240" fontId="7" fillId="0" borderId="0" applyFont="0" applyFill="0" applyBorder="0" applyAlignment="0" applyProtection="0"/>
    <xf numFmtId="0" fontId="9" fillId="80" borderId="77">
      <alignment horizontal="left" vertical="center" wrapText="1"/>
    </xf>
    <xf numFmtId="0" fontId="201" fillId="43" borderId="52" applyNumberFormat="0" applyFont="0" applyAlignment="0" applyProtection="0"/>
    <xf numFmtId="0" fontId="70" fillId="37" borderId="52" applyNumberFormat="0" applyFont="0" applyAlignment="0" applyProtection="0"/>
    <xf numFmtId="0" fontId="114" fillId="55" borderId="53" applyNumberFormat="0" applyAlignment="0" applyProtection="0"/>
    <xf numFmtId="0" fontId="114" fillId="41" borderId="53" applyNumberFormat="0" applyAlignment="0" applyProtection="0"/>
    <xf numFmtId="0" fontId="203" fillId="0" borderId="25" applyNumberFormat="0" applyFont="0" applyFill="0" applyAlignment="0" applyProtection="0"/>
    <xf numFmtId="0" fontId="203" fillId="0" borderId="25" applyNumberFormat="0" applyFont="0" applyFill="0" applyAlignment="0" applyProtection="0"/>
    <xf numFmtId="0" fontId="203" fillId="0" borderId="25" applyNumberFormat="0" applyFont="0" applyFill="0" applyAlignment="0" applyProtection="0"/>
    <xf numFmtId="0" fontId="203" fillId="0" borderId="25" applyNumberFormat="0" applyFont="0" applyFill="0" applyAlignment="0" applyProtection="0"/>
    <xf numFmtId="240" fontId="7" fillId="0" borderId="0" applyFont="0" applyFill="0" applyBorder="0" applyAlignment="0" applyProtection="0"/>
    <xf numFmtId="17" fontId="40" fillId="0" borderId="25" applyFont="0" applyFill="0" applyBorder="0" applyAlignment="0" applyProtection="0"/>
    <xf numFmtId="0" fontId="203" fillId="0" borderId="25" applyNumberFormat="0" applyFont="0" applyFill="0" applyAlignment="0" applyProtection="0"/>
    <xf numFmtId="9" fontId="203" fillId="0" borderId="0" applyFont="0" applyFill="0" applyBorder="0" applyAlignment="0" applyProtection="0"/>
    <xf numFmtId="5" fontId="203" fillId="0" borderId="0" applyFont="0" applyFill="0" applyBorder="0" applyAlignment="0" applyProtection="0"/>
    <xf numFmtId="0" fontId="202" fillId="0" borderId="82"/>
    <xf numFmtId="43" fontId="200" fillId="0" borderId="0" applyFont="0" applyFill="0" applyBorder="0" applyAlignment="0" applyProtection="0"/>
    <xf numFmtId="9" fontId="200" fillId="0" borderId="0" applyFont="0" applyFill="0" applyBorder="0" applyAlignment="0" applyProtection="0"/>
    <xf numFmtId="44" fontId="200" fillId="0" borderId="0" applyFont="0" applyFill="0" applyBorder="0" applyAlignment="0" applyProtection="0"/>
    <xf numFmtId="0" fontId="200" fillId="0" borderId="0"/>
    <xf numFmtId="0" fontId="75" fillId="0" borderId="83" applyNumberFormat="0" applyAlignment="0" applyProtection="0">
      <alignment horizontal="left" vertical="center"/>
    </xf>
    <xf numFmtId="197" fontId="48" fillId="0" borderId="84" applyFill="0" applyBorder="0" applyProtection="0">
      <alignment horizontal="center"/>
      <protection locked="0"/>
    </xf>
    <xf numFmtId="198" fontId="48" fillId="0" borderId="84" applyFill="0" applyBorder="0" applyProtection="0">
      <alignment horizontal="center"/>
      <protection locked="0"/>
    </xf>
    <xf numFmtId="203" fontId="48" fillId="0" borderId="84" applyFill="0" applyBorder="0" applyProtection="0">
      <alignment horizontal="center"/>
      <protection locked="0"/>
    </xf>
    <xf numFmtId="0" fontId="93" fillId="41" borderId="41" applyNumberFormat="0" applyAlignment="0" applyProtection="0"/>
    <xf numFmtId="0" fontId="94" fillId="55" borderId="41" applyNumberFormat="0" applyAlignment="0" applyProtection="0"/>
    <xf numFmtId="0" fontId="106" fillId="33" borderId="41" applyNumberFormat="0" applyAlignment="0" applyProtection="0"/>
    <xf numFmtId="0" fontId="107" fillId="43" borderId="41" applyNumberFormat="0" applyAlignment="0" applyProtection="0"/>
    <xf numFmtId="0" fontId="114" fillId="41" borderId="53" applyNumberFormat="0" applyAlignment="0" applyProtection="0"/>
    <xf numFmtId="0" fontId="115" fillId="55" borderId="54" applyNumberFormat="0" applyAlignment="0" applyProtection="0"/>
    <xf numFmtId="1" fontId="91" fillId="0" borderId="55" applyNumberFormat="0" applyFont="0" applyFill="0" applyAlignment="0" applyProtection="0">
      <alignment horizontal="center"/>
    </xf>
    <xf numFmtId="0" fontId="119" fillId="0" borderId="56" applyNumberFormat="0" applyFill="0" applyAlignment="0" applyProtection="0"/>
    <xf numFmtId="0" fontId="119" fillId="0" borderId="57" applyNumberFormat="0" applyFill="0" applyAlignment="0" applyProtection="0"/>
    <xf numFmtId="44" fontId="1" fillId="0" borderId="0" applyFont="0" applyFill="0" applyBorder="0" applyAlignment="0" applyProtection="0"/>
    <xf numFmtId="0" fontId="7" fillId="0" borderId="0"/>
    <xf numFmtId="0" fontId="121" fillId="0" borderId="0" applyNumberFormat="0" applyBorder="0" applyAlignment="0"/>
    <xf numFmtId="0" fontId="7" fillId="0" borderId="0"/>
    <xf numFmtId="206" fontId="48" fillId="0" borderId="84" applyFill="0" applyBorder="0" applyProtection="0">
      <alignment horizontal="center"/>
      <protection locked="0"/>
    </xf>
    <xf numFmtId="0" fontId="239" fillId="0" borderId="58" applyNumberFormat="0" applyFill="0" applyAlignment="0" applyProtection="0"/>
    <xf numFmtId="0" fontId="240" fillId="0" borderId="59" applyNumberFormat="0" applyFill="0" applyAlignment="0" applyProtection="0"/>
    <xf numFmtId="0" fontId="241" fillId="0" borderId="60" applyNumberFormat="0" applyFill="0" applyAlignment="0" applyProtection="0"/>
    <xf numFmtId="0" fontId="241" fillId="0" borderId="0" applyNumberFormat="0" applyFill="0" applyBorder="0" applyAlignment="0" applyProtection="0"/>
    <xf numFmtId="0" fontId="242" fillId="59" borderId="0" applyNumberFormat="0" applyBorder="0" applyAlignment="0" applyProtection="0"/>
    <xf numFmtId="0" fontId="243" fillId="60" borderId="0" applyNumberFormat="0" applyBorder="0" applyAlignment="0" applyProtection="0"/>
    <xf numFmtId="0" fontId="244" fillId="61" borderId="0" applyNumberFormat="0" applyBorder="0" applyAlignment="0" applyProtection="0"/>
    <xf numFmtId="0" fontId="245" fillId="62" borderId="61" applyNumberFormat="0" applyAlignment="0" applyProtection="0"/>
    <xf numFmtId="0" fontId="246" fillId="63" borderId="62" applyNumberFormat="0" applyAlignment="0" applyProtection="0"/>
    <xf numFmtId="0" fontId="247" fillId="63" borderId="61" applyNumberFormat="0" applyAlignment="0" applyProtection="0"/>
    <xf numFmtId="0" fontId="248" fillId="0" borderId="63" applyNumberFormat="0" applyFill="0" applyAlignment="0" applyProtection="0"/>
    <xf numFmtId="0" fontId="249" fillId="64" borderId="64" applyNumberFormat="0" applyAlignment="0" applyProtection="0"/>
    <xf numFmtId="0" fontId="250" fillId="0" borderId="0" applyNumberFormat="0" applyFill="0" applyBorder="0" applyAlignment="0" applyProtection="0"/>
    <xf numFmtId="0" fontId="200" fillId="11" borderId="32" applyNumberFormat="0" applyFont="0" applyAlignment="0" applyProtection="0"/>
    <xf numFmtId="0" fontId="251" fillId="0" borderId="0" applyNumberFormat="0" applyFill="0" applyBorder="0" applyAlignment="0" applyProtection="0"/>
    <xf numFmtId="0" fontId="252" fillId="0" borderId="65" applyNumberFormat="0" applyFill="0" applyAlignment="0" applyProtection="0"/>
    <xf numFmtId="0" fontId="239" fillId="0" borderId="58" applyNumberFormat="0" applyFill="0" applyAlignment="0" applyProtection="0"/>
    <xf numFmtId="0" fontId="240" fillId="0" borderId="59" applyNumberFormat="0" applyFill="0" applyAlignment="0" applyProtection="0"/>
    <xf numFmtId="0" fontId="241" fillId="0" borderId="60" applyNumberFormat="0" applyFill="0" applyAlignment="0" applyProtection="0"/>
    <xf numFmtId="0" fontId="241" fillId="0" borderId="0" applyNumberFormat="0" applyFill="0" applyBorder="0" applyAlignment="0" applyProtection="0"/>
    <xf numFmtId="0" fontId="242" fillId="59" borderId="0" applyNumberFormat="0" applyBorder="0" applyAlignment="0" applyProtection="0"/>
    <xf numFmtId="0" fontId="243" fillId="60" borderId="0" applyNumberFormat="0" applyBorder="0" applyAlignment="0" applyProtection="0"/>
    <xf numFmtId="0" fontId="244" fillId="61" borderId="0" applyNumberFormat="0" applyBorder="0" applyAlignment="0" applyProtection="0"/>
    <xf numFmtId="0" fontId="245" fillId="62" borderId="61" applyNumberFormat="0" applyAlignment="0" applyProtection="0"/>
    <xf numFmtId="0" fontId="246" fillId="63" borderId="62" applyNumberFormat="0" applyAlignment="0" applyProtection="0"/>
    <xf numFmtId="0" fontId="247" fillId="63" borderId="61" applyNumberFormat="0" applyAlignment="0" applyProtection="0"/>
    <xf numFmtId="0" fontId="248" fillId="0" borderId="63" applyNumberFormat="0" applyFill="0" applyAlignment="0" applyProtection="0"/>
    <xf numFmtId="0" fontId="249" fillId="64" borderId="64" applyNumberFormat="0" applyAlignment="0" applyProtection="0"/>
    <xf numFmtId="0" fontId="250" fillId="0" borderId="0" applyNumberFormat="0" applyFill="0" applyBorder="0" applyAlignment="0" applyProtection="0"/>
    <xf numFmtId="0" fontId="200" fillId="11" borderId="32" applyNumberFormat="0" applyFont="0" applyAlignment="0" applyProtection="0"/>
    <xf numFmtId="0" fontId="251" fillId="0" borderId="0" applyNumberFormat="0" applyFill="0" applyBorder="0" applyAlignment="0" applyProtection="0"/>
    <xf numFmtId="0" fontId="252" fillId="0" borderId="65" applyNumberFormat="0" applyFill="0" applyAlignment="0" applyProtection="0"/>
    <xf numFmtId="5" fontId="203" fillId="0" borderId="0" applyFont="0" applyFill="0" applyBorder="0" applyAlignment="0" applyProtection="0"/>
    <xf numFmtId="8" fontId="203" fillId="0" borderId="0" applyFont="0" applyFill="0" applyBorder="0" applyAlignment="0" applyProtection="0"/>
    <xf numFmtId="9" fontId="203" fillId="0" borderId="0" applyFont="0" applyFill="0" applyBorder="0" applyAlignment="0" applyProtection="0"/>
    <xf numFmtId="10" fontId="203" fillId="0" borderId="0" applyFont="0" applyFill="0" applyBorder="0" applyAlignment="0" applyProtection="0"/>
    <xf numFmtId="0" fontId="203" fillId="0" borderId="19" applyNumberFormat="0" applyFont="0" applyFill="0" applyAlignment="0" applyProtection="0"/>
    <xf numFmtId="0" fontId="203" fillId="0" borderId="20" applyNumberFormat="0" applyFont="0" applyFill="0" applyAlignment="0" applyProtection="0"/>
    <xf numFmtId="0" fontId="203" fillId="0" borderId="34" applyNumberFormat="0" applyFont="0" applyFill="0" applyAlignment="0" applyProtection="0"/>
    <xf numFmtId="0" fontId="203" fillId="0" borderId="25" applyNumberFormat="0" applyFont="0" applyFill="0" applyAlignment="0" applyProtection="0"/>
    <xf numFmtId="14" fontId="203" fillId="0" borderId="0" applyFont="0" applyFill="0" applyBorder="0" applyAlignment="0" applyProtection="0"/>
    <xf numFmtId="0" fontId="1" fillId="0" borderId="0"/>
    <xf numFmtId="5" fontId="203" fillId="0" borderId="0" applyFont="0" applyFill="0" applyBorder="0" applyAlignment="0" applyProtection="0"/>
    <xf numFmtId="0" fontId="252" fillId="0" borderId="65" applyNumberFormat="0" applyFill="0" applyAlignment="0" applyProtection="0"/>
    <xf numFmtId="0" fontId="251" fillId="0" borderId="0" applyNumberFormat="0" applyFill="0" applyBorder="0" applyAlignment="0" applyProtection="0"/>
    <xf numFmtId="0" fontId="200" fillId="11" borderId="32" applyNumberFormat="0" applyFont="0" applyAlignment="0" applyProtection="0"/>
    <xf numFmtId="0" fontId="250" fillId="0" borderId="0" applyNumberFormat="0" applyFill="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03" fillId="0" borderId="0" applyNumberFormat="0" applyFont="0" applyFill="0" applyBorder="0" applyProtection="0">
      <alignment horizontal="left" vertical="top" wrapText="1"/>
    </xf>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248" fillId="0" borderId="63" applyNumberFormat="0" applyFill="0" applyAlignment="0" applyProtection="0"/>
    <xf numFmtId="0" fontId="239" fillId="0" borderId="58" applyNumberFormat="0" applyFill="0" applyAlignment="0" applyProtection="0"/>
    <xf numFmtId="0" fontId="240" fillId="0" borderId="59" applyNumberFormat="0" applyFill="0" applyAlignment="0" applyProtection="0"/>
    <xf numFmtId="0" fontId="241" fillId="0" borderId="60" applyNumberFormat="0" applyFill="0" applyAlignment="0" applyProtection="0"/>
    <xf numFmtId="0" fontId="241" fillId="0" borderId="0" applyNumberFormat="0" applyFill="0" applyBorder="0" applyAlignment="0" applyProtection="0"/>
    <xf numFmtId="0" fontId="242" fillId="59" borderId="0" applyNumberFormat="0" applyBorder="0" applyAlignment="0" applyProtection="0"/>
    <xf numFmtId="0" fontId="243" fillId="60" borderId="0" applyNumberFormat="0" applyBorder="0" applyAlignment="0" applyProtection="0"/>
    <xf numFmtId="0" fontId="244" fillId="61" borderId="0" applyNumberFormat="0" applyBorder="0" applyAlignment="0" applyProtection="0"/>
    <xf numFmtId="0" fontId="245" fillId="62" borderId="61" applyNumberFormat="0" applyAlignment="0" applyProtection="0"/>
    <xf numFmtId="0" fontId="246" fillId="63" borderId="62" applyNumberFormat="0" applyAlignment="0" applyProtection="0"/>
    <xf numFmtId="0" fontId="247" fillId="63" borderId="61" applyNumberFormat="0" applyAlignment="0" applyProtection="0"/>
    <xf numFmtId="0" fontId="248" fillId="0" borderId="63" applyNumberFormat="0" applyFill="0" applyAlignment="0" applyProtection="0"/>
    <xf numFmtId="0" fontId="249" fillId="64" borderId="64" applyNumberFormat="0" applyAlignment="0" applyProtection="0"/>
    <xf numFmtId="0" fontId="250" fillId="0" borderId="0" applyNumberFormat="0" applyFill="0" applyBorder="0" applyAlignment="0" applyProtection="0"/>
    <xf numFmtId="0" fontId="200" fillId="11" borderId="32" applyNumberFormat="0" applyFont="0" applyAlignment="0" applyProtection="0"/>
    <xf numFmtId="0" fontId="251" fillId="0" borderId="0" applyNumberFormat="0" applyFill="0" applyBorder="0" applyAlignment="0" applyProtection="0"/>
    <xf numFmtId="0" fontId="252" fillId="0" borderId="65" applyNumberFormat="0" applyFill="0" applyAlignment="0" applyProtection="0"/>
    <xf numFmtId="0" fontId="246" fillId="63" borderId="62" applyNumberFormat="0" applyAlignment="0" applyProtection="0"/>
    <xf numFmtId="5" fontId="203" fillId="0" borderId="0" applyFont="0" applyFill="0" applyBorder="0" applyAlignment="0" applyProtection="0"/>
    <xf numFmtId="5" fontId="203" fillId="0" borderId="0" applyFont="0" applyFill="0" applyBorder="0" applyAlignment="0" applyProtection="0"/>
    <xf numFmtId="5" fontId="203" fillId="0" borderId="0" applyFont="0" applyFill="0" applyBorder="0" applyAlignment="0" applyProtection="0"/>
    <xf numFmtId="5" fontId="203" fillId="0" borderId="0" applyFont="0" applyFill="0" applyBorder="0" applyAlignment="0" applyProtection="0"/>
    <xf numFmtId="0" fontId="252" fillId="0" borderId="65" applyNumberFormat="0" applyFill="0" applyAlignment="0" applyProtection="0"/>
    <xf numFmtId="0" fontId="251" fillId="0" borderId="0" applyNumberFormat="0" applyFill="0" applyBorder="0" applyAlignment="0" applyProtection="0"/>
    <xf numFmtId="0" fontId="200" fillId="11" borderId="32" applyNumberFormat="0" applyFont="0" applyAlignment="0" applyProtection="0"/>
    <xf numFmtId="0" fontId="250" fillId="0" borderId="0" applyNumberFormat="0" applyFill="0" applyBorder="0" applyAlignment="0" applyProtection="0"/>
    <xf numFmtId="0" fontId="249" fillId="64" borderId="64" applyNumberFormat="0" applyAlignment="0" applyProtection="0"/>
    <xf numFmtId="0" fontId="247" fillId="63" borderId="61" applyNumberFormat="0" applyAlignment="0" applyProtection="0"/>
    <xf numFmtId="0" fontId="245" fillId="62" borderId="61" applyNumberFormat="0" applyAlignment="0" applyProtection="0"/>
    <xf numFmtId="5" fontId="203" fillId="0" borderId="0" applyFont="0" applyFill="0" applyBorder="0" applyAlignment="0" applyProtection="0"/>
    <xf numFmtId="0" fontId="244" fillId="61" borderId="0" applyNumberFormat="0" applyBorder="0" applyAlignment="0" applyProtection="0"/>
    <xf numFmtId="0" fontId="252" fillId="0" borderId="65" applyNumberFormat="0" applyFill="0" applyAlignment="0" applyProtection="0"/>
    <xf numFmtId="0" fontId="251" fillId="0" borderId="0" applyNumberFormat="0" applyFill="0" applyBorder="0" applyAlignment="0" applyProtection="0"/>
    <xf numFmtId="0" fontId="200" fillId="11" borderId="32" applyNumberFormat="0" applyFont="0" applyAlignment="0" applyProtection="0"/>
    <xf numFmtId="0" fontId="250" fillId="0" borderId="0" applyNumberFormat="0" applyFill="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252" fillId="0" borderId="65" applyNumberFormat="0" applyFill="0" applyAlignment="0" applyProtection="0"/>
    <xf numFmtId="0" fontId="251" fillId="0" borderId="0" applyNumberFormat="0" applyFill="0" applyBorder="0" applyAlignment="0" applyProtection="0"/>
    <xf numFmtId="0" fontId="200" fillId="11" borderId="32" applyNumberFormat="0" applyFont="0" applyAlignment="0" applyProtection="0"/>
    <xf numFmtId="0" fontId="250" fillId="0" borderId="0" applyNumberFormat="0" applyFill="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252" fillId="0" borderId="65" applyNumberFormat="0" applyFill="0" applyAlignment="0" applyProtection="0"/>
    <xf numFmtId="0" fontId="251" fillId="0" borderId="0" applyNumberFormat="0" applyFill="0" applyBorder="0" applyAlignment="0" applyProtection="0"/>
    <xf numFmtId="0" fontId="200" fillId="11" borderId="32" applyNumberFormat="0" applyFont="0" applyAlignment="0" applyProtection="0"/>
    <xf numFmtId="0" fontId="250" fillId="0" borderId="0" applyNumberFormat="0" applyFill="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239" fillId="0" borderId="58" applyNumberFormat="0" applyFill="0" applyAlignment="0" applyProtection="0"/>
    <xf numFmtId="0" fontId="240" fillId="0" borderId="59" applyNumberFormat="0" applyFill="0" applyAlignment="0" applyProtection="0"/>
    <xf numFmtId="0" fontId="241" fillId="0" borderId="60" applyNumberFormat="0" applyFill="0" applyAlignment="0" applyProtection="0"/>
    <xf numFmtId="0" fontId="241" fillId="0" borderId="0" applyNumberFormat="0" applyFill="0" applyBorder="0" applyAlignment="0" applyProtection="0"/>
    <xf numFmtId="0" fontId="242" fillId="59" borderId="0" applyNumberFormat="0" applyBorder="0" applyAlignment="0" applyProtection="0"/>
    <xf numFmtId="0" fontId="243" fillId="60" borderId="0" applyNumberFormat="0" applyBorder="0" applyAlignment="0" applyProtection="0"/>
    <xf numFmtId="0" fontId="244" fillId="61" borderId="0" applyNumberFormat="0" applyBorder="0" applyAlignment="0" applyProtection="0"/>
    <xf numFmtId="0" fontId="245" fillId="62" borderId="61" applyNumberFormat="0" applyAlignment="0" applyProtection="0"/>
    <xf numFmtId="0" fontId="246" fillId="63" borderId="62" applyNumberFormat="0" applyAlignment="0" applyProtection="0"/>
    <xf numFmtId="0" fontId="247" fillId="63" borderId="61" applyNumberFormat="0" applyAlignment="0" applyProtection="0"/>
    <xf numFmtId="0" fontId="248" fillId="0" borderId="63" applyNumberFormat="0" applyFill="0" applyAlignment="0" applyProtection="0"/>
    <xf numFmtId="0" fontId="249" fillId="64" borderId="64" applyNumberFormat="0" applyAlignment="0" applyProtection="0"/>
    <xf numFmtId="0" fontId="250" fillId="0" borderId="0" applyNumberFormat="0" applyFill="0" applyBorder="0" applyAlignment="0" applyProtection="0"/>
    <xf numFmtId="0" fontId="200" fillId="11" borderId="32" applyNumberFormat="0" applyFont="0" applyAlignment="0" applyProtection="0"/>
    <xf numFmtId="0" fontId="251" fillId="0" borderId="0" applyNumberFormat="0" applyFill="0" applyBorder="0" applyAlignment="0" applyProtection="0"/>
    <xf numFmtId="0" fontId="252" fillId="0" borderId="65" applyNumberFormat="0" applyFill="0" applyAlignment="0" applyProtection="0"/>
    <xf numFmtId="5" fontId="203" fillId="0" borderId="0" applyFont="0" applyFill="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15" borderId="0" applyNumberFormat="0" applyBorder="0" applyAlignment="0" applyProtection="0"/>
    <xf numFmtId="0" fontId="250" fillId="0" borderId="0" applyNumberFormat="0" applyFill="0" applyBorder="0" applyAlignment="0" applyProtection="0"/>
    <xf numFmtId="0" fontId="1" fillId="15" borderId="0" applyNumberFormat="0" applyBorder="0" applyAlignment="0" applyProtection="0"/>
    <xf numFmtId="0" fontId="239" fillId="0" borderId="58" applyNumberFormat="0" applyFill="0" applyAlignment="0" applyProtection="0"/>
    <xf numFmtId="0" fontId="240" fillId="0" borderId="59" applyNumberFormat="0" applyFill="0" applyAlignment="0" applyProtection="0"/>
    <xf numFmtId="0" fontId="241" fillId="0" borderId="60" applyNumberFormat="0" applyFill="0" applyAlignment="0" applyProtection="0"/>
    <xf numFmtId="0" fontId="241" fillId="0" borderId="0" applyNumberFormat="0" applyFill="0" applyBorder="0" applyAlignment="0" applyProtection="0"/>
    <xf numFmtId="0" fontId="242" fillId="59" borderId="0" applyNumberFormat="0" applyBorder="0" applyAlignment="0" applyProtection="0"/>
    <xf numFmtId="0" fontId="243" fillId="60" borderId="0" applyNumberFormat="0" applyBorder="0" applyAlignment="0" applyProtection="0"/>
    <xf numFmtId="0" fontId="244" fillId="61" borderId="0" applyNumberFormat="0" applyBorder="0" applyAlignment="0" applyProtection="0"/>
    <xf numFmtId="0" fontId="245" fillId="62" borderId="61" applyNumberFormat="0" applyAlignment="0" applyProtection="0"/>
    <xf numFmtId="0" fontId="246" fillId="63" borderId="62" applyNumberFormat="0" applyAlignment="0" applyProtection="0"/>
    <xf numFmtId="0" fontId="247" fillId="63" borderId="61" applyNumberFormat="0" applyAlignment="0" applyProtection="0"/>
    <xf numFmtId="0" fontId="248" fillId="0" borderId="63" applyNumberFormat="0" applyFill="0" applyAlignment="0" applyProtection="0"/>
    <xf numFmtId="0" fontId="249" fillId="64" borderId="64" applyNumberFormat="0" applyAlignment="0" applyProtection="0"/>
    <xf numFmtId="0" fontId="250" fillId="0" borderId="0" applyNumberFormat="0" applyFill="0" applyBorder="0" applyAlignment="0" applyProtection="0"/>
    <xf numFmtId="0" fontId="200" fillId="11" borderId="32" applyNumberFormat="0" applyFont="0" applyAlignment="0" applyProtection="0"/>
    <xf numFmtId="0" fontId="251" fillId="0" borderId="0" applyNumberFormat="0" applyFill="0" applyBorder="0" applyAlignment="0" applyProtection="0"/>
    <xf numFmtId="0" fontId="252" fillId="0" borderId="65" applyNumberFormat="0" applyFill="0" applyAlignment="0" applyProtection="0"/>
    <xf numFmtId="0" fontId="250" fillId="0" borderId="0" applyNumberFormat="0" applyFill="0" applyBorder="0" applyAlignment="0" applyProtection="0"/>
    <xf numFmtId="0" fontId="239" fillId="0" borderId="58" applyNumberFormat="0" applyFill="0" applyAlignment="0" applyProtection="0"/>
    <xf numFmtId="5" fontId="203" fillId="0" borderId="0" applyFont="0" applyFill="0" applyBorder="0" applyAlignment="0" applyProtection="0"/>
    <xf numFmtId="8" fontId="203" fillId="0" borderId="0" applyFont="0" applyFill="0" applyBorder="0" applyAlignment="0" applyProtection="0"/>
    <xf numFmtId="9" fontId="203" fillId="0" borderId="0" applyFont="0" applyFill="0" applyBorder="0" applyAlignment="0" applyProtection="0"/>
    <xf numFmtId="10" fontId="203" fillId="0" borderId="0" applyFont="0" applyFill="0" applyBorder="0" applyAlignment="0" applyProtection="0"/>
    <xf numFmtId="0" fontId="240" fillId="0" borderId="59" applyNumberFormat="0" applyFill="0" applyAlignment="0" applyProtection="0"/>
    <xf numFmtId="0" fontId="241" fillId="0" borderId="0" applyNumberFormat="0" applyFill="0" applyBorder="0" applyAlignment="0" applyProtection="0"/>
    <xf numFmtId="0" fontId="243" fillId="60" borderId="0" applyNumberFormat="0" applyBorder="0" applyAlignment="0" applyProtection="0"/>
    <xf numFmtId="0" fontId="244" fillId="61" borderId="0" applyNumberFormat="0" applyBorder="0" applyAlignment="0" applyProtection="0"/>
    <xf numFmtId="0" fontId="245" fillId="62" borderId="61" applyNumberFormat="0" applyAlignment="0" applyProtection="0"/>
    <xf numFmtId="0" fontId="246" fillId="63" borderId="62" applyNumberFormat="0" applyAlignment="0" applyProtection="0"/>
    <xf numFmtId="0" fontId="247" fillId="63" borderId="61" applyNumberFormat="0" applyAlignment="0" applyProtection="0"/>
    <xf numFmtId="0" fontId="248" fillId="0" borderId="63" applyNumberFormat="0" applyFill="0" applyAlignment="0" applyProtection="0"/>
    <xf numFmtId="0" fontId="249" fillId="64" borderId="64" applyNumberFormat="0" applyAlignment="0" applyProtection="0"/>
    <xf numFmtId="0" fontId="252" fillId="0" borderId="65" applyNumberFormat="0" applyFill="0" applyAlignment="0" applyProtection="0"/>
    <xf numFmtId="0" fontId="1" fillId="13" borderId="0" applyNumberFormat="0" applyBorder="0" applyAlignment="0" applyProtection="0"/>
    <xf numFmtId="0" fontId="251" fillId="0" borderId="0" applyNumberFormat="0" applyFill="0" applyBorder="0" applyAlignment="0" applyProtection="0"/>
    <xf numFmtId="0" fontId="250" fillId="0" borderId="0" applyNumberFormat="0" applyFill="0" applyBorder="0" applyAlignment="0" applyProtection="0"/>
    <xf numFmtId="5" fontId="203" fillId="0" borderId="0" applyFont="0" applyFill="0" applyBorder="0" applyAlignment="0" applyProtection="0"/>
    <xf numFmtId="0" fontId="200" fillId="11" borderId="32" applyNumberFormat="0" applyFont="0" applyAlignment="0" applyProtection="0"/>
    <xf numFmtId="0" fontId="251" fillId="0" borderId="0" applyNumberFormat="0" applyFill="0" applyBorder="0" applyAlignment="0" applyProtection="0"/>
    <xf numFmtId="0" fontId="252" fillId="0" borderId="65" applyNumberFormat="0" applyFill="0" applyAlignment="0" applyProtection="0"/>
    <xf numFmtId="0" fontId="1" fillId="15" borderId="0" applyNumberFormat="0" applyBorder="0" applyAlignment="0" applyProtection="0"/>
    <xf numFmtId="0" fontId="251" fillId="0" borderId="0" applyNumberFormat="0" applyFill="0" applyBorder="0" applyAlignment="0" applyProtection="0"/>
    <xf numFmtId="0" fontId="1" fillId="0" borderId="0"/>
    <xf numFmtId="0" fontId="250" fillId="0" borderId="0" applyNumberFormat="0" applyFill="0" applyBorder="0" applyAlignment="0" applyProtection="0"/>
    <xf numFmtId="5" fontId="203" fillId="0" borderId="0" applyFont="0" applyFill="0" applyBorder="0" applyAlignment="0" applyProtection="0"/>
    <xf numFmtId="0" fontId="200" fillId="11" borderId="32" applyNumberFormat="0" applyFont="0" applyAlignment="0" applyProtection="0"/>
    <xf numFmtId="0" fontId="251" fillId="0" borderId="0" applyNumberFormat="0" applyFill="0" applyBorder="0" applyAlignment="0" applyProtection="0"/>
    <xf numFmtId="0" fontId="252" fillId="0" borderId="65" applyNumberFormat="0" applyFill="0" applyAlignment="0" applyProtection="0"/>
    <xf numFmtId="0" fontId="1" fillId="15" borderId="0" applyNumberFormat="0" applyBorder="0" applyAlignment="0" applyProtection="0"/>
    <xf numFmtId="0" fontId="251" fillId="0" borderId="0" applyNumberFormat="0" applyFill="0" applyBorder="0" applyAlignment="0" applyProtection="0"/>
    <xf numFmtId="0" fontId="250" fillId="0" borderId="0" applyNumberFormat="0" applyFill="0" applyBorder="0" applyAlignment="0" applyProtection="0"/>
    <xf numFmtId="0" fontId="200" fillId="11" borderId="32" applyNumberFormat="0" applyFont="0" applyAlignment="0" applyProtection="0"/>
    <xf numFmtId="0" fontId="251" fillId="0" borderId="0" applyNumberFormat="0" applyFill="0" applyBorder="0" applyAlignment="0" applyProtection="0"/>
    <xf numFmtId="0" fontId="252" fillId="0" borderId="65" applyNumberFormat="0" applyFill="0" applyAlignment="0" applyProtection="0"/>
    <xf numFmtId="0" fontId="251" fillId="0" borderId="0" applyNumberFormat="0" applyFill="0" applyBorder="0" applyAlignment="0" applyProtection="0"/>
    <xf numFmtId="0" fontId="250" fillId="0" borderId="0" applyNumberFormat="0" applyFill="0" applyBorder="0" applyAlignment="0" applyProtection="0"/>
    <xf numFmtId="0" fontId="200" fillId="11" borderId="32" applyNumberFormat="0" applyFont="0" applyAlignment="0" applyProtection="0"/>
    <xf numFmtId="0" fontId="251" fillId="0" borderId="0" applyNumberFormat="0" applyFill="0" applyBorder="0" applyAlignment="0" applyProtection="0"/>
    <xf numFmtId="0" fontId="250" fillId="0" borderId="0" applyNumberFormat="0" applyFill="0" applyBorder="0" applyAlignment="0" applyProtection="0"/>
    <xf numFmtId="0" fontId="200" fillId="11" borderId="32" applyNumberFormat="0" applyFont="0" applyAlignment="0" applyProtection="0"/>
    <xf numFmtId="0" fontId="250" fillId="0" borderId="0" applyNumberFormat="0" applyFill="0" applyBorder="0" applyAlignment="0" applyProtection="0"/>
    <xf numFmtId="0" fontId="200" fillId="11" borderId="32" applyNumberFormat="0" applyFont="0" applyAlignment="0" applyProtection="0"/>
    <xf numFmtId="0" fontId="250" fillId="0" borderId="0" applyNumberFormat="0" applyFill="0" applyBorder="0" applyAlignment="0" applyProtection="0"/>
    <xf numFmtId="0" fontId="200" fillId="11" borderId="32" applyNumberFormat="0" applyFont="0" applyAlignment="0" applyProtection="0"/>
    <xf numFmtId="0" fontId="250" fillId="0" borderId="0" applyNumberFormat="0" applyFill="0" applyBorder="0" applyAlignment="0" applyProtection="0"/>
    <xf numFmtId="0" fontId="200" fillId="11" borderId="32" applyNumberFormat="0" applyFont="0" applyAlignment="0" applyProtection="0"/>
    <xf numFmtId="0" fontId="250" fillId="0" borderId="0" applyNumberFormat="0" applyFill="0" applyBorder="0" applyAlignment="0" applyProtection="0"/>
    <xf numFmtId="0" fontId="200" fillId="11" borderId="32" applyNumberFormat="0" applyFont="0" applyAlignment="0" applyProtection="0"/>
    <xf numFmtId="0" fontId="203" fillId="0" borderId="19" applyNumberFormat="0" applyFont="0" applyFill="0" applyAlignment="0" applyProtection="0"/>
    <xf numFmtId="0" fontId="203" fillId="0" borderId="20" applyNumberFormat="0" applyFont="0" applyFill="0" applyAlignment="0" applyProtection="0"/>
    <xf numFmtId="0" fontId="203" fillId="0" borderId="34" applyNumberFormat="0" applyFont="0" applyFill="0" applyAlignment="0" applyProtection="0"/>
    <xf numFmtId="0" fontId="203" fillId="0" borderId="25" applyNumberFormat="0" applyFont="0" applyFill="0" applyAlignment="0" applyProtection="0"/>
    <xf numFmtId="0" fontId="1" fillId="11" borderId="32" applyNumberFormat="0" applyFon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14" fontId="203" fillId="0" borderId="0" applyFont="0" applyFill="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0" borderId="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3" borderId="0" applyNumberFormat="0" applyBorder="0" applyAlignment="0" applyProtection="0"/>
    <xf numFmtId="0" fontId="200" fillId="11" borderId="32" applyNumberFormat="0" applyFont="0" applyAlignment="0" applyProtection="0"/>
    <xf numFmtId="0" fontId="250" fillId="0" borderId="0" applyNumberFormat="0" applyFill="0" applyBorder="0" applyAlignment="0" applyProtection="0"/>
    <xf numFmtId="0" fontId="200" fillId="11" borderId="32" applyNumberFormat="0" applyFont="0" applyAlignment="0" applyProtection="0"/>
    <xf numFmtId="0" fontId="200" fillId="11" borderId="32" applyNumberFormat="0" applyFont="0" applyAlignment="0" applyProtection="0"/>
    <xf numFmtId="0" fontId="200" fillId="11" borderId="32" applyNumberFormat="0" applyFont="0" applyAlignment="0" applyProtection="0"/>
    <xf numFmtId="0" fontId="250" fillId="0" borderId="0" applyNumberFormat="0" applyFill="0" applyBorder="0" applyAlignment="0" applyProtection="0"/>
    <xf numFmtId="0" fontId="200" fillId="11" borderId="32" applyNumberFormat="0" applyFont="0" applyAlignment="0" applyProtection="0"/>
    <xf numFmtId="0" fontId="250" fillId="0" borderId="0" applyNumberFormat="0" applyFill="0" applyBorder="0" applyAlignment="0" applyProtection="0"/>
    <xf numFmtId="5" fontId="203" fillId="0" borderId="0" applyFont="0" applyFill="0" applyBorder="0" applyAlignment="0" applyProtection="0"/>
    <xf numFmtId="0" fontId="200" fillId="11" borderId="32" applyNumberFormat="0" applyFont="0" applyAlignment="0" applyProtection="0"/>
    <xf numFmtId="0" fontId="241" fillId="0" borderId="60" applyNumberFormat="0" applyFill="0" applyAlignment="0" applyProtection="0"/>
    <xf numFmtId="0" fontId="250" fillId="0" borderId="0" applyNumberFormat="0" applyFill="0" applyBorder="0" applyAlignment="0" applyProtection="0"/>
    <xf numFmtId="0" fontId="251" fillId="0" borderId="0" applyNumberFormat="0" applyFill="0" applyBorder="0" applyAlignment="0" applyProtection="0"/>
    <xf numFmtId="0" fontId="252" fillId="0" borderId="65" applyNumberFormat="0" applyFill="0" applyAlignment="0" applyProtection="0"/>
    <xf numFmtId="0" fontId="251" fillId="0" borderId="0" applyNumberFormat="0" applyFill="0" applyBorder="0" applyAlignment="0" applyProtection="0"/>
    <xf numFmtId="0" fontId="200" fillId="11" borderId="32" applyNumberFormat="0" applyFont="0" applyAlignment="0" applyProtection="0"/>
    <xf numFmtId="0" fontId="250" fillId="0" borderId="0" applyNumberFormat="0" applyFill="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03" fillId="0" borderId="0" applyNumberFormat="0" applyFont="0" applyFill="0" applyBorder="0" applyProtection="0">
      <alignment horizontal="left" vertical="top" wrapText="1"/>
    </xf>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200" fillId="11" borderId="32" applyNumberFormat="0" applyFont="0" applyAlignment="0" applyProtection="0"/>
    <xf numFmtId="0" fontId="242" fillId="59" borderId="0" applyNumberFormat="0" applyBorder="0" applyAlignment="0" applyProtection="0"/>
    <xf numFmtId="0" fontId="1" fillId="15" borderId="0" applyNumberFormat="0" applyBorder="0" applyAlignment="0" applyProtection="0"/>
    <xf numFmtId="0" fontId="252" fillId="0" borderId="65" applyNumberFormat="0" applyFill="0" applyAlignment="0" applyProtection="0"/>
    <xf numFmtId="5" fontId="203" fillId="0" borderId="0" applyFont="0" applyFill="0" applyBorder="0" applyAlignment="0" applyProtection="0"/>
    <xf numFmtId="0" fontId="1" fillId="21" borderId="0" applyNumberFormat="0" applyBorder="0" applyAlignment="0" applyProtection="0"/>
    <xf numFmtId="0" fontId="251" fillId="0" borderId="0" applyNumberFormat="0" applyFill="0" applyBorder="0" applyAlignment="0" applyProtection="0"/>
    <xf numFmtId="0" fontId="250" fillId="0" borderId="0" applyNumberFormat="0" applyFill="0" applyBorder="0" applyAlignment="0" applyProtection="0"/>
    <xf numFmtId="0" fontId="251" fillId="0" borderId="0" applyNumberFormat="0" applyFill="0" applyBorder="0" applyAlignment="0" applyProtection="0"/>
    <xf numFmtId="0" fontId="200" fillId="11" borderId="32" applyNumberFormat="0" applyFont="0" applyAlignment="0" applyProtection="0"/>
    <xf numFmtId="0" fontId="250" fillId="0" borderId="0" applyNumberFormat="0" applyFill="0" applyBorder="0" applyAlignment="0" applyProtection="0"/>
    <xf numFmtId="0" fontId="251" fillId="0" borderId="0" applyNumberFormat="0" applyFill="0" applyBorder="0" applyAlignment="0" applyProtection="0"/>
    <xf numFmtId="0" fontId="252" fillId="0" borderId="65" applyNumberFormat="0" applyFill="0" applyAlignment="0" applyProtection="0"/>
    <xf numFmtId="0" fontId="251" fillId="0" borderId="0" applyNumberFormat="0" applyFill="0" applyBorder="0" applyAlignment="0" applyProtection="0"/>
    <xf numFmtId="0" fontId="200" fillId="11" borderId="32" applyNumberFormat="0" applyFont="0" applyAlignment="0" applyProtection="0"/>
    <xf numFmtId="0" fontId="250" fillId="0" borderId="0" applyNumberFormat="0" applyFill="0" applyBorder="0" applyAlignment="0" applyProtection="0"/>
    <xf numFmtId="0" fontId="251" fillId="0" borderId="0" applyNumberFormat="0" applyFill="0" applyBorder="0" applyAlignment="0" applyProtection="0"/>
    <xf numFmtId="43" fontId="1" fillId="0" borderId="0" applyFont="0" applyFill="0" applyBorder="0" applyAlignment="0" applyProtection="0"/>
    <xf numFmtId="0" fontId="252" fillId="0" borderId="65" applyNumberFormat="0" applyFill="0" applyAlignment="0" applyProtection="0"/>
    <xf numFmtId="0" fontId="251" fillId="0" borderId="0" applyNumberFormat="0" applyFill="0" applyBorder="0" applyAlignment="0" applyProtection="0"/>
    <xf numFmtId="0" fontId="200" fillId="11" borderId="32" applyNumberFormat="0" applyFont="0" applyAlignment="0" applyProtection="0"/>
    <xf numFmtId="5" fontId="203" fillId="0" borderId="0" applyFont="0" applyFill="0" applyBorder="0" applyAlignment="0" applyProtection="0"/>
    <xf numFmtId="0" fontId="250" fillId="0" borderId="0" applyNumberFormat="0" applyFill="0" applyBorder="0" applyAlignment="0" applyProtection="0"/>
    <xf numFmtId="0" fontId="251" fillId="0" borderId="0" applyNumberFormat="0" applyFill="0" applyBorder="0" applyAlignment="0" applyProtection="0"/>
    <xf numFmtId="0" fontId="252" fillId="0" borderId="65" applyNumberFormat="0" applyFill="0" applyAlignment="0" applyProtection="0"/>
    <xf numFmtId="0" fontId="251" fillId="0" borderId="0" applyNumberFormat="0" applyFill="0" applyBorder="0" applyAlignment="0" applyProtection="0"/>
    <xf numFmtId="0" fontId="200" fillId="11" borderId="32" applyNumberFormat="0" applyFont="0" applyAlignment="0" applyProtection="0"/>
    <xf numFmtId="0" fontId="250" fillId="0" borderId="0" applyNumberFormat="0" applyFill="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1" fillId="19" borderId="0" applyNumberFormat="0" applyBorder="0" applyAlignment="0" applyProtection="0"/>
    <xf numFmtId="0" fontId="252" fillId="0" borderId="65" applyNumberFormat="0" applyFill="0" applyAlignment="0" applyProtection="0"/>
    <xf numFmtId="5" fontId="203" fillId="0" borderId="0" applyFont="0" applyFill="0" applyBorder="0" applyAlignment="0" applyProtection="0"/>
    <xf numFmtId="0" fontId="1" fillId="23" borderId="0" applyNumberFormat="0" applyBorder="0" applyAlignment="0" applyProtection="0"/>
    <xf numFmtId="0" fontId="251" fillId="0" borderId="0" applyNumberFormat="0" applyFill="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252" fillId="0" borderId="65" applyNumberFormat="0" applyFill="0" applyAlignment="0" applyProtection="0"/>
    <xf numFmtId="5" fontId="203" fillId="0" borderId="0" applyFont="0" applyFill="0" applyBorder="0" applyAlignment="0" applyProtection="0"/>
    <xf numFmtId="0" fontId="251" fillId="0" borderId="0" applyNumberFormat="0" applyFill="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1" fillId="19" borderId="0" applyNumberFormat="0" applyBorder="0" applyAlignment="0" applyProtection="0"/>
    <xf numFmtId="0" fontId="252" fillId="0" borderId="65" applyNumberFormat="0" applyFill="0" applyAlignment="0" applyProtection="0"/>
    <xf numFmtId="5" fontId="203" fillId="0" borderId="0" applyFont="0" applyFill="0" applyBorder="0" applyAlignment="0" applyProtection="0"/>
    <xf numFmtId="0" fontId="1" fillId="23" borderId="0" applyNumberFormat="0" applyBorder="0" applyAlignment="0" applyProtection="0"/>
    <xf numFmtId="0" fontId="251" fillId="0" borderId="0" applyNumberFormat="0" applyFill="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43" fontId="1" fillId="0" borderId="0" applyFont="0" applyFill="0" applyBorder="0" applyAlignment="0" applyProtection="0"/>
    <xf numFmtId="0" fontId="252" fillId="0" borderId="65" applyNumberFormat="0" applyFill="0" applyAlignment="0" applyProtection="0"/>
    <xf numFmtId="5" fontId="203" fillId="0" borderId="0" applyFont="0" applyFill="0" applyBorder="0" applyAlignment="0" applyProtection="0"/>
    <xf numFmtId="0" fontId="1" fillId="21" borderId="0" applyNumberFormat="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1" fillId="19" borderId="0" applyNumberFormat="0" applyBorder="0" applyAlignment="0" applyProtection="0"/>
    <xf numFmtId="0" fontId="252" fillId="0" borderId="65" applyNumberFormat="0" applyFill="0" applyAlignment="0" applyProtection="0"/>
    <xf numFmtId="5" fontId="203" fillId="0" borderId="0" applyFont="0" applyFill="0" applyBorder="0" applyAlignment="0" applyProtection="0"/>
    <xf numFmtId="0" fontId="1" fillId="13" borderId="0" applyNumberFormat="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43" fontId="1" fillId="0" borderId="0" applyFont="0" applyFill="0" applyBorder="0" applyAlignment="0" applyProtection="0"/>
    <xf numFmtId="0" fontId="252" fillId="0" borderId="65" applyNumberFormat="0" applyFill="0" applyAlignment="0" applyProtection="0"/>
    <xf numFmtId="5" fontId="203" fillId="0" borderId="0" applyFont="0" applyFill="0" applyBorder="0" applyAlignment="0" applyProtection="0"/>
    <xf numFmtId="0" fontId="1" fillId="21" borderId="0" applyNumberFormat="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252" fillId="0" borderId="65" applyNumberFormat="0" applyFill="0" applyAlignment="0" applyProtection="0"/>
    <xf numFmtId="5" fontId="203" fillId="0" borderId="0" applyFont="0" applyFill="0" applyBorder="0" applyAlignment="0" applyProtection="0"/>
    <xf numFmtId="0" fontId="1" fillId="23" borderId="0" applyNumberFormat="0" applyBorder="0" applyAlignment="0" applyProtection="0"/>
    <xf numFmtId="0" fontId="1" fillId="15" borderId="0" applyNumberFormat="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252" fillId="0" borderId="65" applyNumberFormat="0" applyFill="0" applyAlignment="0" applyProtection="0"/>
    <xf numFmtId="5" fontId="203" fillId="0" borderId="0" applyFont="0" applyFill="0" applyBorder="0" applyAlignment="0" applyProtection="0"/>
    <xf numFmtId="0" fontId="1" fillId="21" borderId="0" applyNumberFormat="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1" fillId="21" borderId="0" applyNumberFormat="0" applyBorder="0" applyAlignment="0" applyProtection="0"/>
    <xf numFmtId="0" fontId="252" fillId="0" borderId="65" applyNumberFormat="0" applyFill="0" applyAlignment="0" applyProtection="0"/>
    <xf numFmtId="5" fontId="203" fillId="0" borderId="0" applyFont="0" applyFill="0" applyBorder="0" applyAlignment="0" applyProtection="0"/>
    <xf numFmtId="0" fontId="1" fillId="23" borderId="0" applyNumberFormat="0" applyBorder="0" applyAlignment="0" applyProtection="0"/>
    <xf numFmtId="0" fontId="1" fillId="15" borderId="0" applyNumberFormat="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252" fillId="0" borderId="65" applyNumberFormat="0" applyFill="0" applyAlignment="0" applyProtection="0"/>
    <xf numFmtId="5" fontId="203" fillId="0" borderId="0" applyFont="0" applyFill="0" applyBorder="0" applyAlignment="0" applyProtection="0"/>
    <xf numFmtId="0" fontId="1" fillId="21" borderId="0" applyNumberFormat="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1" fillId="21" borderId="0" applyNumberFormat="0" applyBorder="0" applyAlignment="0" applyProtection="0"/>
    <xf numFmtId="0" fontId="252" fillId="0" borderId="65" applyNumberFormat="0" applyFill="0" applyAlignment="0" applyProtection="0"/>
    <xf numFmtId="5" fontId="203" fillId="0" borderId="0" applyFont="0" applyFill="0" applyBorder="0" applyAlignment="0" applyProtection="0"/>
    <xf numFmtId="0" fontId="1" fillId="23" borderId="0" applyNumberFormat="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252" fillId="0" borderId="65" applyNumberFormat="0" applyFill="0" applyAlignment="0" applyProtection="0"/>
    <xf numFmtId="5" fontId="203" fillId="0" borderId="0" applyFont="0" applyFill="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1" fillId="21" borderId="0" applyNumberFormat="0" applyBorder="0" applyAlignment="0" applyProtection="0"/>
    <xf numFmtId="5" fontId="203" fillId="0" borderId="0" applyFont="0" applyFill="0" applyBorder="0" applyAlignment="0" applyProtection="0"/>
    <xf numFmtId="0" fontId="1" fillId="23" borderId="0" applyNumberFormat="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1" fillId="13" borderId="0" applyNumberFormat="0" applyBorder="0" applyAlignment="0" applyProtection="0"/>
    <xf numFmtId="5" fontId="203" fillId="0" borderId="0" applyFont="0" applyFill="0" applyBorder="0" applyAlignment="0" applyProtection="0"/>
    <xf numFmtId="0" fontId="1" fillId="15" borderId="0" applyNumberFormat="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1" fillId="21" borderId="0" applyNumberFormat="0" applyBorder="0" applyAlignment="0" applyProtection="0"/>
    <xf numFmtId="5" fontId="203" fillId="0" borderId="0" applyFont="0" applyFill="0" applyBorder="0" applyAlignment="0" applyProtection="0"/>
    <xf numFmtId="0" fontId="1" fillId="23" borderId="0" applyNumberFormat="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1" fillId="15" borderId="0" applyNumberFormat="0" applyBorder="0" applyAlignment="0" applyProtection="0"/>
    <xf numFmtId="5" fontId="203" fillId="0" borderId="0" applyFont="0" applyFill="0" applyBorder="0" applyAlignment="0" applyProtection="0"/>
    <xf numFmtId="0" fontId="1" fillId="23" borderId="0" applyNumberFormat="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1" fillId="21" borderId="0" applyNumberFormat="0" applyBorder="0" applyAlignment="0" applyProtection="0"/>
    <xf numFmtId="9" fontId="1" fillId="0" borderId="0" applyFont="0" applyFill="0" applyBorder="0" applyAlignment="0" applyProtection="0"/>
    <xf numFmtId="0" fontId="1" fillId="23" borderId="0" applyNumberFormat="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1" fillId="23"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23" borderId="0" applyNumberFormat="0" applyBorder="0" applyAlignment="0" applyProtection="0"/>
    <xf numFmtId="0" fontId="1" fillId="15" borderId="0" applyNumberFormat="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1" fillId="21" borderId="0" applyNumberFormat="0" applyBorder="0" applyAlignment="0" applyProtection="0"/>
    <xf numFmtId="0" fontId="1" fillId="2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75" fillId="0" borderId="26">
      <alignment horizontal="lef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11" borderId="32"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00" fillId="0" borderId="0"/>
    <xf numFmtId="44" fontId="200" fillId="0" borderId="0" applyFont="0" applyFill="0" applyBorder="0" applyAlignment="0" applyProtection="0"/>
    <xf numFmtId="9" fontId="200" fillId="0" borderId="0" applyFont="0" applyFill="0" applyBorder="0" applyAlignment="0" applyProtection="0"/>
    <xf numFmtId="43" fontId="200" fillId="0" borderId="0" applyFont="0" applyFill="0" applyBorder="0" applyAlignment="0" applyProtection="0"/>
    <xf numFmtId="0" fontId="239" fillId="0" borderId="58" applyNumberFormat="0" applyFill="0" applyAlignment="0" applyProtection="0"/>
    <xf numFmtId="0" fontId="240" fillId="0" borderId="59" applyNumberFormat="0" applyFill="0" applyAlignment="0" applyProtection="0"/>
    <xf numFmtId="0" fontId="241" fillId="0" borderId="60" applyNumberFormat="0" applyFill="0" applyAlignment="0" applyProtection="0"/>
    <xf numFmtId="0" fontId="241" fillId="0" borderId="0" applyNumberFormat="0" applyFill="0" applyBorder="0" applyAlignment="0" applyProtection="0"/>
    <xf numFmtId="0" fontId="242" fillId="59" borderId="0" applyNumberFormat="0" applyBorder="0" applyAlignment="0" applyProtection="0"/>
    <xf numFmtId="0" fontId="243" fillId="60" borderId="0" applyNumberFormat="0" applyBorder="0" applyAlignment="0" applyProtection="0"/>
    <xf numFmtId="0" fontId="244" fillId="61" borderId="0" applyNumberFormat="0" applyBorder="0" applyAlignment="0" applyProtection="0"/>
    <xf numFmtId="0" fontId="245" fillId="62" borderId="61" applyNumberFormat="0" applyAlignment="0" applyProtection="0"/>
    <xf numFmtId="0" fontId="246" fillId="63" borderId="62" applyNumberFormat="0" applyAlignment="0" applyProtection="0"/>
    <xf numFmtId="0" fontId="247" fillId="63" borderId="61" applyNumberFormat="0" applyAlignment="0" applyProtection="0"/>
    <xf numFmtId="0" fontId="248" fillId="0" borderId="63" applyNumberFormat="0" applyFill="0" applyAlignment="0" applyProtection="0"/>
    <xf numFmtId="0" fontId="249" fillId="64" borderId="64" applyNumberFormat="0" applyAlignment="0" applyProtection="0"/>
    <xf numFmtId="0" fontId="250" fillId="0" borderId="0" applyNumberFormat="0" applyFill="0" applyBorder="0" applyAlignment="0" applyProtection="0"/>
    <xf numFmtId="0" fontId="200" fillId="11" borderId="32" applyNumberFormat="0" applyFont="0" applyAlignment="0" applyProtection="0"/>
    <xf numFmtId="0" fontId="251" fillId="0" borderId="0" applyNumberFormat="0" applyFill="0" applyBorder="0" applyAlignment="0" applyProtection="0"/>
    <xf numFmtId="0" fontId="252" fillId="0" borderId="65" applyNumberFormat="0" applyFill="0" applyAlignment="0" applyProtection="0"/>
    <xf numFmtId="0" fontId="1" fillId="0" borderId="0"/>
    <xf numFmtId="0" fontId="239" fillId="0" borderId="58" applyNumberFormat="0" applyFill="0" applyAlignment="0" applyProtection="0"/>
    <xf numFmtId="0" fontId="240" fillId="0" borderId="59" applyNumberFormat="0" applyFill="0" applyAlignment="0" applyProtection="0"/>
    <xf numFmtId="0" fontId="241" fillId="0" borderId="60" applyNumberFormat="0" applyFill="0" applyAlignment="0" applyProtection="0"/>
    <xf numFmtId="0" fontId="241" fillId="0" borderId="0" applyNumberFormat="0" applyFill="0" applyBorder="0" applyAlignment="0" applyProtection="0"/>
    <xf numFmtId="0" fontId="242" fillId="59" borderId="0" applyNumberFormat="0" applyBorder="0" applyAlignment="0" applyProtection="0"/>
    <xf numFmtId="0" fontId="243" fillId="60" borderId="0" applyNumberFormat="0" applyBorder="0" applyAlignment="0" applyProtection="0"/>
    <xf numFmtId="0" fontId="244" fillId="61" borderId="0" applyNumberFormat="0" applyBorder="0" applyAlignment="0" applyProtection="0"/>
    <xf numFmtId="0" fontId="245" fillId="62" borderId="61" applyNumberFormat="0" applyAlignment="0" applyProtection="0"/>
    <xf numFmtId="0" fontId="246" fillId="63" borderId="62" applyNumberFormat="0" applyAlignment="0" applyProtection="0"/>
    <xf numFmtId="0" fontId="247" fillId="63" borderId="61" applyNumberFormat="0" applyAlignment="0" applyProtection="0"/>
    <xf numFmtId="0" fontId="248" fillId="0" borderId="63" applyNumberFormat="0" applyFill="0" applyAlignment="0" applyProtection="0"/>
    <xf numFmtId="0" fontId="249" fillId="64" borderId="64" applyNumberFormat="0" applyAlignment="0" applyProtection="0"/>
    <xf numFmtId="0" fontId="250" fillId="0" borderId="0" applyNumberFormat="0" applyFill="0" applyBorder="0" applyAlignment="0" applyProtection="0"/>
    <xf numFmtId="0" fontId="200" fillId="11" borderId="32" applyNumberFormat="0" applyFont="0" applyAlignment="0" applyProtection="0"/>
    <xf numFmtId="0" fontId="251" fillId="0" borderId="0" applyNumberFormat="0" applyFill="0" applyBorder="0" applyAlignment="0" applyProtection="0"/>
    <xf numFmtId="0" fontId="252" fillId="0" borderId="65" applyNumberFormat="0" applyFill="0" applyAlignment="0" applyProtection="0"/>
    <xf numFmtId="0" fontId="252" fillId="0" borderId="65" applyNumberFormat="0" applyFill="0" applyAlignment="0" applyProtection="0"/>
    <xf numFmtId="0" fontId="251" fillId="0" borderId="0" applyNumberFormat="0" applyFill="0" applyBorder="0" applyAlignment="0" applyProtection="0"/>
    <xf numFmtId="0" fontId="200" fillId="11" borderId="32" applyNumberFormat="0" applyFont="0" applyAlignment="0" applyProtection="0"/>
    <xf numFmtId="0" fontId="250" fillId="0" borderId="0" applyNumberFormat="0" applyFill="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248" fillId="0" borderId="63" applyNumberFormat="0" applyFill="0" applyAlignment="0" applyProtection="0"/>
    <xf numFmtId="0" fontId="239" fillId="0" borderId="58" applyNumberFormat="0" applyFill="0" applyAlignment="0" applyProtection="0"/>
    <xf numFmtId="0" fontId="240" fillId="0" borderId="59" applyNumberFormat="0" applyFill="0" applyAlignment="0" applyProtection="0"/>
    <xf numFmtId="0" fontId="241" fillId="0" borderId="60" applyNumberFormat="0" applyFill="0" applyAlignment="0" applyProtection="0"/>
    <xf numFmtId="0" fontId="241" fillId="0" borderId="0" applyNumberFormat="0" applyFill="0" applyBorder="0" applyAlignment="0" applyProtection="0"/>
    <xf numFmtId="0" fontId="242" fillId="59" borderId="0" applyNumberFormat="0" applyBorder="0" applyAlignment="0" applyProtection="0"/>
    <xf numFmtId="0" fontId="243" fillId="60" borderId="0" applyNumberFormat="0" applyBorder="0" applyAlignment="0" applyProtection="0"/>
    <xf numFmtId="0" fontId="244" fillId="61" borderId="0" applyNumberFormat="0" applyBorder="0" applyAlignment="0" applyProtection="0"/>
    <xf numFmtId="0" fontId="245" fillId="62" borderId="61" applyNumberFormat="0" applyAlignment="0" applyProtection="0"/>
    <xf numFmtId="0" fontId="246" fillId="63" borderId="62" applyNumberFormat="0" applyAlignment="0" applyProtection="0"/>
    <xf numFmtId="0" fontId="247" fillId="63" borderId="61" applyNumberFormat="0" applyAlignment="0" applyProtection="0"/>
    <xf numFmtId="0" fontId="248" fillId="0" borderId="63" applyNumberFormat="0" applyFill="0" applyAlignment="0" applyProtection="0"/>
    <xf numFmtId="0" fontId="249" fillId="64" borderId="64" applyNumberFormat="0" applyAlignment="0" applyProtection="0"/>
    <xf numFmtId="0" fontId="250" fillId="0" borderId="0" applyNumberFormat="0" applyFill="0" applyBorder="0" applyAlignment="0" applyProtection="0"/>
    <xf numFmtId="0" fontId="200" fillId="11" borderId="32" applyNumberFormat="0" applyFont="0" applyAlignment="0" applyProtection="0"/>
    <xf numFmtId="0" fontId="251" fillId="0" borderId="0" applyNumberFormat="0" applyFill="0" applyBorder="0" applyAlignment="0" applyProtection="0"/>
    <xf numFmtId="0" fontId="252" fillId="0" borderId="65" applyNumberFormat="0" applyFill="0" applyAlignment="0" applyProtection="0"/>
    <xf numFmtId="0" fontId="246" fillId="63" borderId="62" applyNumberFormat="0" applyAlignment="0" applyProtection="0"/>
    <xf numFmtId="0" fontId="252" fillId="0" borderId="65" applyNumberFormat="0" applyFill="0" applyAlignment="0" applyProtection="0"/>
    <xf numFmtId="0" fontId="251" fillId="0" borderId="0" applyNumberFormat="0" applyFill="0" applyBorder="0" applyAlignment="0" applyProtection="0"/>
    <xf numFmtId="0" fontId="200" fillId="11" borderId="32" applyNumberFormat="0" applyFont="0" applyAlignment="0" applyProtection="0"/>
    <xf numFmtId="0" fontId="250" fillId="0" borderId="0" applyNumberFormat="0" applyFill="0" applyBorder="0" applyAlignment="0" applyProtection="0"/>
    <xf numFmtId="0" fontId="249" fillId="64" borderId="64" applyNumberFormat="0" applyAlignment="0" applyProtection="0"/>
    <xf numFmtId="0" fontId="247" fillId="63" borderId="61" applyNumberFormat="0" applyAlignment="0" applyProtection="0"/>
    <xf numFmtId="0" fontId="245" fillId="62" borderId="61" applyNumberFormat="0" applyAlignment="0" applyProtection="0"/>
    <xf numFmtId="0" fontId="244" fillId="61" borderId="0" applyNumberFormat="0" applyBorder="0" applyAlignment="0" applyProtection="0"/>
    <xf numFmtId="0" fontId="252" fillId="0" borderId="65" applyNumberFormat="0" applyFill="0" applyAlignment="0" applyProtection="0"/>
    <xf numFmtId="0" fontId="251" fillId="0" borderId="0" applyNumberFormat="0" applyFill="0" applyBorder="0" applyAlignment="0" applyProtection="0"/>
    <xf numFmtId="0" fontId="200" fillId="11" borderId="32" applyNumberFormat="0" applyFont="0" applyAlignment="0" applyProtection="0"/>
    <xf numFmtId="0" fontId="250" fillId="0" borderId="0" applyNumberFormat="0" applyFill="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252" fillId="0" borderId="65" applyNumberFormat="0" applyFill="0" applyAlignment="0" applyProtection="0"/>
    <xf numFmtId="0" fontId="251" fillId="0" borderId="0" applyNumberFormat="0" applyFill="0" applyBorder="0" applyAlignment="0" applyProtection="0"/>
    <xf numFmtId="0" fontId="200" fillId="11" borderId="32" applyNumberFormat="0" applyFont="0" applyAlignment="0" applyProtection="0"/>
    <xf numFmtId="0" fontId="250" fillId="0" borderId="0" applyNumberFormat="0" applyFill="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252" fillId="0" borderId="65" applyNumberFormat="0" applyFill="0" applyAlignment="0" applyProtection="0"/>
    <xf numFmtId="0" fontId="251" fillId="0" borderId="0" applyNumberFormat="0" applyFill="0" applyBorder="0" applyAlignment="0" applyProtection="0"/>
    <xf numFmtId="0" fontId="200" fillId="11" borderId="32" applyNumberFormat="0" applyFont="0" applyAlignment="0" applyProtection="0"/>
    <xf numFmtId="0" fontId="250" fillId="0" borderId="0" applyNumberFormat="0" applyFill="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239" fillId="0" borderId="58" applyNumberFormat="0" applyFill="0" applyAlignment="0" applyProtection="0"/>
    <xf numFmtId="0" fontId="240" fillId="0" borderId="59" applyNumberFormat="0" applyFill="0" applyAlignment="0" applyProtection="0"/>
    <xf numFmtId="0" fontId="241" fillId="0" borderId="60" applyNumberFormat="0" applyFill="0" applyAlignment="0" applyProtection="0"/>
    <xf numFmtId="0" fontId="241" fillId="0" borderId="0" applyNumberFormat="0" applyFill="0" applyBorder="0" applyAlignment="0" applyProtection="0"/>
    <xf numFmtId="0" fontId="242" fillId="59" borderId="0" applyNumberFormat="0" applyBorder="0" applyAlignment="0" applyProtection="0"/>
    <xf numFmtId="0" fontId="243" fillId="60" borderId="0" applyNumberFormat="0" applyBorder="0" applyAlignment="0" applyProtection="0"/>
    <xf numFmtId="0" fontId="244" fillId="61" borderId="0" applyNumberFormat="0" applyBorder="0" applyAlignment="0" applyProtection="0"/>
    <xf numFmtId="0" fontId="245" fillId="62" borderId="61" applyNumberFormat="0" applyAlignment="0" applyProtection="0"/>
    <xf numFmtId="0" fontId="246" fillId="63" borderId="62" applyNumberFormat="0" applyAlignment="0" applyProtection="0"/>
    <xf numFmtId="0" fontId="247" fillId="63" borderId="61" applyNumberFormat="0" applyAlignment="0" applyProtection="0"/>
    <xf numFmtId="0" fontId="248" fillId="0" borderId="63" applyNumberFormat="0" applyFill="0" applyAlignment="0" applyProtection="0"/>
    <xf numFmtId="0" fontId="249" fillId="64" borderId="64" applyNumberFormat="0" applyAlignment="0" applyProtection="0"/>
    <xf numFmtId="0" fontId="250" fillId="0" borderId="0" applyNumberFormat="0" applyFill="0" applyBorder="0" applyAlignment="0" applyProtection="0"/>
    <xf numFmtId="0" fontId="200" fillId="11" borderId="32" applyNumberFormat="0" applyFont="0" applyAlignment="0" applyProtection="0"/>
    <xf numFmtId="0" fontId="251" fillId="0" borderId="0" applyNumberFormat="0" applyFill="0" applyBorder="0" applyAlignment="0" applyProtection="0"/>
    <xf numFmtId="0" fontId="252" fillId="0" borderId="65" applyNumberFormat="0" applyFill="0" applyAlignment="0" applyProtection="0"/>
    <xf numFmtId="0" fontId="1" fillId="15" borderId="0" applyNumberFormat="0" applyBorder="0" applyAlignment="0" applyProtection="0"/>
    <xf numFmtId="0" fontId="250" fillId="0" borderId="0" applyNumberFormat="0" applyFill="0" applyBorder="0" applyAlignment="0" applyProtection="0"/>
    <xf numFmtId="0" fontId="1" fillId="15" borderId="0" applyNumberFormat="0" applyBorder="0" applyAlignment="0" applyProtection="0"/>
    <xf numFmtId="0" fontId="239" fillId="0" borderId="58" applyNumberFormat="0" applyFill="0" applyAlignment="0" applyProtection="0"/>
    <xf numFmtId="0" fontId="240" fillId="0" borderId="59" applyNumberFormat="0" applyFill="0" applyAlignment="0" applyProtection="0"/>
    <xf numFmtId="0" fontId="241" fillId="0" borderId="60" applyNumberFormat="0" applyFill="0" applyAlignment="0" applyProtection="0"/>
    <xf numFmtId="0" fontId="241" fillId="0" borderId="0" applyNumberFormat="0" applyFill="0" applyBorder="0" applyAlignment="0" applyProtection="0"/>
    <xf numFmtId="0" fontId="242" fillId="59" borderId="0" applyNumberFormat="0" applyBorder="0" applyAlignment="0" applyProtection="0"/>
    <xf numFmtId="0" fontId="243" fillId="60" borderId="0" applyNumberFormat="0" applyBorder="0" applyAlignment="0" applyProtection="0"/>
    <xf numFmtId="0" fontId="244" fillId="61" borderId="0" applyNumberFormat="0" applyBorder="0" applyAlignment="0" applyProtection="0"/>
    <xf numFmtId="0" fontId="245" fillId="62" borderId="61" applyNumberFormat="0" applyAlignment="0" applyProtection="0"/>
    <xf numFmtId="0" fontId="246" fillId="63" borderId="62" applyNumberFormat="0" applyAlignment="0" applyProtection="0"/>
    <xf numFmtId="0" fontId="247" fillId="63" borderId="61" applyNumberFormat="0" applyAlignment="0" applyProtection="0"/>
    <xf numFmtId="0" fontId="248" fillId="0" borderId="63" applyNumberFormat="0" applyFill="0" applyAlignment="0" applyProtection="0"/>
    <xf numFmtId="0" fontId="249" fillId="64" borderId="64" applyNumberFormat="0" applyAlignment="0" applyProtection="0"/>
    <xf numFmtId="0" fontId="250" fillId="0" borderId="0" applyNumberFormat="0" applyFill="0" applyBorder="0" applyAlignment="0" applyProtection="0"/>
    <xf numFmtId="0" fontId="200" fillId="11" borderId="32" applyNumberFormat="0" applyFont="0" applyAlignment="0" applyProtection="0"/>
    <xf numFmtId="0" fontId="251" fillId="0" borderId="0" applyNumberFormat="0" applyFill="0" applyBorder="0" applyAlignment="0" applyProtection="0"/>
    <xf numFmtId="0" fontId="252" fillId="0" borderId="65" applyNumberFormat="0" applyFill="0" applyAlignment="0" applyProtection="0"/>
    <xf numFmtId="0" fontId="250" fillId="0" borderId="0" applyNumberFormat="0" applyFill="0" applyBorder="0" applyAlignment="0" applyProtection="0"/>
    <xf numFmtId="0" fontId="239" fillId="0" borderId="58" applyNumberFormat="0" applyFill="0" applyAlignment="0" applyProtection="0"/>
    <xf numFmtId="0" fontId="240" fillId="0" borderId="59" applyNumberFormat="0" applyFill="0" applyAlignment="0" applyProtection="0"/>
    <xf numFmtId="0" fontId="241" fillId="0" borderId="0" applyNumberFormat="0" applyFill="0" applyBorder="0" applyAlignment="0" applyProtection="0"/>
    <xf numFmtId="0" fontId="243" fillId="60" borderId="0" applyNumberFormat="0" applyBorder="0" applyAlignment="0" applyProtection="0"/>
    <xf numFmtId="0" fontId="244" fillId="61" borderId="0" applyNumberFormat="0" applyBorder="0" applyAlignment="0" applyProtection="0"/>
    <xf numFmtId="0" fontId="245" fillId="62" borderId="61" applyNumberFormat="0" applyAlignment="0" applyProtection="0"/>
    <xf numFmtId="0" fontId="246" fillId="63" borderId="62" applyNumberFormat="0" applyAlignment="0" applyProtection="0"/>
    <xf numFmtId="0" fontId="247" fillId="63" borderId="61" applyNumberFormat="0" applyAlignment="0" applyProtection="0"/>
    <xf numFmtId="0" fontId="248" fillId="0" borderId="63" applyNumberFormat="0" applyFill="0" applyAlignment="0" applyProtection="0"/>
    <xf numFmtId="0" fontId="249" fillId="64" borderId="64" applyNumberFormat="0" applyAlignment="0" applyProtection="0"/>
    <xf numFmtId="0" fontId="252" fillId="0" borderId="65" applyNumberFormat="0" applyFill="0" applyAlignment="0" applyProtection="0"/>
    <xf numFmtId="0" fontId="1" fillId="13" borderId="0" applyNumberFormat="0" applyBorder="0" applyAlignment="0" applyProtection="0"/>
    <xf numFmtId="0" fontId="251" fillId="0" borderId="0" applyNumberFormat="0" applyFill="0" applyBorder="0" applyAlignment="0" applyProtection="0"/>
    <xf numFmtId="0" fontId="250" fillId="0" borderId="0" applyNumberFormat="0" applyFill="0" applyBorder="0" applyAlignment="0" applyProtection="0"/>
    <xf numFmtId="0" fontId="200" fillId="11" borderId="32" applyNumberFormat="0" applyFont="0" applyAlignment="0" applyProtection="0"/>
    <xf numFmtId="0" fontId="251" fillId="0" borderId="0" applyNumberFormat="0" applyFill="0" applyBorder="0" applyAlignment="0" applyProtection="0"/>
    <xf numFmtId="0" fontId="252" fillId="0" borderId="65" applyNumberFormat="0" applyFill="0" applyAlignment="0" applyProtection="0"/>
    <xf numFmtId="0" fontId="1" fillId="15" borderId="0" applyNumberFormat="0" applyBorder="0" applyAlignment="0" applyProtection="0"/>
    <xf numFmtId="0" fontId="251" fillId="0" borderId="0" applyNumberFormat="0" applyFill="0" applyBorder="0" applyAlignment="0" applyProtection="0"/>
    <xf numFmtId="0" fontId="1" fillId="0" borderId="0"/>
    <xf numFmtId="0" fontId="250" fillId="0" borderId="0" applyNumberFormat="0" applyFill="0" applyBorder="0" applyAlignment="0" applyProtection="0"/>
    <xf numFmtId="0" fontId="200" fillId="11" borderId="32" applyNumberFormat="0" applyFont="0" applyAlignment="0" applyProtection="0"/>
    <xf numFmtId="0" fontId="251" fillId="0" borderId="0" applyNumberFormat="0" applyFill="0" applyBorder="0" applyAlignment="0" applyProtection="0"/>
    <xf numFmtId="0" fontId="252" fillId="0" borderId="65" applyNumberFormat="0" applyFill="0" applyAlignment="0" applyProtection="0"/>
    <xf numFmtId="0" fontId="1" fillId="15" borderId="0" applyNumberFormat="0" applyBorder="0" applyAlignment="0" applyProtection="0"/>
    <xf numFmtId="0" fontId="251" fillId="0" borderId="0" applyNumberFormat="0" applyFill="0" applyBorder="0" applyAlignment="0" applyProtection="0"/>
    <xf numFmtId="0" fontId="250" fillId="0" borderId="0" applyNumberFormat="0" applyFill="0" applyBorder="0" applyAlignment="0" applyProtection="0"/>
    <xf numFmtId="0" fontId="200" fillId="11" borderId="32" applyNumberFormat="0" applyFont="0" applyAlignment="0" applyProtection="0"/>
    <xf numFmtId="0" fontId="251" fillId="0" borderId="0" applyNumberFormat="0" applyFill="0" applyBorder="0" applyAlignment="0" applyProtection="0"/>
    <xf numFmtId="0" fontId="252" fillId="0" borderId="65" applyNumberFormat="0" applyFill="0" applyAlignment="0" applyProtection="0"/>
    <xf numFmtId="0" fontId="251" fillId="0" borderId="0" applyNumberFormat="0" applyFill="0" applyBorder="0" applyAlignment="0" applyProtection="0"/>
    <xf numFmtId="0" fontId="250" fillId="0" borderId="0" applyNumberFormat="0" applyFill="0" applyBorder="0" applyAlignment="0" applyProtection="0"/>
    <xf numFmtId="0" fontId="200" fillId="11" borderId="32" applyNumberFormat="0" applyFont="0" applyAlignment="0" applyProtection="0"/>
    <xf numFmtId="0" fontId="251" fillId="0" borderId="0" applyNumberFormat="0" applyFill="0" applyBorder="0" applyAlignment="0" applyProtection="0"/>
    <xf numFmtId="0" fontId="250" fillId="0" borderId="0" applyNumberFormat="0" applyFill="0" applyBorder="0" applyAlignment="0" applyProtection="0"/>
    <xf numFmtId="0" fontId="200" fillId="11" borderId="32" applyNumberFormat="0" applyFont="0" applyAlignment="0" applyProtection="0"/>
    <xf numFmtId="0" fontId="250" fillId="0" borderId="0" applyNumberFormat="0" applyFill="0" applyBorder="0" applyAlignment="0" applyProtection="0"/>
    <xf numFmtId="0" fontId="200" fillId="11" borderId="32" applyNumberFormat="0" applyFont="0" applyAlignment="0" applyProtection="0"/>
    <xf numFmtId="0" fontId="250" fillId="0" borderId="0" applyNumberFormat="0" applyFill="0" applyBorder="0" applyAlignment="0" applyProtection="0"/>
    <xf numFmtId="0" fontId="200" fillId="11" borderId="32" applyNumberFormat="0" applyFont="0" applyAlignment="0" applyProtection="0"/>
    <xf numFmtId="0" fontId="250" fillId="0" borderId="0" applyNumberFormat="0" applyFill="0" applyBorder="0" applyAlignment="0" applyProtection="0"/>
    <xf numFmtId="0" fontId="200" fillId="11" borderId="32" applyNumberFormat="0" applyFont="0" applyAlignment="0" applyProtection="0"/>
    <xf numFmtId="0" fontId="250" fillId="0" borderId="0" applyNumberFormat="0" applyFill="0" applyBorder="0" applyAlignment="0" applyProtection="0"/>
    <xf numFmtId="0" fontId="200" fillId="11" borderId="32" applyNumberFormat="0" applyFon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200" fillId="11" borderId="32" applyNumberFormat="0" applyFont="0" applyAlignment="0" applyProtection="0"/>
    <xf numFmtId="0" fontId="250" fillId="0" borderId="0" applyNumberFormat="0" applyFill="0" applyBorder="0" applyAlignment="0" applyProtection="0"/>
    <xf numFmtId="0" fontId="200" fillId="11" borderId="32" applyNumberFormat="0" applyFont="0" applyAlignment="0" applyProtection="0"/>
    <xf numFmtId="0" fontId="200" fillId="11" borderId="32" applyNumberFormat="0" applyFont="0" applyAlignment="0" applyProtection="0"/>
    <xf numFmtId="0" fontId="200" fillId="11" borderId="32" applyNumberFormat="0" applyFont="0" applyAlignment="0" applyProtection="0"/>
    <xf numFmtId="0" fontId="250" fillId="0" borderId="0" applyNumberFormat="0" applyFill="0" applyBorder="0" applyAlignment="0" applyProtection="0"/>
    <xf numFmtId="0" fontId="200" fillId="11" borderId="32" applyNumberFormat="0" applyFont="0" applyAlignment="0" applyProtection="0"/>
    <xf numFmtId="0" fontId="250" fillId="0" borderId="0" applyNumberFormat="0" applyFill="0" applyBorder="0" applyAlignment="0" applyProtection="0"/>
    <xf numFmtId="0" fontId="200" fillId="11" borderId="32" applyNumberFormat="0" applyFont="0" applyAlignment="0" applyProtection="0"/>
    <xf numFmtId="0" fontId="241" fillId="0" borderId="60" applyNumberFormat="0" applyFill="0" applyAlignment="0" applyProtection="0"/>
    <xf numFmtId="0" fontId="250" fillId="0" borderId="0" applyNumberFormat="0" applyFill="0" applyBorder="0" applyAlignment="0" applyProtection="0"/>
    <xf numFmtId="0" fontId="251" fillId="0" borderId="0" applyNumberFormat="0" applyFill="0" applyBorder="0" applyAlignment="0" applyProtection="0"/>
    <xf numFmtId="0" fontId="252" fillId="0" borderId="65" applyNumberFormat="0" applyFill="0" applyAlignment="0" applyProtection="0"/>
    <xf numFmtId="0" fontId="251" fillId="0" borderId="0" applyNumberFormat="0" applyFill="0" applyBorder="0" applyAlignment="0" applyProtection="0"/>
    <xf numFmtId="0" fontId="200" fillId="11" borderId="32" applyNumberFormat="0" applyFont="0" applyAlignment="0" applyProtection="0"/>
    <xf numFmtId="0" fontId="250" fillId="0" borderId="0" applyNumberFormat="0" applyFill="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200" fillId="11" borderId="32" applyNumberFormat="0" applyFont="0" applyAlignment="0" applyProtection="0"/>
    <xf numFmtId="0" fontId="242" fillId="59" borderId="0" applyNumberFormat="0" applyBorder="0" applyAlignment="0" applyProtection="0"/>
    <xf numFmtId="0" fontId="1" fillId="15" borderId="0" applyNumberFormat="0" applyBorder="0" applyAlignment="0" applyProtection="0"/>
    <xf numFmtId="0" fontId="252" fillId="0" borderId="65" applyNumberFormat="0" applyFill="0" applyAlignment="0" applyProtection="0"/>
    <xf numFmtId="0" fontId="1" fillId="21" borderId="0" applyNumberFormat="0" applyBorder="0" applyAlignment="0" applyProtection="0"/>
    <xf numFmtId="0" fontId="251" fillId="0" borderId="0" applyNumberFormat="0" applyFill="0" applyBorder="0" applyAlignment="0" applyProtection="0"/>
    <xf numFmtId="0" fontId="250" fillId="0" borderId="0" applyNumberFormat="0" applyFill="0" applyBorder="0" applyAlignment="0" applyProtection="0"/>
    <xf numFmtId="0" fontId="251" fillId="0" borderId="0" applyNumberFormat="0" applyFill="0" applyBorder="0" applyAlignment="0" applyProtection="0"/>
    <xf numFmtId="0" fontId="200" fillId="11" borderId="32" applyNumberFormat="0" applyFont="0" applyAlignment="0" applyProtection="0"/>
    <xf numFmtId="0" fontId="250" fillId="0" borderId="0" applyNumberFormat="0" applyFill="0" applyBorder="0" applyAlignment="0" applyProtection="0"/>
    <xf numFmtId="0" fontId="251" fillId="0" borderId="0" applyNumberFormat="0" applyFill="0" applyBorder="0" applyAlignment="0" applyProtection="0"/>
    <xf numFmtId="0" fontId="252" fillId="0" borderId="65" applyNumberFormat="0" applyFill="0" applyAlignment="0" applyProtection="0"/>
    <xf numFmtId="0" fontId="251" fillId="0" borderId="0" applyNumberFormat="0" applyFill="0" applyBorder="0" applyAlignment="0" applyProtection="0"/>
    <xf numFmtId="0" fontId="200" fillId="11" borderId="32" applyNumberFormat="0" applyFont="0" applyAlignment="0" applyProtection="0"/>
    <xf numFmtId="0" fontId="250" fillId="0" borderId="0" applyNumberFormat="0" applyFill="0" applyBorder="0" applyAlignment="0" applyProtection="0"/>
    <xf numFmtId="0" fontId="251" fillId="0" borderId="0" applyNumberFormat="0" applyFill="0" applyBorder="0" applyAlignment="0" applyProtection="0"/>
    <xf numFmtId="43" fontId="1" fillId="0" borderId="0" applyFont="0" applyFill="0" applyBorder="0" applyAlignment="0" applyProtection="0"/>
    <xf numFmtId="0" fontId="252" fillId="0" borderId="65" applyNumberFormat="0" applyFill="0" applyAlignment="0" applyProtection="0"/>
    <xf numFmtId="0" fontId="251" fillId="0" borderId="0" applyNumberFormat="0" applyFill="0" applyBorder="0" applyAlignment="0" applyProtection="0"/>
    <xf numFmtId="0" fontId="200" fillId="11" borderId="32" applyNumberFormat="0" applyFont="0" applyAlignment="0" applyProtection="0"/>
    <xf numFmtId="0" fontId="250" fillId="0" borderId="0" applyNumberFormat="0" applyFill="0" applyBorder="0" applyAlignment="0" applyProtection="0"/>
    <xf numFmtId="0" fontId="251" fillId="0" borderId="0" applyNumberFormat="0" applyFill="0" applyBorder="0" applyAlignment="0" applyProtection="0"/>
    <xf numFmtId="0" fontId="252" fillId="0" borderId="65" applyNumberFormat="0" applyFill="0" applyAlignment="0" applyProtection="0"/>
    <xf numFmtId="0" fontId="251" fillId="0" borderId="0" applyNumberFormat="0" applyFill="0" applyBorder="0" applyAlignment="0" applyProtection="0"/>
    <xf numFmtId="0" fontId="200" fillId="11" borderId="32" applyNumberFormat="0" applyFont="0" applyAlignment="0" applyProtection="0"/>
    <xf numFmtId="0" fontId="250" fillId="0" borderId="0" applyNumberFormat="0" applyFill="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1" fillId="19" borderId="0" applyNumberFormat="0" applyBorder="0" applyAlignment="0" applyProtection="0"/>
    <xf numFmtId="0" fontId="252" fillId="0" borderId="65" applyNumberFormat="0" applyFill="0" applyAlignment="0" applyProtection="0"/>
    <xf numFmtId="0" fontId="1" fillId="23" borderId="0" applyNumberFormat="0" applyBorder="0" applyAlignment="0" applyProtection="0"/>
    <xf numFmtId="0" fontId="251" fillId="0" borderId="0" applyNumberFormat="0" applyFill="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252" fillId="0" borderId="65" applyNumberFormat="0" applyFill="0" applyAlignment="0" applyProtection="0"/>
    <xf numFmtId="0" fontId="1" fillId="21" borderId="0" applyNumberFormat="0" applyBorder="0" applyAlignment="0" applyProtection="0"/>
    <xf numFmtId="0" fontId="251" fillId="0" borderId="0" applyNumberFormat="0" applyFill="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1" fillId="19" borderId="0" applyNumberFormat="0" applyBorder="0" applyAlignment="0" applyProtection="0"/>
    <xf numFmtId="0" fontId="252" fillId="0" borderId="65" applyNumberFormat="0" applyFill="0" applyAlignment="0" applyProtection="0"/>
    <xf numFmtId="0" fontId="1" fillId="23" borderId="0" applyNumberFormat="0" applyBorder="0" applyAlignment="0" applyProtection="0"/>
    <xf numFmtId="0" fontId="251" fillId="0" borderId="0" applyNumberFormat="0" applyFill="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43" fontId="1" fillId="0" borderId="0" applyFont="0" applyFill="0" applyBorder="0" applyAlignment="0" applyProtection="0"/>
    <xf numFmtId="0" fontId="252" fillId="0" borderId="65" applyNumberFormat="0" applyFill="0" applyAlignment="0" applyProtection="0"/>
    <xf numFmtId="0" fontId="1" fillId="21" borderId="0" applyNumberFormat="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1" fillId="19" borderId="0" applyNumberFormat="0" applyBorder="0" applyAlignment="0" applyProtection="0"/>
    <xf numFmtId="0" fontId="252" fillId="0" borderId="65" applyNumberFormat="0" applyFill="0" applyAlignment="0" applyProtection="0"/>
    <xf numFmtId="0" fontId="1" fillId="23" borderId="0" applyNumberFormat="0" applyBorder="0" applyAlignment="0" applyProtection="0"/>
    <xf numFmtId="0" fontId="1" fillId="13" borderId="0" applyNumberFormat="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43" fontId="1" fillId="0" borderId="0" applyFont="0" applyFill="0" applyBorder="0" applyAlignment="0" applyProtection="0"/>
    <xf numFmtId="0" fontId="252" fillId="0" borderId="65" applyNumberFormat="0" applyFill="0" applyAlignment="0" applyProtection="0"/>
    <xf numFmtId="0" fontId="1" fillId="21" borderId="0" applyNumberFormat="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252" fillId="0" borderId="65" applyNumberFormat="0" applyFill="0" applyAlignment="0" applyProtection="0"/>
    <xf numFmtId="0" fontId="1" fillId="23" borderId="0" applyNumberFormat="0" applyBorder="0" applyAlignment="0" applyProtection="0"/>
    <xf numFmtId="0" fontId="1" fillId="15" borderId="0" applyNumberFormat="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252" fillId="0" borderId="65" applyNumberFormat="0" applyFill="0" applyAlignment="0" applyProtection="0"/>
    <xf numFmtId="0" fontId="1" fillId="21" borderId="0" applyNumberFormat="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1" fillId="21" borderId="0" applyNumberFormat="0" applyBorder="0" applyAlignment="0" applyProtection="0"/>
    <xf numFmtId="0" fontId="252" fillId="0" borderId="65" applyNumberFormat="0" applyFill="0" applyAlignment="0" applyProtection="0"/>
    <xf numFmtId="0" fontId="1" fillId="23" borderId="0" applyNumberFormat="0" applyBorder="0" applyAlignment="0" applyProtection="0"/>
    <xf numFmtId="0" fontId="1" fillId="15" borderId="0" applyNumberFormat="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252" fillId="0" borderId="65" applyNumberFormat="0" applyFill="0" applyAlignment="0" applyProtection="0"/>
    <xf numFmtId="0" fontId="1" fillId="21" borderId="0" applyNumberFormat="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1" fillId="21" borderId="0" applyNumberFormat="0" applyBorder="0" applyAlignment="0" applyProtection="0"/>
    <xf numFmtId="0" fontId="252" fillId="0" borderId="65" applyNumberFormat="0" applyFill="0" applyAlignment="0" applyProtection="0"/>
    <xf numFmtId="0" fontId="1" fillId="23" borderId="0" applyNumberFormat="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252" fillId="0" borderId="65" applyNumberFormat="0" applyFill="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1" fillId="21" borderId="0" applyNumberFormat="0" applyBorder="0" applyAlignment="0" applyProtection="0"/>
    <xf numFmtId="0" fontId="1" fillId="23" borderId="0" applyNumberFormat="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1" fillId="13" borderId="0" applyNumberFormat="0" applyBorder="0" applyAlignment="0" applyProtection="0"/>
    <xf numFmtId="0" fontId="1" fillId="23" borderId="0" applyNumberFormat="0" applyBorder="0" applyAlignment="0" applyProtection="0"/>
    <xf numFmtId="0" fontId="1" fillId="15" borderId="0" applyNumberFormat="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1" fillId="21" borderId="0" applyNumberFormat="0" applyBorder="0" applyAlignment="0" applyProtection="0"/>
    <xf numFmtId="0" fontId="1" fillId="23" borderId="0" applyNumberFormat="0" applyBorder="0" applyAlignment="0" applyProtection="0"/>
    <xf numFmtId="9" fontId="1" fillId="0" borderId="0" applyFont="0" applyFill="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43" fontId="1" fillId="0" borderId="0" applyFont="0" applyFill="0" applyBorder="0" applyAlignment="0" applyProtection="0"/>
    <xf numFmtId="0" fontId="1" fillId="15" borderId="0" applyNumberFormat="0" applyBorder="0" applyAlignment="0" applyProtection="0"/>
    <xf numFmtId="0" fontId="1" fillId="23" borderId="0" applyNumberFormat="0" applyBorder="0" applyAlignment="0" applyProtection="0"/>
    <xf numFmtId="0" fontId="1" fillId="15" borderId="0" applyNumberFormat="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1" fillId="21" borderId="0" applyNumberFormat="0" applyBorder="0" applyAlignment="0" applyProtection="0"/>
    <xf numFmtId="9" fontId="1" fillId="0" borderId="0" applyFont="0" applyFill="0" applyBorder="0" applyAlignment="0" applyProtection="0"/>
    <xf numFmtId="0" fontId="1" fillId="23" borderId="0" applyNumberFormat="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1" fillId="23"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23" borderId="0" applyNumberFormat="0" applyBorder="0" applyAlignment="0" applyProtection="0"/>
    <xf numFmtId="0" fontId="1" fillId="15" borderId="0" applyNumberFormat="0" applyBorder="0" applyAlignment="0" applyProtection="0"/>
    <xf numFmtId="0" fontId="249" fillId="64" borderId="64" applyNumberFormat="0" applyAlignment="0" applyProtection="0"/>
    <xf numFmtId="0" fontId="248" fillId="0" borderId="63" applyNumberFormat="0" applyFill="0" applyAlignment="0" applyProtection="0"/>
    <xf numFmtId="0" fontId="247" fillId="63" borderId="61" applyNumberFormat="0" applyAlignment="0" applyProtection="0"/>
    <xf numFmtId="0" fontId="246" fillId="63" borderId="62" applyNumberFormat="0" applyAlignment="0" applyProtection="0"/>
    <xf numFmtId="0" fontId="245" fillId="62" borderId="61" applyNumberFormat="0" applyAlignment="0" applyProtection="0"/>
    <xf numFmtId="0" fontId="244" fillId="61" borderId="0" applyNumberFormat="0" applyBorder="0" applyAlignment="0" applyProtection="0"/>
    <xf numFmtId="0" fontId="243" fillId="60" borderId="0" applyNumberFormat="0" applyBorder="0" applyAlignment="0" applyProtection="0"/>
    <xf numFmtId="0" fontId="242" fillId="59" borderId="0" applyNumberFormat="0" applyBorder="0" applyAlignment="0" applyProtection="0"/>
    <xf numFmtId="0" fontId="241" fillId="0" borderId="0" applyNumberFormat="0" applyFill="0" applyBorder="0" applyAlignment="0" applyProtection="0"/>
    <xf numFmtId="0" fontId="241" fillId="0" borderId="60" applyNumberFormat="0" applyFill="0" applyAlignment="0" applyProtection="0"/>
    <xf numFmtId="0" fontId="240" fillId="0" borderId="59" applyNumberFormat="0" applyFill="0" applyAlignment="0" applyProtection="0"/>
    <xf numFmtId="0" fontId="239" fillId="0" borderId="58" applyNumberFormat="0" applyFill="0" applyAlignment="0" applyProtection="0"/>
    <xf numFmtId="0" fontId="1" fillId="21" borderId="0" applyNumberFormat="0" applyBorder="0" applyAlignment="0" applyProtection="0"/>
    <xf numFmtId="0" fontId="1" fillId="2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37" fillId="0" borderId="0" applyNumberFormat="0" applyFill="0" applyBorder="0" applyAlignment="0" applyProtection="0">
      <alignment vertical="top"/>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3" borderId="0" applyNumberFormat="0" applyBorder="0" applyAlignment="0" applyProtection="0"/>
    <xf numFmtId="0" fontId="1" fillId="15" borderId="0" applyNumberFormat="0" applyBorder="0" applyAlignment="0" applyProtection="0"/>
    <xf numFmtId="0" fontId="1" fillId="0" borderId="0"/>
    <xf numFmtId="0" fontId="1" fillId="15" borderId="0" applyNumberFormat="0" applyBorder="0" applyAlignment="0" applyProtection="0"/>
    <xf numFmtId="44" fontId="1" fillId="0" borderId="0" applyFont="0" applyFill="0" applyBorder="0" applyAlignment="0" applyProtection="0"/>
    <xf numFmtId="0" fontId="1" fillId="11" borderId="32" applyNumberFormat="0" applyFon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0" borderId="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5" borderId="0" applyNumberFormat="0" applyBorder="0" applyAlignment="0" applyProtection="0"/>
    <xf numFmtId="0" fontId="1" fillId="2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1"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43" fontId="1" fillId="0" borderId="0" applyFont="0" applyFill="0" applyBorder="0" applyAlignment="0" applyProtection="0"/>
    <xf numFmtId="0" fontId="1" fillId="21"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3" borderId="0" applyNumberFormat="0" applyBorder="0" applyAlignment="0" applyProtection="0"/>
    <xf numFmtId="0" fontId="1" fillId="15"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3" borderId="0" applyNumberFormat="0" applyBorder="0" applyAlignment="0" applyProtection="0"/>
    <xf numFmtId="0" fontId="1" fillId="15"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15" borderId="0" applyNumberFormat="0" applyBorder="0" applyAlignment="0" applyProtection="0"/>
    <xf numFmtId="0" fontId="1" fillId="21" borderId="0" applyNumberFormat="0" applyBorder="0" applyAlignment="0" applyProtection="0"/>
    <xf numFmtId="0" fontId="1" fillId="23" borderId="0" applyNumberFormat="0" applyBorder="0" applyAlignment="0" applyProtection="0"/>
    <xf numFmtId="0" fontId="1" fillId="13" borderId="0" applyNumberFormat="0" applyBorder="0" applyAlignment="0" applyProtection="0"/>
    <xf numFmtId="0" fontId="1" fillId="23" borderId="0" applyNumberFormat="0" applyBorder="0" applyAlignment="0" applyProtection="0"/>
    <xf numFmtId="0" fontId="1" fillId="15" borderId="0" applyNumberFormat="0" applyBorder="0" applyAlignment="0" applyProtection="0"/>
    <xf numFmtId="0" fontId="1" fillId="21" borderId="0" applyNumberFormat="0" applyBorder="0" applyAlignment="0" applyProtection="0"/>
    <xf numFmtId="0" fontId="1" fillId="23" borderId="0" applyNumberFormat="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15" borderId="0" applyNumberFormat="0" applyBorder="0" applyAlignment="0" applyProtection="0"/>
    <xf numFmtId="0" fontId="1" fillId="23" borderId="0" applyNumberFormat="0" applyBorder="0" applyAlignment="0" applyProtection="0"/>
    <xf numFmtId="0" fontId="1" fillId="15" borderId="0" applyNumberFormat="0" applyBorder="0" applyAlignment="0" applyProtection="0"/>
    <xf numFmtId="0" fontId="1" fillId="21" borderId="0" applyNumberFormat="0" applyBorder="0" applyAlignment="0" applyProtection="0"/>
    <xf numFmtId="9" fontId="1" fillId="0" borderId="0" applyFont="0" applyFill="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23" borderId="0" applyNumberFormat="0" applyBorder="0" applyAlignment="0" applyProtection="0"/>
    <xf numFmtId="0" fontId="1" fillId="15" borderId="0" applyNumberFormat="0" applyBorder="0" applyAlignment="0" applyProtection="0"/>
    <xf numFmtId="0" fontId="1" fillId="21" borderId="0" applyNumberFormat="0" applyBorder="0" applyAlignment="0" applyProtection="0"/>
    <xf numFmtId="0" fontId="1" fillId="2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0" fontId="1" fillId="11" borderId="32"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43" fontId="7" fillId="0" borderId="0" applyFont="0" applyFill="0" applyBorder="0" applyAlignment="0" applyProtection="0"/>
    <xf numFmtId="44" fontId="7" fillId="0" borderId="0" applyFont="0" applyFill="0" applyBorder="0" applyAlignment="0" applyProtection="0"/>
    <xf numFmtId="183" fontId="46" fillId="0" borderId="27" applyFont="0" applyFill="0" applyBorder="0" applyAlignment="0" applyProtection="0"/>
    <xf numFmtId="9" fontId="7" fillId="0" borderId="0" applyFont="0" applyFill="0" applyBorder="0" applyAlignment="0" applyProtection="0"/>
    <xf numFmtId="193" fontId="48" fillId="0" borderId="85" applyFill="0" applyBorder="0" applyProtection="0">
      <alignment horizontal="right"/>
      <protection locked="0"/>
    </xf>
    <xf numFmtId="194" fontId="48" fillId="0" borderId="85" applyFill="0" applyBorder="0" applyProtection="0">
      <alignment horizontal="right"/>
      <protection locked="0"/>
    </xf>
    <xf numFmtId="195" fontId="48" fillId="0" borderId="85" applyFill="0" applyBorder="0" applyProtection="0">
      <alignment horizontal="right"/>
      <protection locked="0"/>
    </xf>
    <xf numFmtId="0" fontId="174" fillId="0" borderId="68" applyFill="0" applyProtection="0">
      <alignment horizontal="right"/>
    </xf>
    <xf numFmtId="0" fontId="149" fillId="41" borderId="41" applyNumberFormat="0" applyAlignment="0" applyProtection="0"/>
    <xf numFmtId="0" fontId="156" fillId="33" borderId="41" applyNumberFormat="0" applyAlignment="0" applyProtection="0"/>
    <xf numFmtId="0" fontId="7" fillId="37" borderId="52" applyNumberFormat="0" applyFont="0" applyAlignment="0" applyProtection="0"/>
    <xf numFmtId="0" fontId="7" fillId="37" borderId="52" applyNumberFormat="0" applyFont="0" applyAlignment="0" applyProtection="0"/>
    <xf numFmtId="0" fontId="7" fillId="37" borderId="52" applyNumberFormat="0" applyFont="0" applyAlignment="0" applyProtection="0"/>
    <xf numFmtId="0" fontId="159" fillId="41" borderId="53" applyNumberFormat="0" applyAlignment="0" applyProtection="0"/>
    <xf numFmtId="0" fontId="161" fillId="0" borderId="56" applyNumberFormat="0" applyFill="0" applyAlignment="0" applyProtection="0"/>
    <xf numFmtId="183" fontId="46" fillId="0" borderId="87" applyFont="0" applyFill="0" applyBorder="0" applyAlignment="0" applyProtection="0"/>
    <xf numFmtId="0" fontId="72" fillId="0" borderId="97">
      <alignment horizontal="center"/>
    </xf>
    <xf numFmtId="0" fontId="72" fillId="0" borderId="97">
      <alignment horizontal="center"/>
    </xf>
    <xf numFmtId="1" fontId="91" fillId="0" borderId="104" applyNumberFormat="0" applyFont="0" applyFill="0" applyAlignment="0" applyProtection="0">
      <alignment horizontal="center"/>
    </xf>
    <xf numFmtId="0" fontId="115" fillId="55" borderId="103" applyNumberFormat="0" applyAlignment="0" applyProtection="0"/>
    <xf numFmtId="0" fontId="114" fillId="41" borderId="102" applyNumberFormat="0" applyAlignment="0" applyProtection="0"/>
    <xf numFmtId="0" fontId="7" fillId="37" borderId="101" applyNumberFormat="0" applyFont="0" applyAlignment="0" applyProtection="0"/>
    <xf numFmtId="0" fontId="7" fillId="37" borderId="101" applyNumberFormat="0" applyFont="0" applyAlignment="0" applyProtection="0"/>
    <xf numFmtId="0" fontId="93" fillId="41" borderId="88" applyNumberFormat="0" applyAlignment="0" applyProtection="0"/>
    <xf numFmtId="0" fontId="94" fillId="55" borderId="88" applyNumberFormat="0" applyAlignment="0" applyProtection="0"/>
    <xf numFmtId="0" fontId="107" fillId="43" borderId="100" applyNumberFormat="0" applyAlignment="0" applyProtection="0"/>
    <xf numFmtId="0" fontId="75" fillId="0" borderId="86">
      <alignment horizontal="left" vertical="center"/>
    </xf>
    <xf numFmtId="0" fontId="75" fillId="0" borderId="98">
      <alignment horizontal="left" vertical="center"/>
    </xf>
    <xf numFmtId="0" fontId="104" fillId="0" borderId="89" applyNumberFormat="0" applyFill="0" applyAlignment="0" applyProtection="0"/>
    <xf numFmtId="0" fontId="105" fillId="0" borderId="90" applyNumberFormat="0" applyFill="0" applyAlignment="0" applyProtection="0"/>
    <xf numFmtId="0" fontId="106" fillId="33" borderId="88" applyNumberFormat="0" applyAlignment="0" applyProtection="0"/>
    <xf numFmtId="0" fontId="107" fillId="43" borderId="88" applyNumberFormat="0" applyAlignment="0" applyProtection="0"/>
    <xf numFmtId="0" fontId="94" fillId="55" borderId="100" applyNumberFormat="0" applyAlignment="0" applyProtection="0"/>
    <xf numFmtId="0" fontId="93" fillId="41" borderId="100" applyNumberFormat="0" applyAlignment="0" applyProtection="0"/>
    <xf numFmtId="0" fontId="7" fillId="37" borderId="91" applyNumberFormat="0" applyFont="0" applyAlignment="0" applyProtection="0"/>
    <xf numFmtId="0" fontId="7" fillId="37" borderId="91" applyNumberFormat="0" applyFont="0" applyAlignment="0" applyProtection="0"/>
    <xf numFmtId="0" fontId="114" fillId="41" borderId="92" applyNumberFormat="0" applyAlignment="0" applyProtection="0"/>
    <xf numFmtId="0" fontId="115" fillId="55" borderId="93" applyNumberFormat="0" applyAlignment="0" applyProtection="0"/>
    <xf numFmtId="183" fontId="46" fillId="0" borderId="99" applyFont="0" applyFill="0" applyBorder="0" applyAlignment="0" applyProtection="0"/>
    <xf numFmtId="1" fontId="91" fillId="0" borderId="94" applyNumberFormat="0" applyFont="0" applyFill="0" applyAlignment="0" applyProtection="0">
      <alignment horizontal="center"/>
    </xf>
    <xf numFmtId="0" fontId="119" fillId="0" borderId="95" applyNumberFormat="0" applyFill="0" applyAlignment="0" applyProtection="0"/>
    <xf numFmtId="0" fontId="119" fillId="0" borderId="96" applyNumberFormat="0" applyFill="0" applyAlignment="0" applyProtection="0"/>
    <xf numFmtId="0" fontId="106" fillId="33" borderId="100" applyNumberFormat="0" applyAlignment="0" applyProtection="0"/>
    <xf numFmtId="0" fontId="119" fillId="0" borderId="105" applyNumberFormat="0" applyFill="0" applyAlignment="0" applyProtection="0"/>
    <xf numFmtId="0" fontId="119" fillId="0" borderId="106" applyNumberFormat="0" applyFill="0" applyAlignment="0" applyProtection="0"/>
    <xf numFmtId="1" fontId="91" fillId="0" borderId="94" applyNumberFormat="0" applyFont="0" applyFill="0" applyAlignment="0" applyProtection="0">
      <alignment horizontal="center"/>
    </xf>
  </cellStyleXfs>
  <cellXfs count="1182">
    <xf numFmtId="0" fontId="0" fillId="0" borderId="0" xfId="0"/>
    <xf numFmtId="0" fontId="2" fillId="0" borderId="0" xfId="0" applyFont="1"/>
    <xf numFmtId="0" fontId="3" fillId="2" borderId="1" xfId="0" applyFont="1" applyFill="1" applyBorder="1"/>
    <xf numFmtId="0" fontId="3" fillId="2" borderId="2" xfId="0" applyFont="1" applyFill="1" applyBorder="1" applyAlignment="1">
      <alignment horizontal="center"/>
    </xf>
    <xf numFmtId="0" fontId="3" fillId="2" borderId="3" xfId="0" applyFont="1" applyFill="1" applyBorder="1" applyAlignment="1">
      <alignment horizontal="center"/>
    </xf>
    <xf numFmtId="0" fontId="3" fillId="2" borderId="3" xfId="2" applyNumberFormat="1" applyFont="1" applyFill="1" applyBorder="1" applyAlignment="1">
      <alignment horizontal="center"/>
    </xf>
    <xf numFmtId="0" fontId="3" fillId="2" borderId="2" xfId="2" applyNumberFormat="1" applyFont="1" applyFill="1" applyBorder="1" applyAlignment="1">
      <alignment horizontal="center"/>
    </xf>
    <xf numFmtId="0" fontId="4" fillId="0" borderId="0" xfId="0" applyFont="1"/>
    <xf numFmtId="0" fontId="4" fillId="0" borderId="4" xfId="0" applyFont="1" applyBorder="1"/>
    <xf numFmtId="0" fontId="4" fillId="0" borderId="5" xfId="0" applyFont="1" applyBorder="1"/>
    <xf numFmtId="164" fontId="4" fillId="0" borderId="0" xfId="1" applyNumberFormat="1" applyFont="1"/>
    <xf numFmtId="164" fontId="4" fillId="0" borderId="4" xfId="1" applyNumberFormat="1" applyFont="1" applyBorder="1"/>
    <xf numFmtId="164" fontId="4" fillId="0" borderId="0" xfId="1" applyNumberFormat="1" applyFont="1" applyBorder="1"/>
    <xf numFmtId="164" fontId="4" fillId="0" borderId="5" xfId="1" applyNumberFormat="1" applyFont="1" applyBorder="1"/>
    <xf numFmtId="0" fontId="6" fillId="0" borderId="1" xfId="0" applyFont="1" applyBorder="1"/>
    <xf numFmtId="0" fontId="4" fillId="0" borderId="3" xfId="0" applyFont="1" applyBorder="1"/>
    <xf numFmtId="164" fontId="4" fillId="0" borderId="2" xfId="1" applyNumberFormat="1" applyFont="1" applyBorder="1"/>
    <xf numFmtId="0" fontId="7" fillId="0" borderId="4" xfId="2" applyNumberFormat="1" applyFont="1" applyFill="1" applyBorder="1" applyAlignment="1">
      <alignment horizontal="left"/>
    </xf>
    <xf numFmtId="166" fontId="7" fillId="0" borderId="0" xfId="2" applyNumberFormat="1" applyFont="1" applyFill="1" applyBorder="1"/>
    <xf numFmtId="166" fontId="7" fillId="0" borderId="4" xfId="2" applyNumberFormat="1" applyFont="1" applyFill="1" applyBorder="1"/>
    <xf numFmtId="167" fontId="4" fillId="0" borderId="5" xfId="0" applyNumberFormat="1" applyFont="1" applyBorder="1"/>
    <xf numFmtId="167" fontId="4" fillId="0" borderId="0" xfId="0" applyNumberFormat="1" applyFont="1"/>
    <xf numFmtId="164" fontId="4" fillId="0" borderId="0" xfId="0" applyNumberFormat="1" applyFont="1"/>
    <xf numFmtId="164" fontId="4" fillId="0" borderId="5" xfId="0" applyNumberFormat="1" applyFont="1" applyBorder="1"/>
    <xf numFmtId="0" fontId="9" fillId="0" borderId="4" xfId="2" applyNumberFormat="1" applyFont="1" applyFill="1" applyBorder="1" applyAlignment="1">
      <alignment horizontal="left"/>
    </xf>
    <xf numFmtId="166" fontId="7" fillId="0" borderId="7" xfId="2" applyNumberFormat="1" applyFont="1" applyFill="1" applyBorder="1"/>
    <xf numFmtId="0" fontId="4" fillId="0" borderId="7" xfId="0" applyFont="1" applyBorder="1"/>
    <xf numFmtId="0" fontId="6" fillId="0" borderId="0" xfId="0" applyFont="1"/>
    <xf numFmtId="0" fontId="9" fillId="0" borderId="1" xfId="2" applyNumberFormat="1" applyFont="1" applyFill="1" applyBorder="1" applyAlignment="1">
      <alignment horizontal="left"/>
    </xf>
    <xf numFmtId="166" fontId="9" fillId="0" borderId="3" xfId="2" applyNumberFormat="1" applyFont="1" applyFill="1" applyBorder="1"/>
    <xf numFmtId="167" fontId="9" fillId="0" borderId="2" xfId="2" applyNumberFormat="1" applyFont="1" applyFill="1" applyBorder="1"/>
    <xf numFmtId="167" fontId="9" fillId="0" borderId="3" xfId="2" applyNumberFormat="1" applyFont="1" applyFill="1" applyBorder="1"/>
    <xf numFmtId="164" fontId="6" fillId="0" borderId="3" xfId="0" applyNumberFormat="1" applyFont="1" applyBorder="1"/>
    <xf numFmtId="164" fontId="6" fillId="0" borderId="2" xfId="0" applyNumberFormat="1" applyFont="1" applyBorder="1"/>
    <xf numFmtId="0" fontId="6" fillId="0" borderId="4" xfId="0" applyFont="1" applyBorder="1"/>
    <xf numFmtId="164" fontId="4" fillId="0" borderId="0" xfId="1" applyNumberFormat="1" applyFont="1" applyFill="1" applyBorder="1"/>
    <xf numFmtId="168" fontId="4" fillId="0" borderId="5" xfId="0" applyNumberFormat="1" applyFont="1" applyBorder="1"/>
    <xf numFmtId="164" fontId="4" fillId="0" borderId="3" xfId="1" applyNumberFormat="1" applyFont="1" applyBorder="1"/>
    <xf numFmtId="164" fontId="4" fillId="0" borderId="5" xfId="1" applyNumberFormat="1" applyFont="1" applyFill="1" applyBorder="1"/>
    <xf numFmtId="0" fontId="4" fillId="0" borderId="1" xfId="0" applyFont="1" applyBorder="1"/>
    <xf numFmtId="167" fontId="4" fillId="0" borderId="2" xfId="0" applyNumberFormat="1" applyFont="1" applyBorder="1"/>
    <xf numFmtId="167" fontId="4" fillId="0" borderId="3" xfId="0" applyNumberFormat="1" applyFont="1" applyBorder="1"/>
    <xf numFmtId="43" fontId="4" fillId="0" borderId="0" xfId="1" applyFont="1"/>
    <xf numFmtId="43" fontId="4" fillId="0" borderId="0" xfId="1" applyFont="1" applyBorder="1"/>
    <xf numFmtId="43" fontId="4" fillId="0" borderId="5" xfId="1" applyFont="1" applyBorder="1"/>
    <xf numFmtId="0" fontId="4" fillId="0" borderId="8" xfId="0" applyFont="1" applyBorder="1"/>
    <xf numFmtId="0" fontId="4" fillId="0" borderId="9" xfId="0" applyFont="1" applyBorder="1"/>
    <xf numFmtId="0" fontId="4" fillId="0" borderId="6" xfId="0" applyFont="1" applyBorder="1"/>
    <xf numFmtId="0" fontId="4" fillId="0" borderId="10" xfId="0" applyFont="1" applyBorder="1"/>
    <xf numFmtId="0" fontId="4" fillId="0" borderId="11" xfId="0" applyFont="1" applyBorder="1"/>
    <xf numFmtId="164" fontId="4" fillId="0" borderId="7" xfId="1" applyNumberFormat="1" applyFont="1" applyBorder="1"/>
    <xf numFmtId="164" fontId="4" fillId="0" borderId="11" xfId="1" applyNumberFormat="1" applyFont="1" applyBorder="1"/>
    <xf numFmtId="164" fontId="4" fillId="0" borderId="1" xfId="1" applyNumberFormat="1" applyFont="1" applyBorder="1"/>
    <xf numFmtId="43" fontId="4" fillId="0" borderId="10" xfId="1" applyFont="1" applyBorder="1"/>
    <xf numFmtId="43" fontId="4" fillId="0" borderId="11" xfId="1" applyFont="1" applyBorder="1"/>
    <xf numFmtId="43" fontId="4" fillId="0" borderId="7" xfId="1" applyFont="1" applyBorder="1"/>
    <xf numFmtId="164" fontId="5" fillId="0" borderId="0" xfId="1" applyNumberFormat="1" applyFont="1" applyFill="1" applyBorder="1"/>
    <xf numFmtId="164" fontId="3" fillId="2" borderId="3" xfId="1" applyNumberFormat="1" applyFont="1" applyFill="1" applyBorder="1" applyAlignment="1">
      <alignment horizontal="center"/>
    </xf>
    <xf numFmtId="164" fontId="9" fillId="0" borderId="3" xfId="1" applyNumberFormat="1" applyFont="1" applyFill="1" applyBorder="1"/>
    <xf numFmtId="164" fontId="4" fillId="0" borderId="9" xfId="1" applyNumberFormat="1" applyFont="1" applyBorder="1"/>
    <xf numFmtId="164" fontId="7" fillId="0" borderId="0" xfId="1" applyNumberFormat="1" applyFont="1" applyFill="1" applyBorder="1"/>
    <xf numFmtId="164" fontId="5" fillId="0" borderId="5" xfId="1" applyNumberFormat="1" applyFont="1" applyFill="1" applyBorder="1"/>
    <xf numFmtId="164" fontId="7" fillId="0" borderId="5" xfId="1" applyNumberFormat="1" applyFont="1" applyFill="1" applyBorder="1"/>
    <xf numFmtId="164" fontId="5" fillId="0" borderId="0" xfId="1" applyNumberFormat="1" applyFont="1" applyBorder="1"/>
    <xf numFmtId="164" fontId="5" fillId="0" borderId="5" xfId="1" applyNumberFormat="1" applyFont="1" applyBorder="1"/>
    <xf numFmtId="164" fontId="4" fillId="0" borderId="6" xfId="1" applyNumberFormat="1" applyFont="1" applyBorder="1"/>
    <xf numFmtId="164" fontId="4" fillId="0" borderId="13" xfId="1" applyNumberFormat="1" applyFont="1" applyBorder="1"/>
    <xf numFmtId="0" fontId="11" fillId="0" borderId="0" xfId="0" applyFont="1"/>
    <xf numFmtId="164" fontId="11" fillId="0" borderId="0" xfId="1" applyNumberFormat="1" applyFont="1"/>
    <xf numFmtId="0" fontId="6" fillId="0" borderId="10" xfId="0" applyFont="1" applyBorder="1"/>
    <xf numFmtId="164" fontId="6" fillId="0" borderId="5" xfId="1" applyNumberFormat="1" applyFont="1" applyBorder="1"/>
    <xf numFmtId="164" fontId="6" fillId="0" borderId="0" xfId="1" applyNumberFormat="1" applyFont="1" applyBorder="1"/>
    <xf numFmtId="0" fontId="6" fillId="0" borderId="11" xfId="0" applyFont="1" applyBorder="1"/>
    <xf numFmtId="164" fontId="6" fillId="0" borderId="7" xfId="1" applyNumberFormat="1" applyFont="1" applyBorder="1"/>
    <xf numFmtId="164" fontId="6" fillId="0" borderId="11" xfId="1" applyNumberFormat="1" applyFont="1" applyBorder="1"/>
    <xf numFmtId="169" fontId="12" fillId="0" borderId="0" xfId="0" applyNumberFormat="1" applyFont="1"/>
    <xf numFmtId="165" fontId="4" fillId="0" borderId="0" xfId="3" applyNumberFormat="1" applyFont="1"/>
    <xf numFmtId="0" fontId="13" fillId="0" borderId="0" xfId="0" applyFont="1"/>
    <xf numFmtId="0" fontId="14" fillId="0" borderId="4" xfId="0" applyFont="1" applyBorder="1"/>
    <xf numFmtId="164" fontId="4" fillId="0" borderId="12" xfId="1" applyNumberFormat="1" applyFont="1" applyBorder="1"/>
    <xf numFmtId="164" fontId="11" fillId="0" borderId="0" xfId="1" applyNumberFormat="1" applyFont="1" applyBorder="1"/>
    <xf numFmtId="164" fontId="7" fillId="0" borderId="0" xfId="1" applyNumberFormat="1" applyFont="1" applyBorder="1"/>
    <xf numFmtId="164" fontId="7" fillId="0" borderId="4" xfId="1" applyNumberFormat="1" applyFont="1" applyFill="1" applyBorder="1"/>
    <xf numFmtId="164" fontId="15" fillId="0" borderId="0" xfId="1" applyNumberFormat="1" applyFont="1"/>
    <xf numFmtId="164" fontId="8" fillId="0" borderId="0" xfId="1" applyNumberFormat="1" applyFont="1" applyFill="1" applyBorder="1"/>
    <xf numFmtId="164" fontId="8" fillId="0" borderId="0" xfId="1" applyNumberFormat="1" applyFont="1" applyBorder="1"/>
    <xf numFmtId="164" fontId="10" fillId="0" borderId="0" xfId="0" applyNumberFormat="1" applyFont="1"/>
    <xf numFmtId="43" fontId="4" fillId="0" borderId="14" xfId="1" applyFont="1" applyBorder="1"/>
    <xf numFmtId="164" fontId="4" fillId="0" borderId="8" xfId="1" applyNumberFormat="1" applyFont="1" applyBorder="1"/>
    <xf numFmtId="164" fontId="4" fillId="0" borderId="15" xfId="1" applyNumberFormat="1" applyFont="1" applyBorder="1"/>
    <xf numFmtId="165" fontId="10" fillId="0" borderId="0" xfId="3" applyNumberFormat="1" applyFont="1"/>
    <xf numFmtId="164" fontId="11" fillId="0" borderId="0" xfId="0" applyNumberFormat="1" applyFont="1"/>
    <xf numFmtId="170" fontId="4" fillId="0" borderId="5" xfId="1" applyNumberFormat="1" applyFont="1" applyBorder="1"/>
    <xf numFmtId="164" fontId="4" fillId="0" borderId="11" xfId="0" applyNumberFormat="1" applyFont="1" applyBorder="1"/>
    <xf numFmtId="164" fontId="7" fillId="0" borderId="5" xfId="1" applyNumberFormat="1" applyFont="1" applyBorder="1"/>
    <xf numFmtId="164" fontId="9" fillId="0" borderId="5" xfId="1" applyNumberFormat="1" applyFont="1" applyBorder="1"/>
    <xf numFmtId="164" fontId="4" fillId="0" borderId="7" xfId="0" applyNumberFormat="1" applyFont="1" applyBorder="1"/>
    <xf numFmtId="165" fontId="19" fillId="0" borderId="0" xfId="3" applyNumberFormat="1" applyFont="1"/>
    <xf numFmtId="165" fontId="19" fillId="0" borderId="4" xfId="3" applyNumberFormat="1" applyFont="1" applyBorder="1"/>
    <xf numFmtId="165" fontId="19" fillId="0" borderId="0" xfId="3" applyNumberFormat="1" applyFont="1" applyBorder="1"/>
    <xf numFmtId="165" fontId="19" fillId="0" borderId="5" xfId="3" applyNumberFormat="1" applyFont="1" applyBorder="1"/>
    <xf numFmtId="165" fontId="19" fillId="0" borderId="7" xfId="3" applyNumberFormat="1" applyFont="1" applyBorder="1"/>
    <xf numFmtId="165" fontId="19" fillId="0" borderId="6" xfId="3" applyNumberFormat="1" applyFont="1" applyBorder="1"/>
    <xf numFmtId="165" fontId="21" fillId="0" borderId="0" xfId="3" applyNumberFormat="1" applyFont="1"/>
    <xf numFmtId="165" fontId="22" fillId="0" borderId="0" xfId="3" applyNumberFormat="1" applyFont="1" applyFill="1" applyBorder="1"/>
    <xf numFmtId="164" fontId="19" fillId="0" borderId="5" xfId="0" applyNumberFormat="1" applyFont="1" applyBorder="1"/>
    <xf numFmtId="165" fontId="19" fillId="0" borderId="0" xfId="3" applyNumberFormat="1" applyFont="1" applyFill="1" applyBorder="1"/>
    <xf numFmtId="0" fontId="21" fillId="0" borderId="0" xfId="0" applyFont="1"/>
    <xf numFmtId="165" fontId="19" fillId="0" borderId="5" xfId="3" applyNumberFormat="1" applyFont="1" applyFill="1" applyBorder="1"/>
    <xf numFmtId="165" fontId="19" fillId="0" borderId="10" xfId="3" applyNumberFormat="1" applyFont="1" applyBorder="1"/>
    <xf numFmtId="165" fontId="19" fillId="0" borderId="11" xfId="3" applyNumberFormat="1" applyFont="1" applyBorder="1"/>
    <xf numFmtId="168" fontId="4" fillId="0" borderId="0" xfId="0" applyNumberFormat="1" applyFont="1"/>
    <xf numFmtId="41" fontId="4" fillId="0" borderId="0" xfId="0" applyNumberFormat="1" applyFont="1"/>
    <xf numFmtId="41" fontId="7" fillId="0" borderId="5" xfId="1" applyNumberFormat="1" applyFont="1" applyBorder="1"/>
    <xf numFmtId="41" fontId="10" fillId="0" borderId="0" xfId="1" applyNumberFormat="1" applyFont="1" applyBorder="1"/>
    <xf numFmtId="41" fontId="4" fillId="0" borderId="5" xfId="0" applyNumberFormat="1" applyFont="1" applyBorder="1"/>
    <xf numFmtId="2" fontId="4" fillId="0" borderId="0" xfId="0" applyNumberFormat="1" applyFont="1"/>
    <xf numFmtId="169" fontId="4" fillId="0" borderId="0" xfId="0" applyNumberFormat="1" applyFont="1"/>
    <xf numFmtId="0" fontId="23" fillId="0" borderId="16" xfId="0" applyFont="1" applyBorder="1"/>
    <xf numFmtId="0" fontId="23" fillId="0" borderId="17" xfId="0" applyFont="1" applyBorder="1"/>
    <xf numFmtId="0" fontId="23" fillId="0" borderId="18" xfId="0" applyFont="1" applyBorder="1"/>
    <xf numFmtId="0" fontId="23" fillId="0" borderId="4" xfId="0" applyFont="1" applyBorder="1" applyAlignment="1">
      <alignment vertical="top"/>
    </xf>
    <xf numFmtId="0" fontId="23" fillId="0" borderId="0" xfId="0" applyFont="1" applyAlignment="1">
      <alignment vertical="top"/>
    </xf>
    <xf numFmtId="0" fontId="23" fillId="0" borderId="0" xfId="0" applyFont="1"/>
    <xf numFmtId="0" fontId="23" fillId="0" borderId="12" xfId="0" applyFont="1" applyBorder="1" applyAlignment="1">
      <alignment vertical="top" wrapText="1"/>
    </xf>
    <xf numFmtId="0" fontId="23" fillId="3" borderId="4" xfId="0" applyFont="1" applyFill="1" applyBorder="1" applyAlignment="1">
      <alignment vertical="top"/>
    </xf>
    <xf numFmtId="0" fontId="23" fillId="3" borderId="0" xfId="0" applyFont="1" applyFill="1" applyAlignment="1">
      <alignment vertical="top"/>
    </xf>
    <xf numFmtId="0" fontId="23" fillId="3" borderId="0" xfId="0" applyFont="1" applyFill="1"/>
    <xf numFmtId="0" fontId="23" fillId="3" borderId="12" xfId="0" applyFont="1" applyFill="1" applyBorder="1" applyAlignment="1">
      <alignment vertical="top" wrapText="1"/>
    </xf>
    <xf numFmtId="17" fontId="23" fillId="3" borderId="4" xfId="0" applyNumberFormat="1" applyFont="1" applyFill="1" applyBorder="1" applyAlignment="1">
      <alignment vertical="top"/>
    </xf>
    <xf numFmtId="17" fontId="23" fillId="0" borderId="4" xfId="0" applyNumberFormat="1" applyFont="1" applyBorder="1" applyAlignment="1">
      <alignment vertical="top"/>
    </xf>
    <xf numFmtId="0" fontId="23" fillId="3" borderId="0" xfId="0" applyFont="1" applyFill="1" applyAlignment="1">
      <alignment vertical="top" wrapText="1"/>
    </xf>
    <xf numFmtId="0" fontId="23" fillId="0" borderId="19" xfId="0" applyFont="1" applyBorder="1" applyAlignment="1">
      <alignment vertical="top"/>
    </xf>
    <xf numFmtId="0" fontId="23" fillId="0" borderId="10" xfId="0" applyFont="1" applyBorder="1"/>
    <xf numFmtId="0" fontId="23" fillId="0" borderId="11" xfId="0" applyFont="1" applyBorder="1"/>
    <xf numFmtId="0" fontId="23" fillId="0" borderId="14" xfId="0" applyFont="1" applyBorder="1"/>
    <xf numFmtId="0" fontId="24" fillId="0" borderId="0" xfId="0" applyFont="1"/>
    <xf numFmtId="0" fontId="23" fillId="0" borderId="0" xfId="0" applyFont="1" applyAlignment="1">
      <alignment vertical="top" wrapText="1"/>
    </xf>
    <xf numFmtId="0" fontId="23" fillId="0" borderId="19" xfId="0" applyFont="1" applyBorder="1"/>
    <xf numFmtId="0" fontId="24" fillId="0" borderId="19" xfId="0" applyFont="1" applyBorder="1"/>
    <xf numFmtId="0" fontId="0" fillId="0" borderId="0" xfId="0" applyAlignment="1">
      <alignment vertical="top"/>
    </xf>
    <xf numFmtId="0" fontId="0" fillId="0" borderId="0" xfId="0" applyAlignment="1">
      <alignment vertical="top" wrapText="1"/>
    </xf>
    <xf numFmtId="0" fontId="0" fillId="0" borderId="19" xfId="0" applyBorder="1"/>
    <xf numFmtId="0" fontId="26" fillId="0" borderId="19" xfId="0" applyFont="1" applyBorder="1"/>
    <xf numFmtId="0" fontId="0" fillId="0" borderId="19" xfId="0" applyBorder="1" applyAlignment="1">
      <alignment vertical="top"/>
    </xf>
    <xf numFmtId="0" fontId="0" fillId="0" borderId="19" xfId="0" applyBorder="1" applyAlignment="1">
      <alignment vertical="top" wrapText="1"/>
    </xf>
    <xf numFmtId="0" fontId="23" fillId="0" borderId="19" xfId="0" applyFont="1" applyBorder="1" applyAlignment="1">
      <alignment vertical="top" wrapText="1"/>
    </xf>
    <xf numFmtId="0" fontId="25" fillId="0" borderId="0" xfId="0" applyFont="1"/>
    <xf numFmtId="0" fontId="27" fillId="0" borderId="0" xfId="0" applyFont="1"/>
    <xf numFmtId="0" fontId="0" fillId="0" borderId="8" xfId="0" applyBorder="1"/>
    <xf numFmtId="164" fontId="0" fillId="0" borderId="14" xfId="1" applyNumberFormat="1" applyFont="1" applyBorder="1"/>
    <xf numFmtId="164" fontId="0" fillId="0" borderId="15" xfId="1" applyNumberFormat="1" applyFont="1" applyBorder="1"/>
    <xf numFmtId="0" fontId="0" fillId="0" borderId="4" xfId="0" applyBorder="1"/>
    <xf numFmtId="164" fontId="0" fillId="0" borderId="12" xfId="1" applyNumberFormat="1" applyFont="1" applyBorder="1"/>
    <xf numFmtId="164" fontId="29" fillId="0" borderId="12" xfId="1" applyNumberFormat="1" applyFont="1" applyBorder="1"/>
    <xf numFmtId="0" fontId="28" fillId="0" borderId="10" xfId="0" applyFont="1" applyBorder="1"/>
    <xf numFmtId="0" fontId="0" fillId="0" borderId="20" xfId="0" applyBorder="1"/>
    <xf numFmtId="0" fontId="0" fillId="0" borderId="21" xfId="0" applyBorder="1"/>
    <xf numFmtId="0" fontId="0" fillId="0" borderId="22" xfId="0" applyBorder="1" applyAlignment="1">
      <alignment vertical="top" wrapText="1"/>
    </xf>
    <xf numFmtId="0" fontId="0" fillId="0" borderId="23" xfId="0" applyBorder="1" applyAlignment="1">
      <alignment vertical="top" wrapText="1"/>
    </xf>
    <xf numFmtId="165" fontId="0" fillId="0" borderId="0" xfId="3" applyNumberFormat="1" applyFont="1"/>
    <xf numFmtId="171" fontId="0" fillId="0" borderId="0" xfId="0" applyNumberFormat="1"/>
    <xf numFmtId="9" fontId="0" fillId="0" borderId="0" xfId="0" applyNumberFormat="1"/>
    <xf numFmtId="10" fontId="0" fillId="0" borderId="0" xfId="0" applyNumberFormat="1"/>
    <xf numFmtId="0" fontId="30" fillId="0" borderId="0" xfId="0" applyFont="1"/>
    <xf numFmtId="165" fontId="30" fillId="0" borderId="0" xfId="3" applyNumberFormat="1" applyFont="1"/>
    <xf numFmtId="164" fontId="0" fillId="0" borderId="0" xfId="1" applyNumberFormat="1" applyFont="1" applyBorder="1"/>
    <xf numFmtId="164" fontId="4" fillId="3" borderId="4" xfId="1" applyNumberFormat="1" applyFont="1" applyFill="1" applyBorder="1"/>
    <xf numFmtId="164" fontId="4" fillId="3" borderId="0" xfId="1" applyNumberFormat="1" applyFont="1" applyFill="1" applyBorder="1"/>
    <xf numFmtId="0" fontId="4" fillId="3" borderId="4" xfId="0" applyFont="1" applyFill="1" applyBorder="1"/>
    <xf numFmtId="0" fontId="4" fillId="3" borderId="0" xfId="0" applyFont="1" applyFill="1"/>
    <xf numFmtId="165" fontId="31" fillId="0" borderId="4" xfId="3" applyNumberFormat="1" applyFont="1" applyBorder="1"/>
    <xf numFmtId="165" fontId="31" fillId="0" borderId="0" xfId="3" applyNumberFormat="1" applyFont="1" applyBorder="1"/>
    <xf numFmtId="164" fontId="4" fillId="0" borderId="4" xfId="1" applyNumberFormat="1" applyFont="1" applyFill="1" applyBorder="1"/>
    <xf numFmtId="164" fontId="32" fillId="0" borderId="0" xfId="1" applyNumberFormat="1" applyFont="1" applyBorder="1"/>
    <xf numFmtId="164" fontId="0" fillId="0" borderId="0" xfId="1" applyNumberFormat="1" applyFont="1"/>
    <xf numFmtId="164" fontId="32" fillId="0" borderId="0" xfId="1" applyNumberFormat="1" applyFont="1" applyFill="1" applyBorder="1"/>
    <xf numFmtId="172" fontId="4" fillId="0" borderId="0" xfId="0" applyNumberFormat="1" applyFont="1"/>
    <xf numFmtId="172" fontId="4" fillId="0" borderId="0" xfId="1" applyNumberFormat="1" applyFont="1" applyBorder="1"/>
    <xf numFmtId="0" fontId="33" fillId="0" borderId="0" xfId="0" applyFont="1"/>
    <xf numFmtId="0" fontId="19" fillId="0" borderId="4" xfId="0" applyFont="1" applyBorder="1"/>
    <xf numFmtId="0" fontId="19" fillId="0" borderId="0" xfId="0" applyFont="1"/>
    <xf numFmtId="165" fontId="19" fillId="0" borderId="5" xfId="1" applyNumberFormat="1" applyFont="1" applyBorder="1"/>
    <xf numFmtId="165" fontId="19" fillId="0" borderId="0" xfId="1" applyNumberFormat="1" applyFont="1" applyBorder="1"/>
    <xf numFmtId="165" fontId="19" fillId="0" borderId="0" xfId="0" applyNumberFormat="1" applyFont="1"/>
    <xf numFmtId="165" fontId="19" fillId="0" borderId="5" xfId="0" applyNumberFormat="1" applyFont="1" applyBorder="1"/>
    <xf numFmtId="0" fontId="0" fillId="0" borderId="0" xfId="0" applyAlignment="1">
      <alignment horizontal="center"/>
    </xf>
    <xf numFmtId="0" fontId="0" fillId="0" borderId="4" xfId="0" applyBorder="1" applyAlignment="1">
      <alignment horizontal="center"/>
    </xf>
    <xf numFmtId="173" fontId="0" fillId="0" borderId="0" xfId="0" applyNumberFormat="1" applyAlignment="1" applyProtection="1">
      <alignment horizontal="center"/>
      <protection locked="0"/>
    </xf>
    <xf numFmtId="165" fontId="0" fillId="0" borderId="12" xfId="0" applyNumberFormat="1" applyBorder="1" applyAlignment="1">
      <alignment horizontal="center"/>
    </xf>
    <xf numFmtId="165" fontId="0" fillId="0" borderId="12" xfId="3" applyNumberFormat="1" applyFont="1" applyBorder="1" applyAlignment="1">
      <alignment horizontal="center"/>
    </xf>
    <xf numFmtId="0" fontId="0" fillId="0" borderId="12" xfId="0" applyBorder="1"/>
    <xf numFmtId="0" fontId="0" fillId="0" borderId="10" xfId="0" applyBorder="1" applyAlignment="1">
      <alignment horizontal="center"/>
    </xf>
    <xf numFmtId="173" fontId="0" fillId="0" borderId="11" xfId="0" applyNumberFormat="1" applyBorder="1" applyAlignment="1" applyProtection="1">
      <alignment horizontal="center"/>
      <protection locked="0"/>
    </xf>
    <xf numFmtId="165" fontId="0" fillId="0" borderId="14" xfId="3" applyNumberFormat="1" applyFont="1"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174" fontId="0" fillId="0" borderId="0" xfId="0" applyNumberFormat="1" applyAlignment="1" applyProtection="1">
      <alignment horizontal="center"/>
      <protection locked="0"/>
    </xf>
    <xf numFmtId="5" fontId="0" fillId="0" borderId="0" xfId="1" applyNumberFormat="1" applyFont="1" applyBorder="1" applyAlignment="1">
      <alignment horizontal="center"/>
    </xf>
    <xf numFmtId="37" fontId="0" fillId="0" borderId="0" xfId="1" applyNumberFormat="1" applyFont="1" applyBorder="1" applyAlignment="1">
      <alignment horizontal="center"/>
    </xf>
    <xf numFmtId="37" fontId="0" fillId="0" borderId="11" xfId="1" applyNumberFormat="1" applyFont="1" applyBorder="1" applyAlignment="1">
      <alignment horizontal="center"/>
    </xf>
    <xf numFmtId="0" fontId="34" fillId="0" borderId="0" xfId="0" applyFont="1"/>
    <xf numFmtId="175" fontId="4" fillId="0" borderId="0" xfId="1" applyNumberFormat="1" applyFont="1" applyBorder="1"/>
    <xf numFmtId="43" fontId="21" fillId="0" borderId="0" xfId="1" applyFont="1"/>
    <xf numFmtId="43" fontId="11" fillId="0" borderId="0" xfId="1" applyFont="1"/>
    <xf numFmtId="170" fontId="21" fillId="0" borderId="0" xfId="1" applyNumberFormat="1" applyFont="1"/>
    <xf numFmtId="176" fontId="35" fillId="0" borderId="0" xfId="4" applyNumberFormat="1" applyFont="1" applyFill="1" applyBorder="1"/>
    <xf numFmtId="176" fontId="22" fillId="0" borderId="0" xfId="4" applyNumberFormat="1" applyFont="1" applyFill="1" applyBorder="1" applyAlignment="1">
      <alignment horizontal="right"/>
    </xf>
    <xf numFmtId="37" fontId="35" fillId="4" borderId="0" xfId="0" applyNumberFormat="1" applyFont="1" applyFill="1" applyAlignment="1">
      <alignment horizontal="right"/>
    </xf>
    <xf numFmtId="0" fontId="31" fillId="0" borderId="0" xfId="0" applyFont="1"/>
    <xf numFmtId="167" fontId="4" fillId="0" borderId="5" xfId="0" applyNumberFormat="1" applyFont="1" applyBorder="1" applyAlignment="1">
      <alignment horizontal="right"/>
    </xf>
    <xf numFmtId="167" fontId="4" fillId="0" borderId="0" xfId="0" applyNumberFormat="1" applyFont="1" applyAlignment="1">
      <alignment horizontal="right"/>
    </xf>
    <xf numFmtId="0" fontId="4" fillId="0" borderId="5" xfId="0" applyFont="1" applyBorder="1" applyAlignment="1">
      <alignment horizontal="right"/>
    </xf>
    <xf numFmtId="0" fontId="4" fillId="0" borderId="0" xfId="0" applyFont="1" applyAlignment="1">
      <alignment horizontal="right"/>
    </xf>
    <xf numFmtId="164" fontId="4" fillId="0" borderId="0" xfId="1" applyNumberFormat="1" applyFont="1" applyBorder="1" applyAlignment="1">
      <alignment horizontal="right"/>
    </xf>
    <xf numFmtId="164" fontId="4" fillId="0" borderId="5" xfId="1" applyNumberFormat="1" applyFont="1" applyBorder="1" applyAlignment="1">
      <alignment horizontal="right"/>
    </xf>
    <xf numFmtId="167" fontId="4" fillId="0" borderId="24" xfId="0" applyNumberFormat="1" applyFont="1" applyBorder="1" applyAlignment="1">
      <alignment horizontal="right"/>
    </xf>
    <xf numFmtId="167" fontId="4" fillId="0" borderId="19" xfId="0" applyNumberFormat="1" applyFont="1" applyBorder="1" applyAlignment="1">
      <alignment horizontal="right"/>
    </xf>
    <xf numFmtId="165" fontId="30" fillId="0" borderId="7" xfId="3" applyNumberFormat="1" applyFont="1" applyBorder="1" applyAlignment="1">
      <alignment horizontal="right"/>
    </xf>
    <xf numFmtId="165" fontId="30" fillId="0" borderId="11" xfId="3" applyNumberFormat="1" applyFont="1" applyBorder="1" applyAlignment="1">
      <alignment horizontal="right"/>
    </xf>
    <xf numFmtId="0" fontId="3" fillId="2" borderId="13" xfId="0" applyFont="1" applyFill="1" applyBorder="1"/>
    <xf numFmtId="0" fontId="4" fillId="0" borderId="12" xfId="0" applyFont="1" applyBorder="1"/>
    <xf numFmtId="0" fontId="30" fillId="0" borderId="10" xfId="0" applyFont="1" applyBorder="1"/>
    <xf numFmtId="0" fontId="30" fillId="0" borderId="14" xfId="0" applyFont="1" applyBorder="1"/>
    <xf numFmtId="0" fontId="0" fillId="0" borderId="16" xfId="0" applyBorder="1" applyAlignment="1">
      <alignment horizontal="center" vertical="top" wrapText="1"/>
    </xf>
    <xf numFmtId="0" fontId="0" fillId="0" borderId="17" xfId="0" applyBorder="1" applyAlignment="1">
      <alignment horizontal="center" vertical="top" wrapText="1"/>
    </xf>
    <xf numFmtId="0" fontId="0" fillId="0" borderId="18" xfId="0" applyBorder="1" applyAlignment="1">
      <alignment horizontal="center" vertical="top" wrapText="1"/>
    </xf>
    <xf numFmtId="0" fontId="9" fillId="0" borderId="0" xfId="10" applyFont="1"/>
    <xf numFmtId="0" fontId="22" fillId="0" borderId="0" xfId="10" applyFont="1"/>
    <xf numFmtId="164" fontId="0" fillId="0" borderId="0" xfId="0" applyNumberFormat="1"/>
    <xf numFmtId="9" fontId="0" fillId="0" borderId="0" xfId="3" applyFont="1"/>
    <xf numFmtId="167" fontId="11" fillId="0" borderId="0" xfId="0" applyNumberFormat="1" applyFont="1"/>
    <xf numFmtId="167" fontId="4" fillId="0" borderId="6" xfId="0" applyNumberFormat="1" applyFont="1" applyBorder="1" applyAlignment="1">
      <alignment horizontal="right"/>
    </xf>
    <xf numFmtId="167" fontId="4" fillId="0" borderId="0" xfId="1" applyNumberFormat="1" applyFont="1" applyBorder="1" applyAlignment="1">
      <alignment horizontal="right"/>
    </xf>
    <xf numFmtId="164" fontId="7" fillId="0" borderId="0" xfId="0" applyNumberFormat="1" applyFont="1"/>
    <xf numFmtId="165" fontId="22" fillId="0" borderId="0" xfId="3" applyNumberFormat="1" applyFont="1" applyBorder="1"/>
    <xf numFmtId="43" fontId="4" fillId="0" borderId="2" xfId="1" applyFont="1" applyBorder="1"/>
    <xf numFmtId="43" fontId="4" fillId="0" borderId="3" xfId="1" applyFont="1" applyBorder="1"/>
    <xf numFmtId="0" fontId="4" fillId="0" borderId="30" xfId="0" applyFont="1" applyBorder="1"/>
    <xf numFmtId="0" fontId="4" fillId="0" borderId="31" xfId="0" applyFont="1" applyBorder="1"/>
    <xf numFmtId="167" fontId="4" fillId="0" borderId="29" xfId="0" applyNumberFormat="1" applyFont="1" applyBorder="1" applyAlignment="1">
      <alignment horizontal="right"/>
    </xf>
    <xf numFmtId="167" fontId="4" fillId="0" borderId="26" xfId="0" applyNumberFormat="1" applyFont="1" applyBorder="1" applyAlignment="1">
      <alignment horizontal="right"/>
    </xf>
    <xf numFmtId="167" fontId="4" fillId="0" borderId="26" xfId="1" applyNumberFormat="1" applyFont="1" applyBorder="1" applyAlignment="1">
      <alignment horizontal="right"/>
    </xf>
    <xf numFmtId="167" fontId="4" fillId="0" borderId="19" xfId="1" applyNumberFormat="1" applyFont="1" applyBorder="1" applyAlignment="1">
      <alignment horizontal="right"/>
    </xf>
    <xf numFmtId="0" fontId="19" fillId="0" borderId="12" xfId="0" applyFont="1" applyBorder="1"/>
    <xf numFmtId="165" fontId="19" fillId="0" borderId="5" xfId="0" applyNumberFormat="1" applyFont="1" applyBorder="1" applyAlignment="1">
      <alignment horizontal="right"/>
    </xf>
    <xf numFmtId="165" fontId="19" fillId="0" borderId="0" xfId="0" applyNumberFormat="1" applyFont="1" applyAlignment="1">
      <alignment horizontal="right"/>
    </xf>
    <xf numFmtId="165" fontId="19" fillId="0" borderId="0" xfId="1" applyNumberFormat="1" applyFont="1" applyBorder="1" applyAlignment="1">
      <alignment horizontal="right"/>
    </xf>
    <xf numFmtId="165" fontId="19" fillId="0" borderId="5" xfId="3" applyNumberFormat="1" applyFont="1" applyBorder="1" applyAlignment="1">
      <alignment horizontal="right"/>
    </xf>
    <xf numFmtId="43" fontId="4" fillId="0" borderId="4" xfId="1" applyFont="1" applyBorder="1"/>
    <xf numFmtId="0" fontId="4" fillId="0" borderId="26" xfId="0" applyFont="1" applyBorder="1"/>
    <xf numFmtId="167" fontId="4" fillId="0" borderId="0" xfId="1" applyNumberFormat="1" applyFont="1" applyBorder="1"/>
    <xf numFmtId="167" fontId="4" fillId="0" borderId="5" xfId="1" applyNumberFormat="1" applyFont="1" applyBorder="1"/>
    <xf numFmtId="167" fontId="4" fillId="0" borderId="29" xfId="0" applyNumberFormat="1" applyFont="1" applyBorder="1"/>
    <xf numFmtId="167" fontId="4" fillId="0" borderId="26" xfId="0" applyNumberFormat="1" applyFont="1" applyBorder="1"/>
    <xf numFmtId="43" fontId="6" fillId="0" borderId="0" xfId="1" applyFont="1"/>
    <xf numFmtId="0" fontId="6" fillId="0" borderId="8" xfId="0" applyFont="1" applyBorder="1"/>
    <xf numFmtId="43" fontId="6" fillId="0" borderId="9" xfId="1" applyFont="1" applyBorder="1"/>
    <xf numFmtId="43" fontId="6" fillId="0" borderId="6" xfId="1" applyFont="1" applyBorder="1"/>
    <xf numFmtId="43" fontId="6" fillId="0" borderId="8" xfId="1" applyFont="1" applyBorder="1"/>
    <xf numFmtId="0" fontId="64" fillId="0" borderId="0" xfId="0" applyFont="1"/>
    <xf numFmtId="167" fontId="4" fillId="0" borderId="26" xfId="1" applyNumberFormat="1" applyFont="1" applyBorder="1"/>
    <xf numFmtId="164" fontId="19" fillId="0" borderId="0" xfId="1" applyNumberFormat="1" applyFont="1" applyBorder="1"/>
    <xf numFmtId="164" fontId="19" fillId="0" borderId="0" xfId="3" applyNumberFormat="1" applyFont="1" applyBorder="1"/>
    <xf numFmtId="0" fontId="6" fillId="0" borderId="3" xfId="0" applyFont="1" applyBorder="1"/>
    <xf numFmtId="164" fontId="6" fillId="0" borderId="2" xfId="1" applyNumberFormat="1" applyFont="1" applyBorder="1"/>
    <xf numFmtId="164" fontId="6" fillId="0" borderId="3" xfId="1" applyNumberFormat="1" applyFont="1" applyBorder="1"/>
    <xf numFmtId="164" fontId="6" fillId="0" borderId="1" xfId="1" applyNumberFormat="1" applyFont="1" applyBorder="1"/>
    <xf numFmtId="164" fontId="6" fillId="0" borderId="13" xfId="1" applyNumberFormat="1" applyFont="1" applyBorder="1"/>
    <xf numFmtId="170" fontId="13" fillId="0" borderId="0" xfId="1" applyNumberFormat="1" applyFont="1"/>
    <xf numFmtId="165" fontId="65" fillId="0" borderId="0" xfId="3" applyNumberFormat="1" applyFont="1"/>
    <xf numFmtId="0" fontId="7" fillId="0" borderId="0" xfId="10" applyFont="1"/>
    <xf numFmtId="43" fontId="19" fillId="0" borderId="0" xfId="1" applyFont="1" applyBorder="1"/>
    <xf numFmtId="41" fontId="7" fillId="0" borderId="0" xfId="1" applyNumberFormat="1" applyFont="1" applyBorder="1"/>
    <xf numFmtId="43" fontId="0" fillId="0" borderId="0" xfId="0" applyNumberFormat="1"/>
    <xf numFmtId="41" fontId="7" fillId="0" borderId="0" xfId="0" applyNumberFormat="1" applyFont="1"/>
    <xf numFmtId="0" fontId="0" fillId="0" borderId="10" xfId="0" applyBorder="1"/>
    <xf numFmtId="0" fontId="73" fillId="0" borderId="0" xfId="0" applyFont="1"/>
    <xf numFmtId="0" fontId="7" fillId="0" borderId="0" xfId="0" applyFont="1"/>
    <xf numFmtId="164" fontId="9" fillId="0" borderId="0" xfId="1" applyNumberFormat="1" applyFont="1" applyBorder="1"/>
    <xf numFmtId="165" fontId="4" fillId="0" borderId="0" xfId="0" applyNumberFormat="1" applyFont="1"/>
    <xf numFmtId="37" fontId="0" fillId="0" borderId="0" xfId="1" applyNumberFormat="1" applyFont="1" applyFill="1" applyBorder="1" applyAlignment="1">
      <alignment horizontal="center"/>
    </xf>
    <xf numFmtId="37" fontId="0" fillId="10" borderId="0" xfId="1" applyNumberFormat="1" applyFont="1" applyFill="1" applyBorder="1" applyAlignment="1">
      <alignment horizontal="center"/>
    </xf>
    <xf numFmtId="0" fontId="23" fillId="0" borderId="4" xfId="0" applyFont="1" applyBorder="1" applyAlignment="1">
      <alignment vertical="top" wrapText="1"/>
    </xf>
    <xf numFmtId="0" fontId="23" fillId="3" borderId="4" xfId="0" applyFont="1" applyFill="1" applyBorder="1" applyAlignment="1">
      <alignment vertical="top" wrapText="1"/>
    </xf>
    <xf numFmtId="49" fontId="23" fillId="3" borderId="4" xfId="0" applyNumberFormat="1" applyFont="1" applyFill="1" applyBorder="1" applyAlignment="1">
      <alignment vertical="top" wrapText="1"/>
    </xf>
    <xf numFmtId="0" fontId="0" fillId="0" borderId="0" xfId="0" applyAlignment="1">
      <alignment horizontal="right"/>
    </xf>
    <xf numFmtId="0" fontId="0" fillId="0" borderId="0" xfId="0" applyAlignment="1">
      <alignment horizontal="left"/>
    </xf>
    <xf numFmtId="187" fontId="75" fillId="0" borderId="0" xfId="80" applyFont="1" applyAlignment="1" applyProtection="1">
      <alignment horizontal="left"/>
      <protection locked="0"/>
    </xf>
    <xf numFmtId="187" fontId="9" fillId="0" borderId="0" xfId="80" applyFont="1" applyProtection="1">
      <protection locked="0"/>
    </xf>
    <xf numFmtId="187" fontId="7" fillId="0" borderId="0" xfId="80" applyFont="1" applyProtection="1">
      <protection locked="0"/>
    </xf>
    <xf numFmtId="0" fontId="76" fillId="0" borderId="0" xfId="81" applyFont="1" applyAlignment="1">
      <alignment horizontal="left" vertical="center"/>
    </xf>
    <xf numFmtId="188" fontId="41" fillId="0" borderId="0" xfId="82" applyFont="1"/>
    <xf numFmtId="187" fontId="78" fillId="0" borderId="0" xfId="8" applyNumberFormat="1" applyFont="1" applyFill="1" applyBorder="1" applyAlignment="1" applyProtection="1">
      <protection locked="0"/>
    </xf>
    <xf numFmtId="187" fontId="7" fillId="0" borderId="0" xfId="80" applyFont="1" applyAlignment="1" applyProtection="1">
      <alignment horizontal="right"/>
      <protection locked="0"/>
    </xf>
    <xf numFmtId="187" fontId="55" fillId="0" borderId="0" xfId="80"/>
    <xf numFmtId="187" fontId="79" fillId="0" borderId="0" xfId="80" applyFont="1" applyProtection="1">
      <protection locked="0"/>
    </xf>
    <xf numFmtId="187" fontId="80" fillId="0" borderId="33" xfId="80" applyFont="1" applyBorder="1"/>
    <xf numFmtId="38" fontId="81" fillId="24" borderId="0" xfId="80" applyNumberFormat="1" applyFont="1" applyFill="1" applyAlignment="1" applyProtection="1">
      <alignment horizontal="left"/>
      <protection locked="0"/>
    </xf>
    <xf numFmtId="187" fontId="9" fillId="0" borderId="21" xfId="80" applyFont="1" applyBorder="1"/>
    <xf numFmtId="170" fontId="41" fillId="25" borderId="34" xfId="83" applyNumberFormat="1" applyFont="1" applyFill="1" applyBorder="1" applyProtection="1"/>
    <xf numFmtId="187" fontId="81" fillId="0" borderId="0" xfId="80" applyFont="1" applyAlignment="1" applyProtection="1">
      <alignment horizontal="right"/>
      <protection locked="0"/>
    </xf>
    <xf numFmtId="188" fontId="75" fillId="0" borderId="0" xfId="82" applyFont="1"/>
    <xf numFmtId="8" fontId="81" fillId="24" borderId="0" xfId="84" applyFont="1" applyFill="1" applyBorder="1" applyAlignment="1" applyProtection="1">
      <alignment horizontal="right"/>
      <protection locked="0"/>
    </xf>
    <xf numFmtId="187" fontId="7" fillId="0" borderId="21" xfId="80" applyFont="1" applyBorder="1"/>
    <xf numFmtId="38" fontId="81" fillId="24" borderId="0" xfId="80" applyNumberFormat="1" applyFont="1" applyFill="1" applyAlignment="1" applyProtection="1">
      <alignment horizontal="right"/>
      <protection locked="0"/>
    </xf>
    <xf numFmtId="0" fontId="76" fillId="0" borderId="0" xfId="5" applyFont="1" applyAlignment="1">
      <alignment horizontal="center"/>
    </xf>
    <xf numFmtId="0" fontId="75" fillId="0" borderId="0" xfId="82" applyNumberFormat="1" applyFont="1"/>
    <xf numFmtId="0" fontId="82" fillId="0" borderId="21" xfId="80" applyNumberFormat="1" applyFont="1" applyBorder="1"/>
    <xf numFmtId="0" fontId="41" fillId="0" borderId="0" xfId="82" applyNumberFormat="1" applyFont="1" applyAlignment="1">
      <alignment horizontal="right"/>
    </xf>
    <xf numFmtId="187" fontId="82" fillId="0" borderId="21" xfId="80" applyFont="1" applyBorder="1"/>
    <xf numFmtId="188" fontId="41" fillId="0" borderId="0" xfId="82" applyFont="1" applyAlignment="1">
      <alignment horizontal="right"/>
    </xf>
    <xf numFmtId="187" fontId="76" fillId="0" borderId="21" xfId="7" applyNumberFormat="1" applyFont="1" applyBorder="1" applyAlignment="1">
      <alignment horizontal="center"/>
    </xf>
    <xf numFmtId="187" fontId="76" fillId="0" borderId="34" xfId="7" applyNumberFormat="1" applyFont="1" applyBorder="1" applyAlignment="1">
      <alignment horizontal="center"/>
    </xf>
    <xf numFmtId="188" fontId="75" fillId="0" borderId="0" xfId="82" quotePrefix="1" applyFont="1" applyAlignment="1">
      <alignment horizontal="left" wrapText="1"/>
    </xf>
    <xf numFmtId="187" fontId="82" fillId="26" borderId="35" xfId="80" applyFont="1" applyFill="1" applyBorder="1" applyAlignment="1">
      <alignment horizontal="center"/>
    </xf>
    <xf numFmtId="0" fontId="76" fillId="0" borderId="21" xfId="7" applyFont="1" applyBorder="1" applyAlignment="1">
      <alignment horizontal="center"/>
    </xf>
    <xf numFmtId="0" fontId="76" fillId="0" borderId="34" xfId="7" applyFont="1" applyBorder="1" applyAlignment="1">
      <alignment horizontal="center"/>
    </xf>
    <xf numFmtId="187" fontId="82" fillId="26" borderId="21" xfId="80" applyFont="1" applyFill="1" applyBorder="1" applyAlignment="1">
      <alignment horizontal="center"/>
    </xf>
    <xf numFmtId="188" fontId="75" fillId="27" borderId="21" xfId="82" applyFont="1" applyFill="1" applyBorder="1" applyAlignment="1">
      <alignment horizontal="center"/>
    </xf>
    <xf numFmtId="188" fontId="75" fillId="27" borderId="34" xfId="82" applyFont="1" applyFill="1" applyBorder="1" applyAlignment="1">
      <alignment horizontal="center"/>
    </xf>
    <xf numFmtId="17" fontId="41" fillId="0" borderId="0" xfId="82" applyNumberFormat="1" applyFont="1"/>
    <xf numFmtId="17" fontId="75" fillId="0" borderId="0" xfId="82" applyNumberFormat="1" applyFont="1" applyAlignment="1">
      <alignment horizontal="left" wrapText="1"/>
    </xf>
    <xf numFmtId="17" fontId="82" fillId="0" borderId="21" xfId="80" applyNumberFormat="1" applyFont="1" applyBorder="1"/>
    <xf numFmtId="17" fontId="41" fillId="0" borderId="0" xfId="83" applyNumberFormat="1" applyFont="1" applyFill="1" applyBorder="1" applyAlignment="1" applyProtection="1">
      <alignment horizontal="right"/>
    </xf>
    <xf numFmtId="1" fontId="76" fillId="0" borderId="22" xfId="7" applyNumberFormat="1" applyFont="1" applyBorder="1" applyAlignment="1">
      <alignment horizontal="center"/>
    </xf>
    <xf numFmtId="1" fontId="76" fillId="0" borderId="36" xfId="7" applyNumberFormat="1" applyFont="1" applyBorder="1" applyAlignment="1">
      <alignment horizontal="center"/>
    </xf>
    <xf numFmtId="188" fontId="84" fillId="0" borderId="0" xfId="82" applyFont="1"/>
    <xf numFmtId="187" fontId="80" fillId="28" borderId="0" xfId="80" applyFont="1" applyFill="1" applyAlignment="1">
      <alignment horizontal="left"/>
    </xf>
    <xf numFmtId="187" fontId="82" fillId="28" borderId="21" xfId="80" applyFont="1" applyFill="1" applyBorder="1"/>
    <xf numFmtId="189" fontId="84" fillId="28" borderId="0" xfId="82" applyNumberFormat="1" applyFont="1" applyFill="1" applyAlignment="1">
      <alignment horizontal="right"/>
    </xf>
    <xf numFmtId="190" fontId="41" fillId="29" borderId="37" xfId="83" applyNumberFormat="1" applyFont="1" applyFill="1" applyBorder="1" applyProtection="1"/>
    <xf numFmtId="190" fontId="41" fillId="29" borderId="33" xfId="83" applyNumberFormat="1" applyFont="1" applyFill="1" applyBorder="1" applyAlignment="1" applyProtection="1">
      <alignment horizontal="center"/>
    </xf>
    <xf numFmtId="190" fontId="41" fillId="24" borderId="33" xfId="83" applyNumberFormat="1" applyFont="1" applyFill="1" applyBorder="1" applyProtection="1"/>
    <xf numFmtId="0" fontId="85" fillId="30" borderId="38" xfId="0" applyFont="1" applyFill="1" applyBorder="1" applyAlignment="1">
      <alignment horizontal="left" indent="1"/>
    </xf>
    <xf numFmtId="187" fontId="41" fillId="0" borderId="33" xfId="80" applyFont="1" applyBorder="1"/>
    <xf numFmtId="0" fontId="86" fillId="0" borderId="25" xfId="0" applyFont="1" applyBorder="1"/>
    <xf numFmtId="3" fontId="87" fillId="0" borderId="38" xfId="0" applyNumberFormat="1" applyFont="1" applyBorder="1" applyAlignment="1">
      <alignment horizontal="center"/>
    </xf>
    <xf numFmtId="188" fontId="85" fillId="30" borderId="23" xfId="82" applyFont="1" applyFill="1" applyBorder="1" applyAlignment="1">
      <alignment horizontal="left" indent="2"/>
    </xf>
    <xf numFmtId="187" fontId="84" fillId="31" borderId="22" xfId="80" applyFont="1" applyFill="1" applyBorder="1"/>
    <xf numFmtId="170" fontId="41" fillId="0" borderId="19" xfId="83" applyNumberFormat="1" applyFont="1" applyFill="1" applyBorder="1" applyAlignment="1" applyProtection="1">
      <alignment horizontal="right"/>
    </xf>
    <xf numFmtId="170" fontId="41" fillId="25" borderId="19" xfId="83" applyNumberFormat="1" applyFont="1" applyFill="1" applyBorder="1" applyProtection="1"/>
    <xf numFmtId="170" fontId="41" fillId="25" borderId="36" xfId="83" applyNumberFormat="1" applyFont="1" applyFill="1" applyBorder="1" applyProtection="1"/>
    <xf numFmtId="0" fontId="87" fillId="0" borderId="0" xfId="0" applyFont="1"/>
    <xf numFmtId="0" fontId="85" fillId="30" borderId="0" xfId="0" applyFont="1" applyFill="1" applyAlignment="1">
      <alignment horizontal="left" indent="1"/>
    </xf>
    <xf numFmtId="187" fontId="41" fillId="27" borderId="21" xfId="80" applyFont="1" applyFill="1" applyBorder="1"/>
    <xf numFmtId="0" fontId="86" fillId="27" borderId="0" xfId="0" applyFont="1" applyFill="1"/>
    <xf numFmtId="191" fontId="87" fillId="0" borderId="20" xfId="0" applyNumberFormat="1" applyFont="1" applyBorder="1"/>
    <xf numFmtId="188" fontId="85" fillId="30" borderId="0" xfId="82" applyFont="1" applyFill="1" applyAlignment="1">
      <alignment horizontal="left" indent="2"/>
    </xf>
    <xf numFmtId="187" fontId="84" fillId="31" borderId="21" xfId="80" applyFont="1" applyFill="1" applyBorder="1"/>
    <xf numFmtId="170" fontId="41" fillId="27" borderId="0" xfId="83" applyNumberFormat="1" applyFont="1" applyFill="1" applyBorder="1" applyAlignment="1" applyProtection="1">
      <alignment horizontal="right"/>
    </xf>
    <xf numFmtId="170" fontId="41" fillId="25" borderId="20" xfId="83" applyNumberFormat="1" applyFont="1" applyFill="1" applyBorder="1" applyProtection="1"/>
    <xf numFmtId="170" fontId="41" fillId="25" borderId="0" xfId="83" applyNumberFormat="1" applyFont="1" applyFill="1" applyBorder="1" applyProtection="1"/>
    <xf numFmtId="0" fontId="86" fillId="0" borderId="38" xfId="0" applyFont="1" applyBorder="1" applyAlignment="1">
      <alignment horizontal="left" indent="1"/>
    </xf>
    <xf numFmtId="0" fontId="87" fillId="0" borderId="38" xfId="0" applyFont="1" applyBorder="1"/>
    <xf numFmtId="0" fontId="87" fillId="0" borderId="25" xfId="0" applyFont="1" applyBorder="1"/>
    <xf numFmtId="0" fontId="87" fillId="0" borderId="37" xfId="0" applyFont="1" applyBorder="1"/>
    <xf numFmtId="188" fontId="41" fillId="0" borderId="23" xfId="82" applyFont="1" applyBorder="1" applyAlignment="1">
      <alignment horizontal="left" indent="2"/>
    </xf>
    <xf numFmtId="170" fontId="41" fillId="25" borderId="23" xfId="83" applyNumberFormat="1" applyFont="1" applyFill="1" applyBorder="1" applyProtection="1"/>
    <xf numFmtId="0" fontId="86" fillId="27" borderId="0" xfId="0" applyFont="1" applyFill="1" applyAlignment="1">
      <alignment horizontal="left" indent="1"/>
    </xf>
    <xf numFmtId="0" fontId="87" fillId="0" borderId="20" xfId="0" applyFont="1" applyBorder="1"/>
    <xf numFmtId="0" fontId="87" fillId="0" borderId="34" xfId="0" applyFont="1" applyBorder="1"/>
    <xf numFmtId="188" fontId="41" fillId="27" borderId="0" xfId="82" applyFont="1" applyFill="1" applyAlignment="1">
      <alignment horizontal="left" indent="2"/>
    </xf>
    <xf numFmtId="0" fontId="86" fillId="27" borderId="38" xfId="0" applyFont="1" applyFill="1" applyBorder="1" applyAlignment="1">
      <alignment horizontal="left" indent="1"/>
    </xf>
    <xf numFmtId="187" fontId="41" fillId="27" borderId="33" xfId="80" applyFont="1" applyFill="1" applyBorder="1"/>
    <xf numFmtId="0" fontId="86" fillId="27" borderId="25" xfId="0" applyFont="1" applyFill="1" applyBorder="1"/>
    <xf numFmtId="188" fontId="41" fillId="27" borderId="23" xfId="82" applyFont="1" applyFill="1" applyBorder="1" applyAlignment="1">
      <alignment horizontal="left" indent="1"/>
    </xf>
    <xf numFmtId="170" fontId="41" fillId="27" borderId="19" xfId="83" applyNumberFormat="1" applyFont="1" applyFill="1" applyBorder="1" applyAlignment="1" applyProtection="1">
      <alignment horizontal="right"/>
    </xf>
    <xf numFmtId="188" fontId="88" fillId="0" borderId="0" xfId="82" applyFont="1"/>
    <xf numFmtId="192" fontId="41" fillId="0" borderId="0" xfId="82" applyNumberFormat="1" applyFont="1" applyAlignment="1">
      <alignment horizontal="right"/>
    </xf>
    <xf numFmtId="164" fontId="0" fillId="0" borderId="0" xfId="1" applyNumberFormat="1" applyFont="1" applyBorder="1" applyAlignment="1"/>
    <xf numFmtId="0" fontId="3" fillId="0" borderId="0" xfId="2" applyNumberFormat="1" applyFont="1" applyFill="1" applyBorder="1" applyAlignment="1">
      <alignment horizontal="center"/>
    </xf>
    <xf numFmtId="165" fontId="30" fillId="0" borderId="0" xfId="0" applyNumberFormat="1" applyFont="1"/>
    <xf numFmtId="189" fontId="0" fillId="0" borderId="0" xfId="0" applyNumberFormat="1"/>
    <xf numFmtId="43" fontId="15" fillId="0" borderId="0" xfId="1" applyFont="1"/>
    <xf numFmtId="43" fontId="16" fillId="0" borderId="0" xfId="1" applyFont="1"/>
    <xf numFmtId="43" fontId="33" fillId="0" borderId="0" xfId="1" applyFont="1"/>
    <xf numFmtId="43" fontId="11" fillId="0" borderId="0" xfId="1" applyFont="1" applyFill="1"/>
    <xf numFmtId="43" fontId="21" fillId="0" borderId="0" xfId="1" applyFont="1" applyFill="1"/>
    <xf numFmtId="43" fontId="13" fillId="0" borderId="0" xfId="1" applyFont="1"/>
    <xf numFmtId="164" fontId="7" fillId="9" borderId="0" xfId="1" applyNumberFormat="1" applyFont="1" applyFill="1" applyBorder="1"/>
    <xf numFmtId="164" fontId="9" fillId="9" borderId="0" xfId="1" applyNumberFormat="1" applyFont="1" applyFill="1" applyBorder="1"/>
    <xf numFmtId="165" fontId="22" fillId="9" borderId="0" xfId="3" applyNumberFormat="1" applyFont="1" applyFill="1" applyBorder="1"/>
    <xf numFmtId="0" fontId="7" fillId="9" borderId="0" xfId="0" applyFont="1" applyFill="1"/>
    <xf numFmtId="41" fontId="7" fillId="9" borderId="0" xfId="0" applyNumberFormat="1" applyFont="1" applyFill="1"/>
    <xf numFmtId="41" fontId="7" fillId="9" borderId="0" xfId="1" applyNumberFormat="1" applyFont="1" applyFill="1" applyBorder="1"/>
    <xf numFmtId="165" fontId="22" fillId="9" borderId="0" xfId="0" applyNumberFormat="1" applyFont="1" applyFill="1"/>
    <xf numFmtId="0" fontId="7" fillId="0" borderId="5" xfId="0" applyFont="1" applyBorder="1"/>
    <xf numFmtId="165" fontId="22" fillId="0" borderId="5" xfId="3" applyNumberFormat="1" applyFont="1" applyBorder="1"/>
    <xf numFmtId="165" fontId="22" fillId="0" borderId="5" xfId="0" applyNumberFormat="1" applyFont="1" applyBorder="1"/>
    <xf numFmtId="165" fontId="22" fillId="0" borderId="0" xfId="0" applyNumberFormat="1" applyFont="1"/>
    <xf numFmtId="170" fontId="7" fillId="0" borderId="5" xfId="1" applyNumberFormat="1" applyFont="1" applyBorder="1"/>
    <xf numFmtId="164" fontId="7" fillId="9" borderId="0" xfId="0" applyNumberFormat="1" applyFont="1" applyFill="1"/>
    <xf numFmtId="208" fontId="30" fillId="0" borderId="0" xfId="0" applyNumberFormat="1" applyFont="1"/>
    <xf numFmtId="164" fontId="7" fillId="0" borderId="5" xfId="0" applyNumberFormat="1" applyFont="1" applyBorder="1"/>
    <xf numFmtId="0" fontId="121" fillId="0" borderId="2" xfId="6" applyFont="1" applyBorder="1" applyAlignment="1">
      <alignment horizontal="right"/>
    </xf>
    <xf numFmtId="0" fontId="5" fillId="0" borderId="6" xfId="6" applyFont="1" applyBorder="1" applyAlignment="1">
      <alignment horizontal="right"/>
    </xf>
    <xf numFmtId="0" fontId="5" fillId="0" borderId="5" xfId="6" applyFont="1" applyBorder="1" applyAlignment="1">
      <alignment horizontal="right"/>
    </xf>
    <xf numFmtId="0" fontId="5" fillId="0" borderId="7" xfId="6" applyFont="1" applyBorder="1" applyAlignment="1">
      <alignment horizontal="right"/>
    </xf>
    <xf numFmtId="164" fontId="7" fillId="0" borderId="11" xfId="0" applyNumberFormat="1" applyFont="1" applyBorder="1"/>
    <xf numFmtId="0" fontId="15" fillId="0" borderId="0" xfId="0" applyFont="1"/>
    <xf numFmtId="2" fontId="7" fillId="0" borderId="0" xfId="0" applyNumberFormat="1" applyFont="1"/>
    <xf numFmtId="164" fontId="9" fillId="0" borderId="3" xfId="1" applyNumberFormat="1" applyFont="1" applyBorder="1"/>
    <xf numFmtId="164" fontId="9" fillId="0" borderId="3" xfId="0" applyNumberFormat="1" applyFont="1" applyBorder="1"/>
    <xf numFmtId="168" fontId="7" fillId="0" borderId="0" xfId="0" applyNumberFormat="1" applyFont="1"/>
    <xf numFmtId="167" fontId="7" fillId="0" borderId="0" xfId="0" applyNumberFormat="1" applyFont="1"/>
    <xf numFmtId="164" fontId="22" fillId="0" borderId="0" xfId="1" applyNumberFormat="1" applyFont="1" applyBorder="1"/>
    <xf numFmtId="164" fontId="7" fillId="0" borderId="0" xfId="1" applyNumberFormat="1" applyFont="1" applyBorder="1" applyAlignment="1">
      <alignment horizontal="right"/>
    </xf>
    <xf numFmtId="167" fontId="7" fillId="0" borderId="3" xfId="0" applyNumberFormat="1" applyFont="1" applyBorder="1"/>
    <xf numFmtId="167" fontId="7" fillId="0" borderId="26" xfId="0" applyNumberFormat="1" applyFont="1" applyBorder="1"/>
    <xf numFmtId="43" fontId="9" fillId="0" borderId="9" xfId="1" applyFont="1" applyBorder="1"/>
    <xf numFmtId="43" fontId="7" fillId="0" borderId="0" xfId="1" applyFont="1" applyBorder="1"/>
    <xf numFmtId="165" fontId="22" fillId="0" borderId="11" xfId="3" applyNumberFormat="1" applyFont="1" applyBorder="1"/>
    <xf numFmtId="0" fontId="7" fillId="0" borderId="9" xfId="0" applyFont="1" applyBorder="1"/>
    <xf numFmtId="0" fontId="3" fillId="2" borderId="0" xfId="2" applyNumberFormat="1" applyFont="1" applyFill="1" applyBorder="1" applyAlignment="1">
      <alignment horizontal="center"/>
    </xf>
    <xf numFmtId="165" fontId="19" fillId="0" borderId="0" xfId="3" applyNumberFormat="1" applyFont="1" applyBorder="1" applyAlignment="1">
      <alignment horizontal="right"/>
    </xf>
    <xf numFmtId="165" fontId="30" fillId="0" borderId="0" xfId="3" applyNumberFormat="1" applyFont="1" applyBorder="1" applyAlignment="1">
      <alignment horizontal="right"/>
    </xf>
    <xf numFmtId="164" fontId="122" fillId="0" borderId="0" xfId="1" applyNumberFormat="1" applyFont="1" applyBorder="1"/>
    <xf numFmtId="189" fontId="4" fillId="0" borderId="0" xfId="0" applyNumberFormat="1" applyFont="1"/>
    <xf numFmtId="208" fontId="4" fillId="0" borderId="0" xfId="0" applyNumberFormat="1" applyFont="1"/>
    <xf numFmtId="164" fontId="4" fillId="0" borderId="8" xfId="0" applyNumberFormat="1" applyFont="1" applyBorder="1"/>
    <xf numFmtId="164" fontId="4" fillId="0" borderId="9" xfId="0" applyNumberFormat="1" applyFont="1" applyBorder="1"/>
    <xf numFmtId="164" fontId="4" fillId="0" borderId="15" xfId="0" applyNumberFormat="1" applyFont="1" applyBorder="1"/>
    <xf numFmtId="164" fontId="4" fillId="0" borderId="12" xfId="0" applyNumberFormat="1" applyFont="1" applyBorder="1"/>
    <xf numFmtId="164" fontId="4" fillId="0" borderId="4" xfId="0" applyNumberFormat="1" applyFont="1" applyBorder="1"/>
    <xf numFmtId="209" fontId="4" fillId="0" borderId="5" xfId="0" applyNumberFormat="1" applyFont="1" applyBorder="1"/>
    <xf numFmtId="209" fontId="4" fillId="0" borderId="4" xfId="0" applyNumberFormat="1" applyFont="1" applyBorder="1"/>
    <xf numFmtId="209" fontId="4" fillId="0" borderId="0" xfId="0" applyNumberFormat="1" applyFont="1"/>
    <xf numFmtId="209" fontId="4" fillId="0" borderId="12" xfId="0" applyNumberFormat="1" applyFont="1" applyBorder="1"/>
    <xf numFmtId="9" fontId="4" fillId="0" borderId="0" xfId="3" applyFont="1" applyBorder="1"/>
    <xf numFmtId="9" fontId="4" fillId="0" borderId="12" xfId="3" applyFont="1" applyBorder="1"/>
    <xf numFmtId="0" fontId="123" fillId="0" borderId="0" xfId="0" applyFont="1"/>
    <xf numFmtId="165" fontId="123" fillId="0" borderId="0" xfId="3" applyNumberFormat="1" applyFont="1" applyBorder="1" applyAlignment="1">
      <alignment horizontal="center"/>
    </xf>
    <xf numFmtId="43" fontId="123" fillId="0" borderId="0" xfId="0" applyNumberFormat="1" applyFont="1" applyAlignment="1">
      <alignment horizontal="center"/>
    </xf>
    <xf numFmtId="164" fontId="4" fillId="0" borderId="14" xfId="0" applyNumberFormat="1" applyFont="1" applyBorder="1"/>
    <xf numFmtId="164" fontId="4" fillId="0" borderId="10" xfId="0" applyNumberFormat="1" applyFont="1" applyBorder="1"/>
    <xf numFmtId="0" fontId="4" fillId="0" borderId="15" xfId="0" applyFont="1" applyBorder="1"/>
    <xf numFmtId="0" fontId="4" fillId="0" borderId="14" xfId="0" applyFont="1" applyBorder="1"/>
    <xf numFmtId="2" fontId="4" fillId="0" borderId="13" xfId="0" applyNumberFormat="1" applyFont="1" applyBorder="1"/>
    <xf numFmtId="2" fontId="4" fillId="0" borderId="1" xfId="0" applyNumberFormat="1" applyFont="1" applyBorder="1"/>
    <xf numFmtId="2" fontId="4" fillId="0" borderId="3" xfId="0" applyNumberFormat="1" applyFont="1" applyBorder="1"/>
    <xf numFmtId="2" fontId="4" fillId="0" borderId="14" xfId="0" applyNumberFormat="1" applyFont="1" applyBorder="1"/>
    <xf numFmtId="43" fontId="6" fillId="0" borderId="0" xfId="0" applyNumberFormat="1" applyFont="1"/>
    <xf numFmtId="9" fontId="4" fillId="0" borderId="4" xfId="3" applyFont="1" applyBorder="1"/>
    <xf numFmtId="165" fontId="30" fillId="0" borderId="5" xfId="3" applyNumberFormat="1" applyFont="1" applyBorder="1" applyAlignment="1">
      <alignment horizontal="right"/>
    </xf>
    <xf numFmtId="0" fontId="3" fillId="2" borderId="0" xfId="0" applyFont="1" applyFill="1" applyAlignment="1">
      <alignment horizontal="center"/>
    </xf>
    <xf numFmtId="170" fontId="259" fillId="0" borderId="26" xfId="1" applyNumberFormat="1" applyFont="1" applyBorder="1"/>
    <xf numFmtId="164" fontId="255" fillId="0" borderId="0" xfId="1" applyNumberFormat="1" applyFont="1"/>
    <xf numFmtId="43" fontId="253" fillId="0" borderId="0" xfId="1" applyFont="1" applyFill="1" applyBorder="1"/>
    <xf numFmtId="165" fontId="257" fillId="0" borderId="0" xfId="3" applyNumberFormat="1" applyFont="1"/>
    <xf numFmtId="266" fontId="255" fillId="0" borderId="0" xfId="1" applyNumberFormat="1" applyFont="1"/>
    <xf numFmtId="266" fontId="254" fillId="0" borderId="0" xfId="1" applyNumberFormat="1" applyFont="1"/>
    <xf numFmtId="43" fontId="256" fillId="0" borderId="0" xfId="1" applyFont="1" applyFill="1" applyBorder="1"/>
    <xf numFmtId="164" fontId="254" fillId="0" borderId="0" xfId="1" applyNumberFormat="1" applyFont="1"/>
    <xf numFmtId="43" fontId="256" fillId="0" borderId="26" xfId="1" applyFont="1" applyFill="1" applyBorder="1"/>
    <xf numFmtId="43" fontId="258" fillId="0" borderId="0" xfId="1" applyFont="1"/>
    <xf numFmtId="164" fontId="22" fillId="0" borderId="0" xfId="3" applyNumberFormat="1" applyFont="1" applyBorder="1"/>
    <xf numFmtId="167" fontId="7" fillId="0" borderId="5" xfId="0" applyNumberFormat="1" applyFont="1" applyBorder="1"/>
    <xf numFmtId="43" fontId="253" fillId="0" borderId="86" xfId="1" applyFont="1" applyFill="1" applyBorder="1"/>
    <xf numFmtId="43" fontId="259" fillId="0" borderId="86" xfId="1" applyFont="1" applyBorder="1"/>
    <xf numFmtId="43" fontId="260" fillId="0" borderId="0" xfId="1" applyFont="1"/>
    <xf numFmtId="266" fontId="7" fillId="0" borderId="0" xfId="1" applyNumberFormat="1" applyFont="1" applyBorder="1"/>
    <xf numFmtId="170" fontId="0" fillId="0" borderId="0" xfId="0" applyNumberFormat="1"/>
    <xf numFmtId="165" fontId="0" fillId="0" borderId="0" xfId="0" applyNumberFormat="1"/>
    <xf numFmtId="0" fontId="30" fillId="0" borderId="0" xfId="0" applyFont="1" applyAlignment="1">
      <alignment horizontal="center"/>
    </xf>
    <xf numFmtId="170" fontId="30" fillId="0" borderId="0" xfId="1" applyNumberFormat="1" applyFont="1"/>
    <xf numFmtId="43" fontId="4" fillId="0" borderId="67" xfId="1" applyFont="1" applyBorder="1"/>
    <xf numFmtId="164" fontId="30" fillId="0" borderId="0" xfId="1" applyNumberFormat="1" applyFont="1"/>
    <xf numFmtId="164" fontId="6" fillId="0" borderId="0" xfId="0" applyNumberFormat="1" applyFont="1"/>
    <xf numFmtId="43" fontId="6" fillId="0" borderId="0" xfId="1" applyFont="1" applyBorder="1"/>
    <xf numFmtId="0" fontId="3" fillId="85" borderId="3" xfId="2" applyNumberFormat="1" applyFont="1" applyFill="1" applyBorder="1" applyAlignment="1">
      <alignment horizontal="center"/>
    </xf>
    <xf numFmtId="0" fontId="3" fillId="85" borderId="2" xfId="2" applyNumberFormat="1" applyFont="1" applyFill="1" applyBorder="1" applyAlignment="1">
      <alignment horizontal="center"/>
    </xf>
    <xf numFmtId="164" fontId="3" fillId="85" borderId="3" xfId="1" applyNumberFormat="1" applyFont="1" applyFill="1" applyBorder="1" applyAlignment="1">
      <alignment horizontal="center"/>
    </xf>
    <xf numFmtId="164" fontId="145" fillId="0" borderId="0" xfId="1" applyNumberFormat="1" applyFont="1" applyBorder="1"/>
    <xf numFmtId="167" fontId="4" fillId="0" borderId="13" xfId="0" applyNumberFormat="1" applyFont="1" applyBorder="1"/>
    <xf numFmtId="0" fontId="3" fillId="85" borderId="1" xfId="2" applyNumberFormat="1" applyFont="1" applyFill="1" applyBorder="1" applyAlignment="1">
      <alignment horizontal="center"/>
    </xf>
    <xf numFmtId="0" fontId="3" fillId="85" borderId="13" xfId="2" applyNumberFormat="1" applyFont="1" applyFill="1" applyBorder="1" applyAlignment="1">
      <alignment horizontal="center"/>
    </xf>
    <xf numFmtId="1" fontId="4" fillId="0" borderId="0" xfId="0" applyNumberFormat="1" applyFont="1"/>
    <xf numFmtId="170" fontId="261" fillId="9" borderId="0" xfId="1" applyNumberFormat="1" applyFont="1" applyFill="1"/>
    <xf numFmtId="167" fontId="7" fillId="0" borderId="1" xfId="0" applyNumberFormat="1" applyFont="1" applyBorder="1"/>
    <xf numFmtId="170" fontId="30" fillId="9" borderId="0" xfId="1" applyNumberFormat="1" applyFont="1" applyFill="1"/>
    <xf numFmtId="164" fontId="262" fillId="0" borderId="0" xfId="1" applyNumberFormat="1" applyFont="1" applyBorder="1"/>
    <xf numFmtId="167" fontId="4" fillId="0" borderId="83" xfId="0" applyNumberFormat="1" applyFont="1" applyBorder="1"/>
    <xf numFmtId="165" fontId="20" fillId="0" borderId="0" xfId="3" applyNumberFormat="1" applyFont="1" applyBorder="1"/>
    <xf numFmtId="167" fontId="4" fillId="0" borderId="98" xfId="0" applyNumberFormat="1" applyFont="1" applyBorder="1"/>
    <xf numFmtId="165" fontId="22" fillId="0" borderId="4" xfId="3" applyNumberFormat="1" applyFont="1" applyBorder="1"/>
    <xf numFmtId="167" fontId="7" fillId="0" borderId="83" xfId="0" applyNumberFormat="1" applyFont="1" applyBorder="1"/>
    <xf numFmtId="167" fontId="7" fillId="0" borderId="98" xfId="0" applyNumberFormat="1" applyFont="1" applyBorder="1"/>
    <xf numFmtId="10" fontId="7" fillId="0" borderId="0" xfId="3" applyNumberFormat="1" applyFont="1" applyBorder="1"/>
    <xf numFmtId="10" fontId="22" fillId="0" borderId="0" xfId="3" applyNumberFormat="1" applyFont="1" applyBorder="1"/>
    <xf numFmtId="43" fontId="4" fillId="0" borderId="0" xfId="0" applyNumberFormat="1" applyFont="1"/>
    <xf numFmtId="167" fontId="7" fillId="0" borderId="13" xfId="0" applyNumberFormat="1" applyFont="1" applyBorder="1"/>
    <xf numFmtId="43" fontId="7" fillId="0" borderId="0" xfId="0" applyNumberFormat="1" applyFont="1"/>
    <xf numFmtId="10" fontId="4" fillId="0" borderId="0" xfId="0" applyNumberFormat="1" applyFont="1"/>
    <xf numFmtId="10" fontId="19" fillId="0" borderId="0" xfId="3" applyNumberFormat="1" applyFont="1" applyBorder="1"/>
    <xf numFmtId="9" fontId="30" fillId="0" borderId="0" xfId="3" applyFont="1"/>
    <xf numFmtId="165" fontId="6" fillId="0" borderId="0" xfId="3" applyNumberFormat="1" applyFont="1" applyBorder="1"/>
    <xf numFmtId="165" fontId="4" fillId="0" borderId="0" xfId="1" applyNumberFormat="1" applyFont="1" applyBorder="1"/>
    <xf numFmtId="0" fontId="21" fillId="0" borderId="0" xfId="3" applyNumberFormat="1" applyFont="1"/>
    <xf numFmtId="43" fontId="263" fillId="0" borderId="0" xfId="384" applyFont="1" applyBorder="1"/>
    <xf numFmtId="0" fontId="262" fillId="4" borderId="6" xfId="0" applyFont="1" applyFill="1" applyBorder="1" applyAlignment="1">
      <alignment horizontal="right"/>
    </xf>
    <xf numFmtId="0" fontId="262" fillId="4" borderId="5" xfId="0" applyFont="1" applyFill="1" applyBorder="1" applyAlignment="1">
      <alignment horizontal="right"/>
    </xf>
    <xf numFmtId="0" fontId="140" fillId="4" borderId="5" xfId="0" applyFont="1" applyFill="1" applyBorder="1" applyAlignment="1">
      <alignment horizontal="right"/>
    </xf>
    <xf numFmtId="0" fontId="74" fillId="4" borderId="5" xfId="0" applyFont="1" applyFill="1" applyBorder="1" applyAlignment="1">
      <alignment horizontal="right"/>
    </xf>
    <xf numFmtId="0" fontId="74" fillId="4" borderId="7" xfId="0" applyFont="1" applyFill="1" applyBorder="1" applyAlignment="1">
      <alignment horizontal="right"/>
    </xf>
    <xf numFmtId="164" fontId="264" fillId="0" borderId="6" xfId="0" applyNumberFormat="1" applyFont="1" applyBorder="1" applyAlignment="1">
      <alignment horizontal="right"/>
    </xf>
    <xf numFmtId="164" fontId="74" fillId="0" borderId="14" xfId="181" applyNumberFormat="1" applyFont="1" applyBorder="1"/>
    <xf numFmtId="165" fontId="22" fillId="0" borderId="14" xfId="181" applyNumberFormat="1" applyFont="1" applyBorder="1"/>
    <xf numFmtId="165" fontId="22" fillId="0" borderId="97" xfId="181" applyNumberFormat="1" applyFont="1" applyBorder="1"/>
    <xf numFmtId="165" fontId="22" fillId="0" borderId="10" xfId="57" applyNumberFormat="1" applyFont="1" applyBorder="1"/>
    <xf numFmtId="164" fontId="74" fillId="0" borderId="97" xfId="181" applyNumberFormat="1" applyFont="1" applyBorder="1"/>
    <xf numFmtId="164" fontId="74" fillId="0" borderId="12" xfId="181" applyNumberFormat="1" applyFont="1" applyBorder="1"/>
    <xf numFmtId="165" fontId="22" fillId="0" borderId="15" xfId="181" applyNumberFormat="1" applyFont="1" applyBorder="1"/>
    <xf numFmtId="165" fontId="22" fillId="0" borderId="9" xfId="181" applyNumberFormat="1" applyFont="1" applyBorder="1"/>
    <xf numFmtId="165" fontId="22" fillId="0" borderId="8" xfId="181" applyNumberFormat="1" applyFont="1" applyBorder="1"/>
    <xf numFmtId="164" fontId="74" fillId="0" borderId="0" xfId="181" applyNumberFormat="1" applyFont="1" applyBorder="1"/>
    <xf numFmtId="165" fontId="22" fillId="0" borderId="12" xfId="181" applyNumberFormat="1" applyFont="1" applyBorder="1"/>
    <xf numFmtId="165" fontId="22" fillId="0" borderId="0" xfId="181" applyNumberFormat="1" applyFont="1" applyBorder="1"/>
    <xf numFmtId="164" fontId="264" fillId="0" borderId="13" xfId="0" applyNumberFormat="1" applyFont="1" applyBorder="1"/>
    <xf numFmtId="164" fontId="264" fillId="0" borderId="83" xfId="0" applyNumberFormat="1" applyFont="1" applyBorder="1"/>
    <xf numFmtId="164" fontId="264" fillId="0" borderId="1" xfId="0" applyNumberFormat="1" applyFont="1" applyBorder="1"/>
    <xf numFmtId="164" fontId="74" fillId="0" borderId="7" xfId="181" applyNumberFormat="1" applyFont="1" applyBorder="1"/>
    <xf numFmtId="165" fontId="22" fillId="0" borderId="97" xfId="57" applyNumberFormat="1" applyFont="1" applyBorder="1"/>
    <xf numFmtId="208" fontId="22" fillId="0" borderId="5" xfId="57" applyNumberFormat="1" applyFont="1" applyBorder="1"/>
    <xf numFmtId="164" fontId="264" fillId="0" borderId="2" xfId="181" applyNumberFormat="1" applyFont="1" applyBorder="1"/>
    <xf numFmtId="164" fontId="264" fillId="0" borderId="83" xfId="181" applyNumberFormat="1" applyFont="1" applyBorder="1"/>
    <xf numFmtId="164" fontId="263" fillId="0" borderId="5" xfId="181" applyNumberFormat="1" applyFont="1" applyBorder="1"/>
    <xf numFmtId="164" fontId="263" fillId="0" borderId="0" xfId="0" applyNumberFormat="1" applyFont="1"/>
    <xf numFmtId="164" fontId="263" fillId="0" borderId="5" xfId="0" applyNumberFormat="1" applyFont="1" applyBorder="1"/>
    <xf numFmtId="0" fontId="140" fillId="4" borderId="2" xfId="0" applyFont="1" applyFill="1" applyBorder="1" applyAlignment="1">
      <alignment horizontal="center"/>
    </xf>
    <xf numFmtId="0" fontId="140" fillId="4" borderId="83" xfId="0" applyFont="1" applyFill="1" applyBorder="1" applyAlignment="1">
      <alignment horizontal="center"/>
    </xf>
    <xf numFmtId="0" fontId="263" fillId="4" borderId="0" xfId="0" applyFont="1" applyFill="1"/>
    <xf numFmtId="175" fontId="0" fillId="0" borderId="0" xfId="0" applyNumberFormat="1"/>
    <xf numFmtId="164" fontId="0" fillId="0" borderId="0" xfId="1" applyNumberFormat="1" applyFont="1" applyAlignment="1">
      <alignment vertical="top"/>
    </xf>
    <xf numFmtId="170" fontId="30" fillId="9" borderId="0" xfId="1" applyNumberFormat="1" applyFont="1" applyFill="1" applyAlignment="1">
      <alignment horizontal="center"/>
    </xf>
    <xf numFmtId="189" fontId="0" fillId="0" borderId="0" xfId="0" applyNumberFormat="1" applyAlignment="1">
      <alignment horizontal="center"/>
    </xf>
    <xf numFmtId="0" fontId="4" fillId="0" borderId="0" xfId="0" applyFont="1" applyAlignment="1">
      <alignment horizontal="center"/>
    </xf>
    <xf numFmtId="164" fontId="4" fillId="0" borderId="0" xfId="1" applyNumberFormat="1" applyFont="1" applyAlignment="1">
      <alignment horizontal="center"/>
    </xf>
    <xf numFmtId="165" fontId="0" fillId="0" borderId="0" xfId="3" applyNumberFormat="1" applyFont="1" applyAlignment="1">
      <alignment horizontal="center"/>
    </xf>
    <xf numFmtId="0" fontId="0" fillId="0" borderId="12" xfId="0" applyBorder="1" applyAlignment="1">
      <alignment horizontal="center"/>
    </xf>
    <xf numFmtId="177" fontId="0" fillId="0" borderId="0" xfId="2" applyNumberFormat="1" applyFont="1" applyBorder="1" applyAlignment="1">
      <alignment horizontal="center"/>
    </xf>
    <xf numFmtId="177" fontId="0" fillId="0" borderId="12" xfId="2" applyNumberFormat="1" applyFont="1" applyBorder="1" applyAlignment="1">
      <alignment horizontal="center"/>
    </xf>
    <xf numFmtId="165" fontId="0" fillId="0" borderId="0" xfId="3" applyNumberFormat="1" applyFont="1" applyBorder="1" applyAlignment="1">
      <alignment horizontal="center"/>
    </xf>
    <xf numFmtId="9" fontId="0" fillId="0" borderId="0" xfId="3" applyFont="1" applyBorder="1" applyAlignment="1">
      <alignment horizontal="center"/>
    </xf>
    <xf numFmtId="44" fontId="0" fillId="0" borderId="97" xfId="2" applyFont="1" applyBorder="1" applyAlignment="1">
      <alignment horizontal="center"/>
    </xf>
    <xf numFmtId="44" fontId="0" fillId="0" borderId="14" xfId="2" applyFont="1" applyBorder="1" applyAlignment="1">
      <alignment horizontal="center"/>
    </xf>
    <xf numFmtId="0" fontId="135" fillId="86" borderId="16" xfId="0" applyFont="1" applyFill="1" applyBorder="1"/>
    <xf numFmtId="0" fontId="135" fillId="86" borderId="17" xfId="0" applyFont="1" applyFill="1" applyBorder="1"/>
    <xf numFmtId="0" fontId="0" fillId="86" borderId="0" xfId="0" applyFill="1" applyAlignment="1">
      <alignment horizontal="center"/>
    </xf>
    <xf numFmtId="9" fontId="0" fillId="86" borderId="0" xfId="3" applyFont="1" applyFill="1" applyBorder="1" applyAlignment="1">
      <alignment horizontal="center"/>
    </xf>
    <xf numFmtId="44" fontId="0" fillId="86" borderId="97" xfId="0" applyNumberFormat="1" applyFill="1" applyBorder="1" applyAlignment="1">
      <alignment horizontal="center"/>
    </xf>
    <xf numFmtId="0" fontId="30" fillId="0" borderId="4" xfId="0" applyFont="1" applyBorder="1"/>
    <xf numFmtId="165" fontId="30" fillId="0" borderId="0" xfId="3" applyNumberFormat="1" applyFont="1" applyBorder="1" applyAlignment="1">
      <alignment horizontal="center"/>
    </xf>
    <xf numFmtId="9" fontId="30" fillId="0" borderId="0" xfId="3" applyFont="1" applyBorder="1" applyAlignment="1">
      <alignment horizontal="center"/>
    </xf>
    <xf numFmtId="9" fontId="30" fillId="86" borderId="0" xfId="3" applyFont="1" applyFill="1" applyBorder="1" applyAlignment="1">
      <alignment horizontal="center"/>
    </xf>
    <xf numFmtId="165" fontId="30" fillId="0" borderId="12" xfId="3" applyNumberFormat="1" applyFont="1" applyBorder="1" applyAlignment="1">
      <alignment horizontal="center"/>
    </xf>
    <xf numFmtId="165" fontId="30" fillId="86" borderId="0" xfId="0" applyNumberFormat="1" applyFont="1" applyFill="1" applyAlignment="1">
      <alignment horizontal="center"/>
    </xf>
    <xf numFmtId="0" fontId="30" fillId="86" borderId="0" xfId="0" applyFont="1" applyFill="1" applyAlignment="1">
      <alignment horizontal="center"/>
    </xf>
    <xf numFmtId="9" fontId="30" fillId="0" borderId="12" xfId="3" applyFont="1" applyBorder="1" applyAlignment="1">
      <alignment horizontal="center"/>
    </xf>
    <xf numFmtId="164" fontId="0" fillId="0" borderId="0" xfId="1" applyNumberFormat="1" applyFont="1" applyBorder="1" applyAlignment="1">
      <alignment horizontal="center"/>
    </xf>
    <xf numFmtId="164" fontId="0" fillId="0" borderId="12" xfId="0" applyNumberFormat="1" applyBorder="1" applyAlignment="1">
      <alignment horizontal="center"/>
    </xf>
    <xf numFmtId="164" fontId="0" fillId="0" borderId="0" xfId="0" applyNumberFormat="1" applyAlignment="1">
      <alignment horizontal="center"/>
    </xf>
    <xf numFmtId="0" fontId="0" fillId="0" borderId="97" xfId="0" applyBorder="1" applyAlignment="1">
      <alignment horizontal="center"/>
    </xf>
    <xf numFmtId="177" fontId="0" fillId="0" borderId="97" xfId="2" applyNumberFormat="1" applyFont="1" applyBorder="1" applyAlignment="1">
      <alignment horizontal="center"/>
    </xf>
    <xf numFmtId="177" fontId="0" fillId="0" borderId="14" xfId="2" applyNumberFormat="1" applyFont="1" applyBorder="1" applyAlignment="1">
      <alignment horizontal="center"/>
    </xf>
    <xf numFmtId="0" fontId="0" fillId="0" borderId="4" xfId="0" applyBorder="1" applyAlignment="1">
      <alignment vertical="top" wrapText="1"/>
    </xf>
    <xf numFmtId="0" fontId="0" fillId="0" borderId="0" xfId="0" applyAlignment="1">
      <alignment horizontal="center" vertical="top" wrapText="1"/>
    </xf>
    <xf numFmtId="0" fontId="0" fillId="0" borderId="12" xfId="0" applyBorder="1" applyAlignment="1">
      <alignment horizontal="center" vertical="top" wrapText="1"/>
    </xf>
    <xf numFmtId="164" fontId="0" fillId="0" borderId="12" xfId="0" applyNumberFormat="1" applyBorder="1"/>
    <xf numFmtId="0" fontId="0" fillId="0" borderId="97" xfId="0" applyBorder="1"/>
    <xf numFmtId="9" fontId="30" fillId="0" borderId="0" xfId="3" applyFont="1" applyBorder="1" applyAlignment="1"/>
    <xf numFmtId="0" fontId="30" fillId="0" borderId="12" xfId="0" applyFont="1" applyBorder="1"/>
    <xf numFmtId="165" fontId="30" fillId="0" borderId="0" xfId="3" applyNumberFormat="1" applyFont="1" applyBorder="1" applyAlignment="1"/>
    <xf numFmtId="165" fontId="30" fillId="0" borderId="12" xfId="3" applyNumberFormat="1" applyFont="1" applyBorder="1" applyAlignment="1"/>
    <xf numFmtId="9" fontId="30" fillId="0" borderId="12" xfId="3" applyFont="1" applyBorder="1" applyAlignment="1"/>
    <xf numFmtId="177" fontId="0" fillId="0" borderId="0" xfId="2" applyNumberFormat="1" applyFont="1" applyBorder="1" applyAlignment="1"/>
    <xf numFmtId="177" fontId="0" fillId="0" borderId="12" xfId="2" applyNumberFormat="1" applyFont="1" applyBorder="1" applyAlignment="1"/>
    <xf numFmtId="177" fontId="0" fillId="0" borderId="97" xfId="2" applyNumberFormat="1" applyFont="1" applyBorder="1" applyAlignment="1"/>
    <xf numFmtId="177" fontId="0" fillId="0" borderId="14" xfId="2" applyNumberFormat="1" applyFont="1" applyBorder="1" applyAlignment="1"/>
    <xf numFmtId="44" fontId="0" fillId="0" borderId="0" xfId="2" applyFont="1" applyBorder="1" applyAlignment="1"/>
    <xf numFmtId="44" fontId="0" fillId="0" borderId="12" xfId="2" applyFont="1" applyBorder="1" applyAlignment="1"/>
    <xf numFmtId="0" fontId="0" fillId="86" borderId="0" xfId="0" applyFill="1" applyAlignment="1">
      <alignment horizontal="center" vertical="top" wrapText="1"/>
    </xf>
    <xf numFmtId="177" fontId="0" fillId="86" borderId="0" xfId="2" applyNumberFormat="1" applyFont="1" applyFill="1" applyBorder="1" applyAlignment="1"/>
    <xf numFmtId="9" fontId="30" fillId="86" borderId="0" xfId="3" applyFont="1" applyFill="1" applyBorder="1" applyAlignment="1"/>
    <xf numFmtId="0" fontId="0" fillId="86" borderId="0" xfId="0" applyFill="1"/>
    <xf numFmtId="9" fontId="30" fillId="86" borderId="0" xfId="0" applyNumberFormat="1" applyFont="1" applyFill="1"/>
    <xf numFmtId="165" fontId="30" fillId="86" borderId="0" xfId="3" applyNumberFormat="1" applyFont="1" applyFill="1" applyBorder="1" applyAlignment="1"/>
    <xf numFmtId="0" fontId="30" fillId="86" borderId="0" xfId="0" applyFont="1" applyFill="1"/>
    <xf numFmtId="0" fontId="0" fillId="86" borderId="97" xfId="0" applyFill="1" applyBorder="1"/>
    <xf numFmtId="164" fontId="0" fillId="86" borderId="0" xfId="0" applyNumberFormat="1" applyFill="1"/>
    <xf numFmtId="44" fontId="0" fillId="86" borderId="0" xfId="2" applyFont="1" applyFill="1" applyBorder="1" applyAlignment="1"/>
    <xf numFmtId="177" fontId="0" fillId="86" borderId="97" xfId="2" applyNumberFormat="1" applyFont="1" applyFill="1" applyBorder="1" applyAlignment="1"/>
    <xf numFmtId="0" fontId="30" fillId="0" borderId="12" xfId="0" applyFont="1" applyBorder="1" applyAlignment="1">
      <alignment horizontal="center"/>
    </xf>
    <xf numFmtId="9" fontId="30" fillId="86" borderId="0" xfId="0" applyNumberFormat="1" applyFont="1" applyFill="1" applyAlignment="1">
      <alignment horizontal="center"/>
    </xf>
    <xf numFmtId="9" fontId="0" fillId="86" borderId="0" xfId="0" applyNumberFormat="1" applyFill="1" applyAlignment="1">
      <alignment horizontal="center"/>
    </xf>
    <xf numFmtId="164" fontId="0" fillId="86" borderId="0" xfId="0" applyNumberFormat="1" applyFill="1" applyAlignment="1">
      <alignment horizontal="center"/>
    </xf>
    <xf numFmtId="165" fontId="30" fillId="86" borderId="0" xfId="3" applyNumberFormat="1" applyFont="1" applyFill="1" applyBorder="1" applyAlignment="1">
      <alignment horizontal="center"/>
    </xf>
    <xf numFmtId="0" fontId="0" fillId="86" borderId="97" xfId="0" applyFill="1" applyBorder="1" applyAlignment="1">
      <alignment horizontal="center"/>
    </xf>
    <xf numFmtId="177" fontId="0" fillId="86" borderId="0" xfId="2" applyNumberFormat="1" applyFont="1" applyFill="1" applyBorder="1" applyAlignment="1">
      <alignment horizontal="center"/>
    </xf>
    <xf numFmtId="177" fontId="0" fillId="86" borderId="97" xfId="2" applyNumberFormat="1" applyFont="1" applyFill="1" applyBorder="1" applyAlignment="1">
      <alignment horizontal="center"/>
    </xf>
    <xf numFmtId="44" fontId="0" fillId="0" borderId="0" xfId="2" applyFont="1" applyBorder="1" applyAlignment="1">
      <alignment horizontal="center"/>
    </xf>
    <xf numFmtId="44" fontId="0" fillId="86" borderId="0" xfId="2" applyFont="1" applyFill="1" applyBorder="1" applyAlignment="1">
      <alignment horizontal="center"/>
    </xf>
    <xf numFmtId="44" fontId="0" fillId="0" borderId="12" xfId="2" applyFont="1" applyBorder="1" applyAlignment="1">
      <alignment horizontal="center"/>
    </xf>
    <xf numFmtId="44" fontId="30" fillId="0" borderId="0" xfId="0" applyNumberFormat="1" applyFont="1"/>
    <xf numFmtId="174" fontId="0" fillId="0" borderId="0" xfId="0" applyNumberFormat="1" applyAlignment="1">
      <alignment horizontal="center"/>
    </xf>
    <xf numFmtId="174" fontId="0" fillId="0" borderId="12" xfId="0" applyNumberFormat="1" applyBorder="1" applyAlignment="1">
      <alignment horizontal="center"/>
    </xf>
    <xf numFmtId="174" fontId="0" fillId="0" borderId="97" xfId="0" applyNumberFormat="1" applyBorder="1" applyAlignment="1">
      <alignment horizontal="center"/>
    </xf>
    <xf numFmtId="174" fontId="0" fillId="0" borderId="14" xfId="0" applyNumberFormat="1" applyBorder="1" applyAlignment="1">
      <alignment horizontal="center"/>
    </xf>
    <xf numFmtId="0" fontId="0" fillId="86" borderId="8" xfId="0" applyFill="1" applyBorder="1"/>
    <xf numFmtId="0" fontId="0" fillId="86" borderId="9" xfId="0" applyFill="1" applyBorder="1"/>
    <xf numFmtId="0" fontId="0" fillId="86" borderId="15" xfId="0" applyFill="1" applyBorder="1"/>
    <xf numFmtId="0" fontId="0" fillId="86" borderId="4" xfId="0" applyFill="1" applyBorder="1"/>
    <xf numFmtId="0" fontId="0" fillId="86" borderId="12" xfId="0" applyFill="1" applyBorder="1"/>
    <xf numFmtId="0" fontId="7" fillId="0" borderId="6" xfId="1723" applyBorder="1" applyAlignment="1">
      <alignment horizontal="right"/>
    </xf>
    <xf numFmtId="0" fontId="7" fillId="0" borderId="5" xfId="1723" applyBorder="1" applyAlignment="1">
      <alignment horizontal="right"/>
    </xf>
    <xf numFmtId="0" fontId="9" fillId="0" borderId="5" xfId="1723" applyFont="1" applyBorder="1" applyAlignment="1">
      <alignment horizontal="right"/>
    </xf>
    <xf numFmtId="165" fontId="22" fillId="4" borderId="5" xfId="0" applyNumberFormat="1" applyFont="1" applyFill="1" applyBorder="1" applyAlignment="1">
      <alignment horizontal="right"/>
    </xf>
    <xf numFmtId="0" fontId="11" fillId="0" borderId="5" xfId="0" applyFont="1" applyBorder="1"/>
    <xf numFmtId="165" fontId="22" fillId="4" borderId="7" xfId="0" applyNumberFormat="1" applyFont="1" applyFill="1" applyBorder="1" applyAlignment="1">
      <alignment horizontal="right"/>
    </xf>
    <xf numFmtId="0" fontId="3" fillId="87" borderId="1" xfId="0" applyFont="1" applyFill="1" applyBorder="1"/>
    <xf numFmtId="0" fontId="4" fillId="87" borderId="1" xfId="0" applyFont="1" applyFill="1" applyBorder="1"/>
    <xf numFmtId="0" fontId="3" fillId="87" borderId="3" xfId="2" applyNumberFormat="1" applyFont="1" applyFill="1" applyBorder="1" applyAlignment="1">
      <alignment horizontal="center"/>
    </xf>
    <xf numFmtId="0" fontId="3" fillId="87" borderId="1" xfId="2" applyNumberFormat="1" applyFont="1" applyFill="1" applyBorder="1" applyAlignment="1">
      <alignment horizontal="center"/>
    </xf>
    <xf numFmtId="0" fontId="3" fillId="87" borderId="13" xfId="2" applyNumberFormat="1" applyFont="1" applyFill="1" applyBorder="1" applyAlignment="1">
      <alignment horizontal="center"/>
    </xf>
    <xf numFmtId="165" fontId="254" fillId="0" borderId="0" xfId="3" applyNumberFormat="1" applyFont="1"/>
    <xf numFmtId="165" fontId="254" fillId="0" borderId="4" xfId="3" applyNumberFormat="1" applyFont="1" applyBorder="1"/>
    <xf numFmtId="165" fontId="254" fillId="0" borderId="0" xfId="3" applyNumberFormat="1" applyFont="1" applyBorder="1"/>
    <xf numFmtId="165" fontId="254" fillId="0" borderId="5" xfId="3" applyNumberFormat="1" applyFont="1" applyBorder="1"/>
    <xf numFmtId="165" fontId="254" fillId="0" borderId="12" xfId="3" applyNumberFormat="1" applyFont="1" applyBorder="1"/>
    <xf numFmtId="165" fontId="266" fillId="0" borderId="4" xfId="3" applyNumberFormat="1" applyFont="1" applyBorder="1"/>
    <xf numFmtId="165" fontId="266" fillId="0" borderId="0" xfId="3" applyNumberFormat="1" applyFont="1" applyBorder="1"/>
    <xf numFmtId="165" fontId="267" fillId="0" borderId="0" xfId="3" applyNumberFormat="1" applyFont="1" applyBorder="1"/>
    <xf numFmtId="165" fontId="267" fillId="0" borderId="0" xfId="3" applyNumberFormat="1" applyFont="1"/>
    <xf numFmtId="164" fontId="254" fillId="0" borderId="5" xfId="1" applyNumberFormat="1" applyFont="1" applyBorder="1"/>
    <xf numFmtId="164" fontId="254" fillId="0" borderId="0" xfId="1" applyNumberFormat="1" applyFont="1" applyBorder="1"/>
    <xf numFmtId="0" fontId="267" fillId="0" borderId="0" xfId="1" applyNumberFormat="1" applyFont="1"/>
    <xf numFmtId="165" fontId="269" fillId="0" borderId="0" xfId="3" applyNumberFormat="1" applyFont="1"/>
    <xf numFmtId="43" fontId="270" fillId="0" borderId="0" xfId="1" applyFont="1" applyFill="1" applyBorder="1"/>
    <xf numFmtId="0" fontId="269" fillId="0" borderId="0" xfId="0" applyFont="1"/>
    <xf numFmtId="9" fontId="254" fillId="0" borderId="0" xfId="3" applyFont="1" applyBorder="1"/>
    <xf numFmtId="43" fontId="269" fillId="0" borderId="0" xfId="1" applyFont="1"/>
    <xf numFmtId="164" fontId="269" fillId="0" borderId="0" xfId="1" applyNumberFormat="1" applyFont="1"/>
    <xf numFmtId="43" fontId="267" fillId="0" borderId="0" xfId="1" applyFont="1"/>
    <xf numFmtId="43" fontId="254" fillId="0" borderId="0" xfId="1" applyFont="1" applyBorder="1"/>
    <xf numFmtId="170" fontId="269" fillId="0" borderId="0" xfId="1" applyNumberFormat="1" applyFont="1"/>
    <xf numFmtId="164" fontId="267" fillId="0" borderId="0" xfId="1" applyNumberFormat="1" applyFont="1"/>
    <xf numFmtId="165" fontId="254" fillId="0" borderId="0" xfId="3" applyNumberFormat="1" applyFont="1" applyAlignment="1">
      <alignment vertical="top"/>
    </xf>
    <xf numFmtId="165" fontId="254" fillId="0" borderId="4" xfId="3" applyNumberFormat="1" applyFont="1" applyBorder="1" applyAlignment="1">
      <alignment vertical="top"/>
    </xf>
    <xf numFmtId="165" fontId="254" fillId="0" borderId="0" xfId="3" applyNumberFormat="1" applyFont="1" applyBorder="1" applyAlignment="1">
      <alignment vertical="top"/>
    </xf>
    <xf numFmtId="165" fontId="254" fillId="0" borderId="5" xfId="3" applyNumberFormat="1" applyFont="1" applyBorder="1" applyAlignment="1">
      <alignment vertical="top"/>
    </xf>
    <xf numFmtId="165" fontId="254" fillId="0" borderId="7" xfId="3" applyNumberFormat="1" applyFont="1" applyBorder="1" applyAlignment="1">
      <alignment vertical="top"/>
    </xf>
    <xf numFmtId="164" fontId="254" fillId="0" borderId="5" xfId="1" applyNumberFormat="1" applyFont="1" applyBorder="1" applyAlignment="1">
      <alignment vertical="top"/>
    </xf>
    <xf numFmtId="165" fontId="266" fillId="0" borderId="0" xfId="3" applyNumberFormat="1" applyFont="1" applyBorder="1" applyAlignment="1">
      <alignment vertical="top"/>
    </xf>
    <xf numFmtId="165" fontId="267" fillId="0" borderId="0" xfId="3" applyNumberFormat="1" applyFont="1" applyBorder="1" applyAlignment="1">
      <alignment vertical="top"/>
    </xf>
    <xf numFmtId="43" fontId="267" fillId="0" borderId="0" xfId="1" applyFont="1" applyAlignment="1">
      <alignment vertical="top"/>
    </xf>
    <xf numFmtId="43" fontId="254" fillId="0" borderId="0" xfId="1" applyFont="1" applyAlignment="1">
      <alignment vertical="top"/>
    </xf>
    <xf numFmtId="164" fontId="269" fillId="0" borderId="0" xfId="1" applyNumberFormat="1" applyFont="1" applyAlignment="1">
      <alignment vertical="top"/>
    </xf>
    <xf numFmtId="165" fontId="267" fillId="0" borderId="0" xfId="3" applyNumberFormat="1" applyFont="1" applyAlignment="1">
      <alignment vertical="top"/>
    </xf>
    <xf numFmtId="165" fontId="259" fillId="0" borderId="4" xfId="3" applyNumberFormat="1" applyFont="1" applyBorder="1"/>
    <xf numFmtId="165" fontId="254" fillId="0" borderId="6" xfId="3" applyNumberFormat="1" applyFont="1" applyBorder="1"/>
    <xf numFmtId="164" fontId="257" fillId="0" borderId="0" xfId="1" applyNumberFormat="1" applyFont="1" applyBorder="1"/>
    <xf numFmtId="165" fontId="255" fillId="0" borderId="0" xfId="1" applyNumberFormat="1" applyFont="1" applyBorder="1"/>
    <xf numFmtId="166" fontId="9" fillId="0" borderId="0" xfId="2" applyNumberFormat="1" applyFont="1" applyFill="1" applyBorder="1"/>
    <xf numFmtId="43" fontId="9" fillId="0" borderId="5" xfId="1" applyFont="1" applyFill="1" applyBorder="1"/>
    <xf numFmtId="164" fontId="9" fillId="0" borderId="0" xfId="1" applyNumberFormat="1" applyFont="1" applyFill="1" applyBorder="1"/>
    <xf numFmtId="43" fontId="9" fillId="0" borderId="0" xfId="1" applyFont="1" applyFill="1" applyBorder="1"/>
    <xf numFmtId="43" fontId="6" fillId="0" borderId="5" xfId="1" applyFont="1" applyBorder="1"/>
    <xf numFmtId="43" fontId="6" fillId="0" borderId="0" xfId="1" applyFont="1" applyFill="1" applyBorder="1"/>
    <xf numFmtId="0" fontId="6" fillId="0" borderId="5" xfId="0" applyFont="1" applyBorder="1"/>
    <xf numFmtId="0" fontId="9" fillId="0" borderId="0" xfId="0" applyFont="1"/>
    <xf numFmtId="165" fontId="6" fillId="0" borderId="0" xfId="1" applyNumberFormat="1" applyFont="1" applyBorder="1"/>
    <xf numFmtId="164" fontId="13" fillId="0" borderId="0" xfId="1" applyNumberFormat="1" applyFont="1"/>
    <xf numFmtId="165" fontId="266" fillId="0" borderId="4" xfId="3" applyNumberFormat="1" applyFont="1" applyFill="1" applyBorder="1"/>
    <xf numFmtId="165" fontId="266" fillId="0" borderId="0" xfId="3" applyNumberFormat="1" applyFont="1" applyFill="1" applyBorder="1"/>
    <xf numFmtId="165" fontId="266" fillId="0" borderId="5" xfId="3" applyNumberFormat="1" applyFont="1" applyFill="1" applyBorder="1"/>
    <xf numFmtId="165" fontId="271" fillId="0" borderId="0" xfId="3" applyNumberFormat="1" applyFont="1" applyBorder="1"/>
    <xf numFmtId="165" fontId="258" fillId="0" borderId="0" xfId="3" applyNumberFormat="1" applyFont="1" applyBorder="1"/>
    <xf numFmtId="167" fontId="254" fillId="0" borderId="5" xfId="0" applyNumberFormat="1" applyFont="1" applyBorder="1"/>
    <xf numFmtId="164" fontId="254" fillId="0" borderId="5" xfId="0" applyNumberFormat="1" applyFont="1" applyBorder="1"/>
    <xf numFmtId="165" fontId="254" fillId="0" borderId="4" xfId="3" applyNumberFormat="1" applyFont="1" applyFill="1" applyBorder="1"/>
    <xf numFmtId="164" fontId="254" fillId="0" borderId="0" xfId="0" applyNumberFormat="1" applyFont="1"/>
    <xf numFmtId="165" fontId="254" fillId="0" borderId="0" xfId="3" applyNumberFormat="1" applyFont="1" applyFill="1" applyBorder="1"/>
    <xf numFmtId="165" fontId="271" fillId="0" borderId="0" xfId="3" applyNumberFormat="1" applyFont="1" applyFill="1" applyBorder="1"/>
    <xf numFmtId="165" fontId="266" fillId="0" borderId="6" xfId="3" applyNumberFormat="1" applyFont="1" applyFill="1" applyBorder="1" applyAlignment="1">
      <alignment horizontal="right"/>
    </xf>
    <xf numFmtId="165" fontId="266" fillId="0" borderId="0" xfId="3" applyNumberFormat="1" applyFont="1" applyFill="1" applyBorder="1" applyAlignment="1">
      <alignment horizontal="right"/>
    </xf>
    <xf numFmtId="0" fontId="267" fillId="0" borderId="0" xfId="0" applyFont="1"/>
    <xf numFmtId="167" fontId="6" fillId="0" borderId="5" xfId="0" applyNumberFormat="1" applyFont="1" applyBorder="1"/>
    <xf numFmtId="167" fontId="6" fillId="0" borderId="0" xfId="0" applyNumberFormat="1" applyFont="1"/>
    <xf numFmtId="167" fontId="9" fillId="0" borderId="0" xfId="0" applyNumberFormat="1" applyFont="1"/>
    <xf numFmtId="41" fontId="122" fillId="0" borderId="0" xfId="1" applyNumberFormat="1" applyFont="1" applyBorder="1"/>
    <xf numFmtId="41" fontId="265" fillId="0" borderId="0" xfId="1" applyNumberFormat="1" applyFont="1" applyBorder="1"/>
    <xf numFmtId="164" fontId="265" fillId="0" borderId="5" xfId="1" applyNumberFormat="1" applyFont="1" applyBorder="1"/>
    <xf numFmtId="164" fontId="9" fillId="9" borderId="3" xfId="0" applyNumberFormat="1" applyFont="1" applyFill="1" applyBorder="1"/>
    <xf numFmtId="165" fontId="122" fillId="0" borderId="0" xfId="3" applyNumberFormat="1" applyFont="1"/>
    <xf numFmtId="0" fontId="75" fillId="0" borderId="0" xfId="10" applyFont="1" applyAlignment="1">
      <alignment horizontal="left"/>
    </xf>
    <xf numFmtId="0" fontId="140" fillId="0" borderId="0" xfId="10" applyFont="1" applyAlignment="1">
      <alignment horizontal="left"/>
    </xf>
    <xf numFmtId="0" fontId="262" fillId="0" borderId="0" xfId="11" applyFont="1"/>
    <xf numFmtId="164" fontId="262" fillId="0" borderId="0" xfId="11" applyNumberFormat="1" applyFont="1"/>
    <xf numFmtId="0" fontId="140" fillId="0" borderId="0" xfId="11" quotePrefix="1" applyFont="1" applyAlignment="1">
      <alignment horizontal="center"/>
    </xf>
    <xf numFmtId="0" fontId="274" fillId="0" borderId="0" xfId="11" applyFont="1" applyAlignment="1">
      <alignment horizontal="left"/>
    </xf>
    <xf numFmtId="0" fontId="275" fillId="0" borderId="0" xfId="11" applyFont="1" applyAlignment="1">
      <alignment horizontal="left"/>
    </xf>
    <xf numFmtId="0" fontId="140" fillId="0" borderId="0" xfId="11" applyFont="1"/>
    <xf numFmtId="165" fontId="74" fillId="0" borderId="0" xfId="12" applyNumberFormat="1" applyFont="1" applyBorder="1"/>
    <xf numFmtId="164" fontId="274" fillId="0" borderId="0" xfId="13" applyNumberFormat="1" applyFont="1" applyProtection="1"/>
    <xf numFmtId="165" fontId="74" fillId="0" borderId="0" xfId="12" applyNumberFormat="1" applyFont="1" applyBorder="1" applyAlignment="1" applyProtection="1">
      <alignment horizontal="center"/>
    </xf>
    <xf numFmtId="164" fontId="262" fillId="0" borderId="0" xfId="13" applyNumberFormat="1" applyFont="1"/>
    <xf numFmtId="164" fontId="274" fillId="0" borderId="0" xfId="13" applyNumberFormat="1" applyFont="1" applyBorder="1" applyProtection="1"/>
    <xf numFmtId="164" fontId="275" fillId="0" borderId="0" xfId="13" applyNumberFormat="1" applyFont="1" applyProtection="1"/>
    <xf numFmtId="164" fontId="277" fillId="0" borderId="0" xfId="13" applyNumberFormat="1" applyFont="1" applyProtection="1"/>
    <xf numFmtId="164" fontId="121" fillId="0" borderId="0" xfId="13" applyNumberFormat="1" applyFont="1" applyProtection="1"/>
    <xf numFmtId="165" fontId="74" fillId="0" borderId="0" xfId="12" applyNumberFormat="1" applyFont="1" applyFill="1" applyBorder="1" applyAlignment="1">
      <alignment horizontal="center"/>
    </xf>
    <xf numFmtId="0" fontId="262" fillId="0" borderId="0" xfId="10" applyFont="1"/>
    <xf numFmtId="0" fontId="262" fillId="0" borderId="19" xfId="10" applyFont="1" applyBorder="1"/>
    <xf numFmtId="0" fontId="262" fillId="0" borderId="19" xfId="10" applyFont="1" applyBorder="1" applyAlignment="1">
      <alignment horizontal="left" indent="1"/>
    </xf>
    <xf numFmtId="0" fontId="274" fillId="0" borderId="0" xfId="11" applyFont="1"/>
    <xf numFmtId="0" fontId="140" fillId="0" borderId="0" xfId="10" applyFont="1"/>
    <xf numFmtId="0" fontId="140" fillId="0" borderId="9" xfId="10" applyFont="1" applyBorder="1"/>
    <xf numFmtId="164" fontId="262" fillId="0" borderId="0" xfId="13" applyNumberFormat="1" applyFont="1" applyFill="1" applyBorder="1"/>
    <xf numFmtId="164" fontId="74" fillId="0" borderId="0" xfId="12" applyNumberFormat="1" applyFont="1" applyFill="1" applyBorder="1"/>
    <xf numFmtId="164" fontId="74" fillId="0" borderId="0" xfId="13" applyNumberFormat="1" applyFont="1" applyFill="1" applyBorder="1" applyAlignment="1">
      <alignment horizontal="center"/>
    </xf>
    <xf numFmtId="0" fontId="74" fillId="0" borderId="0" xfId="11" applyFont="1"/>
    <xf numFmtId="170" fontId="262" fillId="0" borderId="0" xfId="13" applyNumberFormat="1" applyFont="1" applyFill="1" applyBorder="1"/>
    <xf numFmtId="170" fontId="262" fillId="0" borderId="0" xfId="13" applyNumberFormat="1" applyFont="1"/>
    <xf numFmtId="170" fontId="279" fillId="0" borderId="0" xfId="13" applyNumberFormat="1" applyFont="1" applyBorder="1"/>
    <xf numFmtId="165" fontId="262" fillId="0" borderId="0" xfId="12" applyNumberFormat="1" applyFont="1"/>
    <xf numFmtId="170" fontId="262" fillId="0" borderId="0" xfId="11" applyNumberFormat="1" applyFont="1"/>
    <xf numFmtId="164" fontId="262" fillId="0" borderId="0" xfId="1" applyNumberFormat="1" applyFont="1" applyFill="1" applyBorder="1"/>
    <xf numFmtId="164" fontId="262" fillId="0" borderId="0" xfId="12" applyNumberFormat="1" applyFont="1" applyFill="1" applyBorder="1"/>
    <xf numFmtId="0" fontId="32" fillId="0" borderId="0" xfId="0" applyFont="1"/>
    <xf numFmtId="164" fontId="32" fillId="0" borderId="0" xfId="0" applyNumberFormat="1" applyFont="1"/>
    <xf numFmtId="44" fontId="140" fillId="0" borderId="0" xfId="14" applyFont="1" applyFill="1" applyBorder="1"/>
    <xf numFmtId="43" fontId="140" fillId="0" borderId="0" xfId="14" applyNumberFormat="1" applyFont="1" applyFill="1" applyBorder="1"/>
    <xf numFmtId="43" fontId="140" fillId="0" borderId="0" xfId="11" applyNumberFormat="1" applyFont="1"/>
    <xf numFmtId="44" fontId="140" fillId="0" borderId="0" xfId="11" applyNumberFormat="1" applyFont="1"/>
    <xf numFmtId="177" fontId="262" fillId="0" borderId="0" xfId="14" applyNumberFormat="1" applyFont="1" applyFill="1" applyBorder="1"/>
    <xf numFmtId="165" fontId="262" fillId="0" borderId="0" xfId="12" applyNumberFormat="1" applyFont="1" applyFill="1" applyBorder="1"/>
    <xf numFmtId="44" fontId="262" fillId="0" borderId="0" xfId="11" applyNumberFormat="1" applyFont="1"/>
    <xf numFmtId="43" fontId="281" fillId="0" borderId="0" xfId="1" applyFont="1" applyFill="1" applyBorder="1" applyAlignment="1">
      <alignment horizontal="right"/>
    </xf>
    <xf numFmtId="43" fontId="262" fillId="0" borderId="0" xfId="1" applyFont="1" applyFill="1" applyBorder="1"/>
    <xf numFmtId="0" fontId="276" fillId="0" borderId="0" xfId="11" applyFont="1" applyAlignment="1">
      <alignment horizontal="left"/>
    </xf>
    <xf numFmtId="164" fontId="274" fillId="0" borderId="0" xfId="13" applyNumberFormat="1" applyFont="1" applyBorder="1" applyAlignment="1" applyProtection="1">
      <alignment horizontal="right"/>
    </xf>
    <xf numFmtId="164" fontId="274" fillId="0" borderId="0" xfId="11" applyNumberFormat="1" applyFont="1" applyAlignment="1">
      <alignment horizontal="right"/>
    </xf>
    <xf numFmtId="164" fontId="262" fillId="0" borderId="0" xfId="11" applyNumberFormat="1" applyFont="1" applyAlignment="1">
      <alignment horizontal="right"/>
    </xf>
    <xf numFmtId="164" fontId="275" fillId="0" borderId="0" xfId="13" quotePrefix="1" applyNumberFormat="1" applyFont="1" applyBorder="1" applyAlignment="1" applyProtection="1">
      <alignment horizontal="right"/>
    </xf>
    <xf numFmtId="164" fontId="274" fillId="0" borderId="0" xfId="13" quotePrefix="1" applyNumberFormat="1" applyFont="1" applyBorder="1" applyAlignment="1" applyProtection="1">
      <alignment horizontal="right"/>
    </xf>
    <xf numFmtId="10" fontId="274" fillId="0" borderId="0" xfId="12" applyNumberFormat="1" applyFont="1" applyBorder="1" applyAlignment="1" applyProtection="1">
      <alignment horizontal="right"/>
    </xf>
    <xf numFmtId="165" fontId="274" fillId="0" borderId="0" xfId="12" applyNumberFormat="1" applyFont="1" applyBorder="1" applyAlignment="1" applyProtection="1">
      <alignment horizontal="right"/>
    </xf>
    <xf numFmtId="164" fontId="262" fillId="0" borderId="0" xfId="13" applyNumberFormat="1" applyFont="1" applyBorder="1" applyAlignment="1" applyProtection="1">
      <alignment horizontal="right"/>
    </xf>
    <xf numFmtId="165" fontId="74" fillId="0" borderId="0" xfId="12" applyNumberFormat="1" applyFont="1" applyBorder="1" applyAlignment="1" applyProtection="1">
      <alignment horizontal="right"/>
    </xf>
    <xf numFmtId="165" fontId="280" fillId="0" borderId="0" xfId="12" applyNumberFormat="1" applyFont="1" applyBorder="1" applyAlignment="1" applyProtection="1">
      <alignment horizontal="right"/>
    </xf>
    <xf numFmtId="10" fontId="280" fillId="0" borderId="0" xfId="12" applyNumberFormat="1" applyFont="1" applyBorder="1" applyAlignment="1" applyProtection="1">
      <alignment horizontal="right"/>
    </xf>
    <xf numFmtId="164" fontId="262" fillId="0" borderId="0" xfId="1" applyNumberFormat="1" applyFont="1" applyBorder="1" applyAlignment="1" applyProtection="1">
      <alignment horizontal="right"/>
    </xf>
    <xf numFmtId="165" fontId="140" fillId="0" borderId="0" xfId="12" applyNumberFormat="1" applyFont="1" applyBorder="1" applyAlignment="1" applyProtection="1">
      <alignment horizontal="right"/>
    </xf>
    <xf numFmtId="41" fontId="262" fillId="0" borderId="0" xfId="10" applyNumberFormat="1" applyFont="1" applyAlignment="1">
      <alignment horizontal="right"/>
    </xf>
    <xf numFmtId="0" fontId="262" fillId="0" borderId="0" xfId="10" applyFont="1" applyAlignment="1">
      <alignment horizontal="right"/>
    </xf>
    <xf numFmtId="164" fontId="262" fillId="0" borderId="0" xfId="10" applyNumberFormat="1" applyFont="1" applyAlignment="1">
      <alignment horizontal="right"/>
    </xf>
    <xf numFmtId="41" fontId="262" fillId="0" borderId="19" xfId="11" applyNumberFormat="1" applyFont="1" applyBorder="1" applyAlignment="1">
      <alignment horizontal="right"/>
    </xf>
    <xf numFmtId="165" fontId="274" fillId="0" borderId="0" xfId="11" applyNumberFormat="1" applyFont="1" applyAlignment="1">
      <alignment horizontal="right"/>
    </xf>
    <xf numFmtId="164" fontId="140" fillId="0" borderId="0" xfId="10" applyNumberFormat="1" applyFont="1" applyAlignment="1">
      <alignment horizontal="right"/>
    </xf>
    <xf numFmtId="164" fontId="262" fillId="0" borderId="0" xfId="13" applyNumberFormat="1" applyFont="1" applyFill="1" applyBorder="1" applyAlignment="1">
      <alignment horizontal="right"/>
    </xf>
    <xf numFmtId="0" fontId="275" fillId="0" borderId="107" xfId="11" applyFont="1" applyBorder="1" applyAlignment="1">
      <alignment horizontal="left"/>
    </xf>
    <xf numFmtId="0" fontId="268" fillId="0" borderId="0" xfId="10" applyFont="1"/>
    <xf numFmtId="0" fontId="270" fillId="0" borderId="0" xfId="11" applyFont="1" applyAlignment="1">
      <alignment horizontal="left"/>
    </xf>
    <xf numFmtId="165" fontId="266" fillId="0" borderId="0" xfId="12" applyNumberFormat="1" applyFont="1" applyBorder="1" applyAlignment="1">
      <alignment horizontal="right"/>
    </xf>
    <xf numFmtId="164" fontId="268" fillId="0" borderId="0" xfId="11" applyNumberFormat="1" applyFont="1"/>
    <xf numFmtId="164" fontId="140" fillId="0" borderId="0" xfId="13" applyNumberFormat="1" applyFont="1" applyBorder="1" applyAlignment="1" applyProtection="1">
      <alignment horizontal="right"/>
    </xf>
    <xf numFmtId="0" fontId="274" fillId="0" borderId="20" xfId="11" applyFont="1" applyBorder="1" applyAlignment="1">
      <alignment horizontal="left" indent="1"/>
    </xf>
    <xf numFmtId="0" fontId="275" fillId="0" borderId="20" xfId="11" applyFont="1" applyBorder="1" applyAlignment="1">
      <alignment horizontal="left"/>
    </xf>
    <xf numFmtId="0" fontId="274" fillId="0" borderId="20" xfId="11" applyFont="1" applyBorder="1" applyAlignment="1">
      <alignment horizontal="left"/>
    </xf>
    <xf numFmtId="0" fontId="270" fillId="0" borderId="20" xfId="11" applyFont="1" applyBorder="1" applyAlignment="1">
      <alignment horizontal="left" indent="1"/>
    </xf>
    <xf numFmtId="0" fontId="262" fillId="0" borderId="20" xfId="11" applyFont="1" applyBorder="1"/>
    <xf numFmtId="0" fontId="275" fillId="0" borderId="108" xfId="11" applyFont="1" applyBorder="1" applyAlignment="1">
      <alignment horizontal="left"/>
    </xf>
    <xf numFmtId="164" fontId="140" fillId="0" borderId="107" xfId="13" applyNumberFormat="1" applyFont="1" applyBorder="1" applyAlignment="1" applyProtection="1">
      <alignment horizontal="right"/>
    </xf>
    <xf numFmtId="0" fontId="276" fillId="0" borderId="20" xfId="11" applyFont="1" applyBorder="1" applyAlignment="1">
      <alignment horizontal="left" indent="1"/>
    </xf>
    <xf numFmtId="0" fontId="282" fillId="0" borderId="20" xfId="11" applyFont="1" applyBorder="1" applyAlignment="1">
      <alignment horizontal="left"/>
    </xf>
    <xf numFmtId="0" fontId="262" fillId="0" borderId="20" xfId="10" applyFont="1" applyBorder="1"/>
    <xf numFmtId="0" fontId="262" fillId="0" borderId="23" xfId="10" applyFont="1" applyBorder="1" applyAlignment="1">
      <alignment horizontal="left" indent="1"/>
    </xf>
    <xf numFmtId="0" fontId="140" fillId="0" borderId="108" xfId="10" applyFont="1" applyBorder="1"/>
    <xf numFmtId="0" fontId="140" fillId="0" borderId="107" xfId="10" applyFont="1" applyBorder="1"/>
    <xf numFmtId="164" fontId="140" fillId="0" borderId="107" xfId="10" applyNumberFormat="1" applyFont="1" applyBorder="1" applyAlignment="1">
      <alignment horizontal="right"/>
    </xf>
    <xf numFmtId="0" fontId="274" fillId="0" borderId="20" xfId="11" applyFont="1" applyBorder="1"/>
    <xf numFmtId="0" fontId="262" fillId="0" borderId="108" xfId="10" applyFont="1" applyBorder="1"/>
    <xf numFmtId="0" fontId="262" fillId="0" borderId="107" xfId="10" applyFont="1" applyBorder="1"/>
    <xf numFmtId="164" fontId="262" fillId="0" borderId="107" xfId="10" applyNumberFormat="1" applyFont="1" applyBorder="1" applyAlignment="1">
      <alignment horizontal="right"/>
    </xf>
    <xf numFmtId="0" fontId="140" fillId="0" borderId="20" xfId="10" applyFont="1" applyBorder="1"/>
    <xf numFmtId="0" fontId="140" fillId="0" borderId="110" xfId="10" applyFont="1" applyBorder="1"/>
    <xf numFmtId="0" fontId="262" fillId="0" borderId="112" xfId="10" applyFont="1" applyBorder="1"/>
    <xf numFmtId="0" fontId="262" fillId="0" borderId="97" xfId="10" applyFont="1" applyBorder="1"/>
    <xf numFmtId="0" fontId="262" fillId="0" borderId="23" xfId="10" applyFont="1" applyBorder="1"/>
    <xf numFmtId="164" fontId="262" fillId="0" borderId="19" xfId="13" applyNumberFormat="1" applyFont="1" applyFill="1" applyBorder="1" applyAlignment="1">
      <alignment horizontal="right"/>
    </xf>
    <xf numFmtId="165" fontId="74" fillId="0" borderId="0" xfId="14" applyNumberFormat="1" applyFont="1" applyFill="1" applyBorder="1" applyAlignment="1">
      <alignment horizontal="center"/>
    </xf>
    <xf numFmtId="0" fontId="32" fillId="0" borderId="4" xfId="0" applyFont="1" applyBorder="1"/>
    <xf numFmtId="0" fontId="32" fillId="0" borderId="5" xfId="0" applyFont="1" applyBorder="1"/>
    <xf numFmtId="0" fontId="32" fillId="0" borderId="6" xfId="0" applyFont="1" applyBorder="1"/>
    <xf numFmtId="0" fontId="32" fillId="0" borderId="9" xfId="0" applyFont="1" applyBorder="1"/>
    <xf numFmtId="164" fontId="32" fillId="3" borderId="5" xfId="1" applyNumberFormat="1" applyFont="1" applyFill="1" applyBorder="1"/>
    <xf numFmtId="164" fontId="32" fillId="3" borderId="0" xfId="1" applyNumberFormat="1" applyFont="1" applyFill="1" applyBorder="1"/>
    <xf numFmtId="164" fontId="32" fillId="3" borderId="0" xfId="0" applyNumberFormat="1" applyFont="1" applyFill="1"/>
    <xf numFmtId="164" fontId="32" fillId="3" borderId="5" xfId="0" applyNumberFormat="1" applyFont="1" applyFill="1" applyBorder="1"/>
    <xf numFmtId="164" fontId="32" fillId="0" borderId="5" xfId="1" applyNumberFormat="1" applyFont="1" applyFill="1" applyBorder="1"/>
    <xf numFmtId="164" fontId="32" fillId="0" borderId="5" xfId="0" applyNumberFormat="1" applyFont="1" applyBorder="1"/>
    <xf numFmtId="164" fontId="283" fillId="0" borderId="0" xfId="0" applyNumberFormat="1" applyFont="1"/>
    <xf numFmtId="164" fontId="283" fillId="0" borderId="5" xfId="0" applyNumberFormat="1" applyFont="1" applyBorder="1"/>
    <xf numFmtId="164" fontId="284" fillId="0" borderId="0" xfId="0" applyNumberFormat="1" applyFont="1"/>
    <xf numFmtId="0" fontId="4" fillId="0" borderId="0" xfId="3" applyNumberFormat="1" applyFont="1"/>
    <xf numFmtId="164" fontId="32" fillId="0" borderId="5" xfId="1" applyNumberFormat="1" applyFont="1" applyBorder="1"/>
    <xf numFmtId="0" fontId="4" fillId="0" borderId="0" xfId="1" applyNumberFormat="1" applyFont="1"/>
    <xf numFmtId="0" fontId="19" fillId="0" borderId="5" xfId="0" applyFont="1" applyBorder="1"/>
    <xf numFmtId="0" fontId="4" fillId="10" borderId="0" xfId="0" applyFont="1" applyFill="1"/>
    <xf numFmtId="0" fontId="19" fillId="0" borderId="0" xfId="3" applyNumberFormat="1" applyFont="1"/>
    <xf numFmtId="164" fontId="283" fillId="3" borderId="0" xfId="1" applyNumberFormat="1" applyFont="1" applyFill="1" applyBorder="1"/>
    <xf numFmtId="1" fontId="32" fillId="0" borderId="0" xfId="0" applyNumberFormat="1" applyFont="1"/>
    <xf numFmtId="165" fontId="32" fillId="0" borderId="0" xfId="3" applyNumberFormat="1" applyFont="1"/>
    <xf numFmtId="170" fontId="32" fillId="0" borderId="0" xfId="1" applyNumberFormat="1" applyFont="1"/>
    <xf numFmtId="0" fontId="32" fillId="0" borderId="0" xfId="1" applyNumberFormat="1" applyFont="1"/>
    <xf numFmtId="1" fontId="32" fillId="0" borderId="0" xfId="1" applyNumberFormat="1" applyFont="1"/>
    <xf numFmtId="165" fontId="31" fillId="0" borderId="5" xfId="3" applyNumberFormat="1" applyFont="1" applyBorder="1"/>
    <xf numFmtId="0" fontId="31" fillId="0" borderId="0" xfId="3" applyNumberFormat="1" applyFont="1" applyBorder="1"/>
    <xf numFmtId="165" fontId="31" fillId="0" borderId="0" xfId="3" applyNumberFormat="1" applyFont="1"/>
    <xf numFmtId="165" fontId="32" fillId="0" borderId="5" xfId="3" applyNumberFormat="1" applyFont="1" applyBorder="1"/>
    <xf numFmtId="0" fontId="19" fillId="0" borderId="7" xfId="0" applyFont="1" applyBorder="1"/>
    <xf numFmtId="0" fontId="19" fillId="0" borderId="11" xfId="0" applyFont="1" applyBorder="1"/>
    <xf numFmtId="165" fontId="19" fillId="0" borderId="67" xfId="3" applyNumberFormat="1" applyFont="1" applyBorder="1"/>
    <xf numFmtId="164" fontId="32" fillId="0" borderId="6" xfId="1" applyNumberFormat="1" applyFont="1" applyBorder="1"/>
    <xf numFmtId="164" fontId="32" fillId="0" borderId="9" xfId="1" applyNumberFormat="1" applyFont="1" applyBorder="1"/>
    <xf numFmtId="164" fontId="32" fillId="0" borderId="9" xfId="1" applyNumberFormat="1" applyFont="1" applyFill="1" applyBorder="1"/>
    <xf numFmtId="164" fontId="32" fillId="0" borderId="12" xfId="1" applyNumberFormat="1" applyFont="1" applyBorder="1"/>
    <xf numFmtId="0" fontId="31" fillId="0" borderId="5" xfId="0" applyFont="1" applyBorder="1"/>
    <xf numFmtId="0" fontId="31" fillId="0" borderId="7" xfId="0" applyFont="1" applyBorder="1"/>
    <xf numFmtId="0" fontId="31" fillId="0" borderId="11" xfId="0" applyFont="1" applyBorder="1"/>
    <xf numFmtId="165" fontId="31" fillId="0" borderId="7" xfId="3" applyNumberFormat="1" applyFont="1" applyBorder="1"/>
    <xf numFmtId="165" fontId="31" fillId="0" borderId="11" xfId="3" applyNumberFormat="1" applyFont="1" applyBorder="1"/>
    <xf numFmtId="164" fontId="4" fillId="3" borderId="5" xfId="1" applyNumberFormat="1" applyFont="1" applyFill="1" applyBorder="1"/>
    <xf numFmtId="164" fontId="4" fillId="3" borderId="0" xfId="0" applyNumberFormat="1" applyFont="1" applyFill="1"/>
    <xf numFmtId="164" fontId="4" fillId="3" borderId="5" xfId="0" applyNumberFormat="1" applyFont="1" applyFill="1" applyBorder="1"/>
    <xf numFmtId="164" fontId="7" fillId="3" borderId="5" xfId="0" applyNumberFormat="1" applyFont="1" applyFill="1" applyBorder="1"/>
    <xf numFmtId="164" fontId="285" fillId="0" borderId="0" xfId="1" applyNumberFormat="1" applyFont="1" applyFill="1" applyBorder="1"/>
    <xf numFmtId="164" fontId="10" fillId="0" borderId="0" xfId="1" applyNumberFormat="1" applyFont="1" applyBorder="1"/>
    <xf numFmtId="0" fontId="3" fillId="87" borderId="0" xfId="0" applyFont="1" applyFill="1"/>
    <xf numFmtId="165" fontId="286" fillId="0" borderId="0" xfId="3" applyNumberFormat="1" applyFont="1"/>
    <xf numFmtId="170" fontId="4" fillId="0" borderId="0" xfId="1" applyNumberFormat="1" applyFont="1"/>
    <xf numFmtId="0" fontId="286" fillId="0" borderId="0" xfId="0" applyFont="1"/>
    <xf numFmtId="164" fontId="7" fillId="3" borderId="0" xfId="1" applyNumberFormat="1" applyFont="1" applyFill="1" applyBorder="1"/>
    <xf numFmtId="164" fontId="10" fillId="3" borderId="0" xfId="1" applyNumberFormat="1" applyFont="1" applyFill="1" applyBorder="1"/>
    <xf numFmtId="165" fontId="286" fillId="0" borderId="4" xfId="3" applyNumberFormat="1" applyFont="1" applyBorder="1"/>
    <xf numFmtId="165" fontId="4" fillId="0" borderId="5" xfId="3" applyNumberFormat="1" applyFont="1" applyBorder="1"/>
    <xf numFmtId="165" fontId="286" fillId="0" borderId="0" xfId="3" applyNumberFormat="1" applyFont="1" applyBorder="1"/>
    <xf numFmtId="164" fontId="264" fillId="0" borderId="0" xfId="1" applyNumberFormat="1" applyFont="1" applyBorder="1"/>
    <xf numFmtId="41" fontId="263" fillId="0" borderId="0" xfId="0" applyNumberFormat="1" applyFont="1"/>
    <xf numFmtId="164" fontId="264" fillId="0" borderId="3" xfId="0" applyNumberFormat="1" applyFont="1" applyBorder="1"/>
    <xf numFmtId="0" fontId="4" fillId="0" borderId="0" xfId="1" applyNumberFormat="1" applyFont="1" applyBorder="1"/>
    <xf numFmtId="0" fontId="4" fillId="0" borderId="11" xfId="1" applyNumberFormat="1" applyFont="1" applyBorder="1"/>
    <xf numFmtId="0" fontId="4" fillId="0" borderId="3" xfId="1" applyNumberFormat="1" applyFont="1" applyBorder="1"/>
    <xf numFmtId="0" fontId="4" fillId="0" borderId="4" xfId="1" applyNumberFormat="1" applyFont="1" applyBorder="1"/>
    <xf numFmtId="0" fontId="4" fillId="0" borderId="10" xfId="1" applyNumberFormat="1" applyFont="1" applyBorder="1"/>
    <xf numFmtId="0" fontId="4" fillId="0" borderId="1" xfId="1" applyNumberFormat="1" applyFont="1" applyBorder="1"/>
    <xf numFmtId="165" fontId="276" fillId="3" borderId="34" xfId="12" applyNumberFormat="1" applyFont="1" applyFill="1" applyBorder="1" applyAlignment="1" applyProtection="1">
      <alignment horizontal="right"/>
    </xf>
    <xf numFmtId="165" fontId="276" fillId="3" borderId="34" xfId="12" quotePrefix="1" applyNumberFormat="1" applyFont="1" applyFill="1" applyBorder="1" applyAlignment="1" applyProtection="1">
      <alignment horizontal="right"/>
    </xf>
    <xf numFmtId="165" fontId="276" fillId="3" borderId="109" xfId="12" applyNumberFormat="1" applyFont="1" applyFill="1" applyBorder="1" applyAlignment="1" applyProtection="1">
      <alignment horizontal="right"/>
    </xf>
    <xf numFmtId="165" fontId="266" fillId="3" borderId="34" xfId="12" applyNumberFormat="1" applyFont="1" applyFill="1" applyBorder="1" applyAlignment="1">
      <alignment horizontal="right"/>
    </xf>
    <xf numFmtId="10" fontId="276" fillId="3" borderId="34" xfId="12" applyNumberFormat="1" applyFont="1" applyFill="1" applyBorder="1" applyAlignment="1" applyProtection="1">
      <alignment horizontal="right"/>
    </xf>
    <xf numFmtId="165" fontId="74" fillId="3" borderId="34" xfId="12" applyNumberFormat="1" applyFont="1" applyFill="1" applyBorder="1" applyAlignment="1" applyProtection="1">
      <alignment horizontal="right"/>
    </xf>
    <xf numFmtId="165" fontId="74" fillId="3" borderId="109" xfId="12" applyNumberFormat="1" applyFont="1" applyFill="1" applyBorder="1" applyAlignment="1" applyProtection="1">
      <alignment horizontal="right"/>
    </xf>
    <xf numFmtId="165" fontId="262" fillId="3" borderId="34" xfId="12" applyNumberFormat="1" applyFont="1" applyFill="1" applyBorder="1" applyAlignment="1" applyProtection="1">
      <alignment horizontal="right"/>
    </xf>
    <xf numFmtId="165" fontId="74" fillId="3" borderId="34" xfId="12" applyNumberFormat="1" applyFont="1" applyFill="1" applyBorder="1" applyAlignment="1">
      <alignment horizontal="right"/>
    </xf>
    <xf numFmtId="165" fontId="74" fillId="3" borderId="36" xfId="12" applyNumberFormat="1" applyFont="1" applyFill="1" applyBorder="1" applyAlignment="1">
      <alignment horizontal="right"/>
    </xf>
    <xf numFmtId="165" fontId="74" fillId="3" borderId="109" xfId="12" applyNumberFormat="1" applyFont="1" applyFill="1" applyBorder="1" applyAlignment="1">
      <alignment horizontal="right"/>
    </xf>
    <xf numFmtId="165" fontId="74" fillId="3" borderId="111" xfId="12" applyNumberFormat="1" applyFont="1" applyFill="1" applyBorder="1" applyAlignment="1">
      <alignment horizontal="right"/>
    </xf>
    <xf numFmtId="165" fontId="74" fillId="3" borderId="113" xfId="12" applyNumberFormat="1" applyFont="1" applyFill="1" applyBorder="1" applyAlignment="1">
      <alignment horizontal="right"/>
    </xf>
    <xf numFmtId="164" fontId="74" fillId="3" borderId="36" xfId="12" applyNumberFormat="1" applyFont="1" applyFill="1" applyBorder="1" applyAlignment="1">
      <alignment horizontal="right"/>
    </xf>
    <xf numFmtId="165" fontId="276" fillId="3" borderId="34" xfId="11" applyNumberFormat="1" applyFont="1" applyFill="1" applyBorder="1" applyAlignment="1">
      <alignment horizontal="right"/>
    </xf>
    <xf numFmtId="165" fontId="276" fillId="3" borderId="34" xfId="13" quotePrefix="1" applyNumberFormat="1" applyFont="1" applyFill="1" applyBorder="1" applyAlignment="1" applyProtection="1">
      <alignment horizontal="right"/>
    </xf>
    <xf numFmtId="165" fontId="266" fillId="3" borderId="34" xfId="13" applyNumberFormat="1" applyFont="1" applyFill="1" applyBorder="1" applyAlignment="1">
      <alignment horizontal="right"/>
    </xf>
    <xf numFmtId="165" fontId="74" fillId="3" borderId="34" xfId="13" applyNumberFormat="1" applyFont="1" applyFill="1" applyBorder="1" applyAlignment="1" applyProtection="1">
      <alignment horizontal="right"/>
    </xf>
    <xf numFmtId="165" fontId="74" fillId="3" borderId="109" xfId="13" applyNumberFormat="1" applyFont="1" applyFill="1" applyBorder="1" applyAlignment="1" applyProtection="1">
      <alignment horizontal="right"/>
    </xf>
    <xf numFmtId="165" fontId="262" fillId="3" borderId="34" xfId="13" applyNumberFormat="1" applyFont="1" applyFill="1" applyBorder="1" applyAlignment="1" applyProtection="1">
      <alignment horizontal="right"/>
    </xf>
    <xf numFmtId="165" fontId="74" fillId="3" borderId="34" xfId="10" applyNumberFormat="1" applyFont="1" applyFill="1" applyBorder="1" applyAlignment="1">
      <alignment horizontal="right"/>
    </xf>
    <xf numFmtId="165" fontId="74" fillId="3" borderId="34" xfId="11" applyNumberFormat="1" applyFont="1" applyFill="1" applyBorder="1" applyAlignment="1">
      <alignment horizontal="right"/>
    </xf>
    <xf numFmtId="165" fontId="74" fillId="3" borderId="36" xfId="11" applyNumberFormat="1" applyFont="1" applyFill="1" applyBorder="1" applyAlignment="1">
      <alignment horizontal="right"/>
    </xf>
    <xf numFmtId="165" fontId="74" fillId="3" borderId="109" xfId="10" applyNumberFormat="1" applyFont="1" applyFill="1" applyBorder="1" applyAlignment="1">
      <alignment horizontal="right"/>
    </xf>
    <xf numFmtId="165" fontId="74" fillId="3" borderId="111" xfId="14" applyNumberFormat="1" applyFont="1" applyFill="1" applyBorder="1" applyAlignment="1">
      <alignment horizontal="right"/>
    </xf>
    <xf numFmtId="165" fontId="74" fillId="3" borderId="113" xfId="14" applyNumberFormat="1" applyFont="1" applyFill="1" applyBorder="1" applyAlignment="1">
      <alignment horizontal="right"/>
    </xf>
    <xf numFmtId="0" fontId="74" fillId="3" borderId="34" xfId="10" applyFont="1" applyFill="1" applyBorder="1" applyAlignment="1">
      <alignment horizontal="right"/>
    </xf>
    <xf numFmtId="164" fontId="74" fillId="3" borderId="36" xfId="13" applyNumberFormat="1" applyFont="1" applyFill="1" applyBorder="1" applyAlignment="1">
      <alignment horizontal="right"/>
    </xf>
    <xf numFmtId="165" fontId="262" fillId="3" borderId="34" xfId="12" applyNumberFormat="1" applyFont="1" applyFill="1" applyBorder="1" applyAlignment="1">
      <alignment horizontal="right"/>
    </xf>
    <xf numFmtId="0" fontId="262" fillId="3" borderId="34" xfId="11" applyFont="1" applyFill="1" applyBorder="1" applyAlignment="1">
      <alignment horizontal="right"/>
    </xf>
    <xf numFmtId="0" fontId="262" fillId="3" borderId="36" xfId="11" applyFont="1" applyFill="1" applyBorder="1" applyAlignment="1">
      <alignment horizontal="right"/>
    </xf>
    <xf numFmtId="8" fontId="140" fillId="0" borderId="9" xfId="14" applyNumberFormat="1" applyFont="1" applyFill="1" applyBorder="1" applyAlignment="1">
      <alignment horizontal="right"/>
    </xf>
    <xf numFmtId="8" fontId="262" fillId="0" borderId="97" xfId="14" applyNumberFormat="1" applyFont="1" applyFill="1" applyBorder="1" applyAlignment="1">
      <alignment horizontal="right"/>
    </xf>
    <xf numFmtId="164" fontId="275" fillId="0" borderId="107" xfId="13" quotePrefix="1" applyNumberFormat="1" applyFont="1" applyBorder="1" applyAlignment="1" applyProtection="1">
      <alignment horizontal="right"/>
    </xf>
    <xf numFmtId="0" fontId="7" fillId="0" borderId="0" xfId="7662"/>
    <xf numFmtId="0" fontId="140" fillId="0" borderId="66" xfId="11" applyFont="1" applyBorder="1" applyAlignment="1">
      <alignment horizontal="right"/>
    </xf>
    <xf numFmtId="0" fontId="140" fillId="0" borderId="86" xfId="11" applyFont="1" applyBorder="1" applyAlignment="1">
      <alignment horizontal="right"/>
    </xf>
    <xf numFmtId="0" fontId="140" fillId="0" borderId="87" xfId="11" applyFont="1" applyBorder="1" applyAlignment="1">
      <alignment horizontal="right"/>
    </xf>
    <xf numFmtId="170" fontId="274" fillId="0" borderId="21" xfId="174" applyNumberFormat="1" applyFont="1" applyBorder="1" applyAlignment="1" applyProtection="1">
      <alignment horizontal="right"/>
    </xf>
    <xf numFmtId="170" fontId="274" fillId="0" borderId="0" xfId="174" applyNumberFormat="1" applyFont="1" applyBorder="1" applyAlignment="1" applyProtection="1">
      <alignment horizontal="right"/>
    </xf>
    <xf numFmtId="170" fontId="274" fillId="0" borderId="34" xfId="174" applyNumberFormat="1" applyFont="1" applyBorder="1" applyAlignment="1" applyProtection="1">
      <alignment horizontal="right"/>
    </xf>
    <xf numFmtId="170" fontId="275" fillId="0" borderId="21" xfId="174" quotePrefix="1" applyNumberFormat="1" applyFont="1" applyBorder="1" applyAlignment="1" applyProtection="1">
      <alignment horizontal="right"/>
    </xf>
    <xf numFmtId="170" fontId="275" fillId="0" borderId="0" xfId="174" quotePrefix="1" applyNumberFormat="1" applyFont="1" applyBorder="1" applyAlignment="1" applyProtection="1">
      <alignment horizontal="right"/>
    </xf>
    <xf numFmtId="170" fontId="275" fillId="0" borderId="34" xfId="174" quotePrefix="1" applyNumberFormat="1" applyFont="1" applyBorder="1" applyAlignment="1" applyProtection="1">
      <alignment horizontal="right"/>
    </xf>
    <xf numFmtId="170" fontId="274" fillId="0" borderId="21" xfId="174" quotePrefix="1" applyNumberFormat="1" applyFont="1" applyBorder="1" applyAlignment="1" applyProtection="1">
      <alignment horizontal="right"/>
    </xf>
    <xf numFmtId="170" fontId="274" fillId="0" borderId="0" xfId="174" quotePrefix="1" applyNumberFormat="1" applyFont="1" applyBorder="1" applyAlignment="1" applyProtection="1">
      <alignment horizontal="right"/>
    </xf>
    <xf numFmtId="170" fontId="274" fillId="0" borderId="34" xfId="174" quotePrefix="1" applyNumberFormat="1" applyFont="1" applyBorder="1" applyAlignment="1" applyProtection="1">
      <alignment horizontal="right"/>
    </xf>
    <xf numFmtId="170" fontId="140" fillId="0" borderId="21" xfId="174" applyNumberFormat="1" applyFont="1" applyBorder="1" applyAlignment="1">
      <alignment horizontal="right"/>
    </xf>
    <xf numFmtId="170" fontId="140" fillId="0" borderId="0" xfId="174" applyNumberFormat="1" applyFont="1" applyBorder="1" applyAlignment="1">
      <alignment horizontal="right"/>
    </xf>
    <xf numFmtId="170" fontId="140" fillId="0" borderId="34" xfId="174" applyNumberFormat="1" applyFont="1" applyBorder="1" applyAlignment="1">
      <alignment horizontal="right"/>
    </xf>
    <xf numFmtId="165" fontId="266" fillId="0" borderId="21" xfId="57" applyNumberFormat="1" applyFont="1" applyBorder="1" applyAlignment="1">
      <alignment horizontal="right"/>
    </xf>
    <xf numFmtId="165" fontId="266" fillId="0" borderId="0" xfId="57" applyNumberFormat="1" applyFont="1" applyBorder="1" applyAlignment="1">
      <alignment horizontal="right"/>
    </xf>
    <xf numFmtId="165" fontId="266" fillId="0" borderId="34" xfId="57" applyNumberFormat="1" applyFont="1" applyBorder="1" applyAlignment="1">
      <alignment horizontal="right"/>
    </xf>
    <xf numFmtId="170" fontId="274" fillId="0" borderId="21" xfId="1" applyNumberFormat="1" applyFont="1" applyBorder="1" applyAlignment="1" applyProtection="1">
      <alignment horizontal="right"/>
    </xf>
    <xf numFmtId="170" fontId="274" fillId="0" borderId="0" xfId="1" applyNumberFormat="1" applyFont="1" applyBorder="1" applyAlignment="1" applyProtection="1">
      <alignment horizontal="right"/>
    </xf>
    <xf numFmtId="170" fontId="274" fillId="0" borderId="34" xfId="1" applyNumberFormat="1" applyFont="1" applyBorder="1" applyAlignment="1" applyProtection="1">
      <alignment horizontal="right"/>
    </xf>
    <xf numFmtId="170" fontId="274" fillId="0" borderId="21" xfId="57" applyNumberFormat="1" applyFont="1" applyBorder="1" applyAlignment="1" applyProtection="1">
      <alignment horizontal="right"/>
    </xf>
    <xf numFmtId="170" fontId="274" fillId="0" borderId="0" xfId="57" applyNumberFormat="1" applyFont="1" applyBorder="1" applyAlignment="1" applyProtection="1">
      <alignment horizontal="right"/>
    </xf>
    <xf numFmtId="170" fontId="274" fillId="0" borderId="34" xfId="57" applyNumberFormat="1" applyFont="1" applyBorder="1" applyAlignment="1" applyProtection="1">
      <alignment horizontal="right"/>
    </xf>
    <xf numFmtId="170" fontId="262" fillId="0" borderId="21" xfId="174" applyNumberFormat="1" applyFont="1" applyBorder="1" applyAlignment="1" applyProtection="1">
      <alignment horizontal="right"/>
    </xf>
    <xf numFmtId="170" fontId="262" fillId="0" borderId="0" xfId="174" applyNumberFormat="1" applyFont="1" applyBorder="1" applyAlignment="1" applyProtection="1">
      <alignment horizontal="right"/>
    </xf>
    <xf numFmtId="170" fontId="262" fillId="0" borderId="34" xfId="174" applyNumberFormat="1" applyFont="1" applyBorder="1" applyAlignment="1" applyProtection="1">
      <alignment horizontal="right"/>
    </xf>
    <xf numFmtId="165" fontId="266" fillId="0" borderId="21" xfId="57" applyNumberFormat="1" applyFont="1" applyBorder="1" applyAlignment="1" applyProtection="1">
      <alignment horizontal="right"/>
    </xf>
    <xf numFmtId="165" fontId="266" fillId="0" borderId="0" xfId="57" applyNumberFormat="1" applyFont="1" applyBorder="1" applyAlignment="1" applyProtection="1">
      <alignment horizontal="right"/>
    </xf>
    <xf numFmtId="165" fontId="266" fillId="0" borderId="34" xfId="57" applyNumberFormat="1" applyFont="1" applyBorder="1" applyAlignment="1" applyProtection="1">
      <alignment horizontal="right"/>
    </xf>
    <xf numFmtId="170" fontId="278" fillId="0" borderId="21" xfId="57" applyNumberFormat="1" applyFont="1" applyBorder="1" applyAlignment="1" applyProtection="1">
      <alignment horizontal="right"/>
    </xf>
    <xf numFmtId="170" fontId="278" fillId="0" borderId="0" xfId="57" applyNumberFormat="1" applyFont="1" applyBorder="1" applyAlignment="1" applyProtection="1">
      <alignment horizontal="right"/>
    </xf>
    <xf numFmtId="170" fontId="278" fillId="0" borderId="34" xfId="57" applyNumberFormat="1" applyFont="1" applyBorder="1" applyAlignment="1" applyProtection="1">
      <alignment horizontal="right"/>
    </xf>
    <xf numFmtId="170" fontId="7" fillId="0" borderId="21" xfId="1" applyNumberFormat="1" applyFont="1" applyBorder="1" applyAlignment="1" applyProtection="1">
      <alignment horizontal="right"/>
    </xf>
    <xf numFmtId="170" fontId="7" fillId="0" borderId="0" xfId="1" applyNumberFormat="1" applyFont="1" applyBorder="1" applyAlignment="1" applyProtection="1">
      <alignment horizontal="right"/>
    </xf>
    <xf numFmtId="170" fontId="7" fillId="0" borderId="34" xfId="1" applyNumberFormat="1" applyFont="1" applyBorder="1" applyAlignment="1" applyProtection="1">
      <alignment horizontal="right"/>
    </xf>
    <xf numFmtId="170" fontId="140" fillId="0" borderId="21" xfId="1" applyNumberFormat="1" applyFont="1" applyBorder="1" applyAlignment="1" applyProtection="1">
      <alignment horizontal="right"/>
    </xf>
    <xf numFmtId="170" fontId="140" fillId="0" borderId="0" xfId="1" applyNumberFormat="1" applyFont="1" applyBorder="1" applyAlignment="1" applyProtection="1">
      <alignment horizontal="right"/>
    </xf>
    <xf numFmtId="170" fontId="140" fillId="0" borderId="34" xfId="1" applyNumberFormat="1" applyFont="1" applyBorder="1" applyAlignment="1" applyProtection="1">
      <alignment horizontal="right"/>
    </xf>
    <xf numFmtId="170" fontId="266" fillId="0" borderId="21" xfId="57" applyNumberFormat="1" applyFont="1" applyBorder="1" applyAlignment="1" applyProtection="1">
      <alignment horizontal="right"/>
    </xf>
    <xf numFmtId="170" fontId="266" fillId="0" borderId="0" xfId="57" applyNumberFormat="1" applyFont="1" applyBorder="1" applyAlignment="1" applyProtection="1">
      <alignment horizontal="right"/>
    </xf>
    <xf numFmtId="170" fontId="266" fillId="0" borderId="34" xfId="57" applyNumberFormat="1" applyFont="1" applyBorder="1" applyAlignment="1" applyProtection="1">
      <alignment horizontal="right"/>
    </xf>
    <xf numFmtId="170" fontId="262" fillId="0" borderId="21" xfId="7662" applyNumberFormat="1" applyFont="1" applyBorder="1" applyAlignment="1">
      <alignment horizontal="right"/>
    </xf>
    <xf numFmtId="170" fontId="262" fillId="0" borderId="0" xfId="7662" applyNumberFormat="1" applyFont="1" applyAlignment="1">
      <alignment horizontal="right"/>
    </xf>
    <xf numFmtId="170" fontId="262" fillId="0" borderId="34" xfId="7662" applyNumberFormat="1" applyFont="1" applyBorder="1" applyAlignment="1">
      <alignment horizontal="right"/>
    </xf>
    <xf numFmtId="170" fontId="262" fillId="0" borderId="21" xfId="11" applyNumberFormat="1" applyFont="1" applyBorder="1" applyAlignment="1">
      <alignment horizontal="right"/>
    </xf>
    <xf numFmtId="170" fontId="262" fillId="0" borderId="0" xfId="11" applyNumberFormat="1" applyFont="1" applyAlignment="1">
      <alignment horizontal="right"/>
    </xf>
    <xf numFmtId="170" fontId="262" fillId="0" borderId="34" xfId="11" applyNumberFormat="1" applyFont="1" applyBorder="1" applyAlignment="1">
      <alignment horizontal="right"/>
    </xf>
    <xf numFmtId="170" fontId="140" fillId="0" borderId="21" xfId="7662" applyNumberFormat="1" applyFont="1" applyBorder="1" applyAlignment="1">
      <alignment horizontal="right"/>
    </xf>
    <xf numFmtId="170" fontId="140" fillId="0" borderId="0" xfId="7662" applyNumberFormat="1" applyFont="1" applyAlignment="1">
      <alignment horizontal="right"/>
    </xf>
    <xf numFmtId="170" fontId="140" fillId="0" borderId="34" xfId="7662" applyNumberFormat="1" applyFont="1" applyBorder="1" applyAlignment="1">
      <alignment horizontal="right"/>
    </xf>
    <xf numFmtId="170" fontId="274" fillId="0" borderId="21" xfId="11" applyNumberFormat="1" applyFont="1" applyBorder="1" applyAlignment="1">
      <alignment horizontal="right"/>
    </xf>
    <xf numFmtId="170" fontId="274" fillId="0" borderId="0" xfId="11" applyNumberFormat="1" applyFont="1" applyAlignment="1">
      <alignment horizontal="right"/>
    </xf>
    <xf numFmtId="170" fontId="274" fillId="0" borderId="34" xfId="11" applyNumberFormat="1" applyFont="1" applyBorder="1" applyAlignment="1">
      <alignment horizontal="right"/>
    </xf>
    <xf numFmtId="7" fontId="140" fillId="0" borderId="21" xfId="192" applyNumberFormat="1" applyFont="1" applyFill="1" applyBorder="1" applyAlignment="1">
      <alignment horizontal="right"/>
    </xf>
    <xf numFmtId="7" fontId="140" fillId="0" borderId="0" xfId="192" applyNumberFormat="1" applyFont="1" applyFill="1" applyBorder="1" applyAlignment="1">
      <alignment horizontal="right"/>
    </xf>
    <xf numFmtId="7" fontId="140" fillId="0" borderId="34" xfId="192" applyNumberFormat="1" applyFont="1" applyFill="1" applyBorder="1" applyAlignment="1">
      <alignment horizontal="right"/>
    </xf>
    <xf numFmtId="170" fontId="262" fillId="0" borderId="21" xfId="192" applyNumberFormat="1" applyFont="1" applyFill="1" applyBorder="1" applyAlignment="1">
      <alignment horizontal="right"/>
    </xf>
    <xf numFmtId="0" fontId="262" fillId="0" borderId="34" xfId="11" applyFont="1" applyBorder="1"/>
    <xf numFmtId="0" fontId="7" fillId="0" borderId="34" xfId="7662" applyBorder="1"/>
    <xf numFmtId="170" fontId="262" fillId="0" borderId="21" xfId="174" applyNumberFormat="1" applyFont="1" applyFill="1" applyBorder="1" applyAlignment="1">
      <alignment horizontal="right"/>
    </xf>
    <xf numFmtId="0" fontId="262" fillId="0" borderId="19" xfId="11" applyFont="1" applyBorder="1"/>
    <xf numFmtId="0" fontId="262" fillId="0" borderId="36" xfId="11" applyFont="1" applyBorder="1"/>
    <xf numFmtId="0" fontId="262" fillId="0" borderId="23" xfId="11" applyFont="1" applyBorder="1"/>
    <xf numFmtId="0" fontId="262" fillId="0" borderId="21" xfId="11" applyFont="1" applyBorder="1"/>
    <xf numFmtId="0" fontId="262" fillId="0" borderId="22" xfId="11" applyFont="1" applyBorder="1"/>
    <xf numFmtId="0" fontId="7" fillId="0" borderId="19" xfId="10" applyFont="1" applyBorder="1"/>
    <xf numFmtId="0" fontId="7" fillId="0" borderId="34" xfId="10" applyFont="1" applyBorder="1"/>
    <xf numFmtId="0" fontId="7" fillId="0" borderId="36" xfId="10" applyFont="1" applyBorder="1"/>
    <xf numFmtId="8" fontId="140" fillId="0" borderId="111" xfId="14" applyNumberFormat="1" applyFont="1" applyFill="1" applyBorder="1" applyAlignment="1">
      <alignment horizontal="right"/>
    </xf>
    <xf numFmtId="8" fontId="262" fillId="0" borderId="113" xfId="14" applyNumberFormat="1" applyFont="1" applyFill="1" applyBorder="1" applyAlignment="1">
      <alignment horizontal="right"/>
    </xf>
    <xf numFmtId="8" fontId="140" fillId="0" borderId="115" xfId="14" applyNumberFormat="1" applyFont="1" applyFill="1" applyBorder="1" applyAlignment="1">
      <alignment horizontal="right"/>
    </xf>
    <xf numFmtId="8" fontId="262" fillId="0" borderId="116" xfId="14" applyNumberFormat="1" applyFont="1" applyFill="1" applyBorder="1" applyAlignment="1">
      <alignment horizontal="right"/>
    </xf>
    <xf numFmtId="165" fontId="266" fillId="0" borderId="34" xfId="12" applyNumberFormat="1" applyFont="1" applyBorder="1" applyAlignment="1">
      <alignment horizontal="right"/>
    </xf>
    <xf numFmtId="0" fontId="275" fillId="0" borderId="117" xfId="11" applyFont="1" applyBorder="1" applyAlignment="1">
      <alignment horizontal="left"/>
    </xf>
    <xf numFmtId="0" fontId="275" fillId="0" borderId="118" xfId="11" applyFont="1" applyBorder="1" applyAlignment="1">
      <alignment horizontal="left"/>
    </xf>
    <xf numFmtId="164" fontId="275" fillId="0" borderId="118" xfId="13" quotePrefix="1" applyNumberFormat="1" applyFont="1" applyBorder="1" applyAlignment="1" applyProtection="1">
      <alignment horizontal="right"/>
    </xf>
    <xf numFmtId="165" fontId="276" fillId="3" borderId="119" xfId="12" quotePrefix="1" applyNumberFormat="1" applyFont="1" applyFill="1" applyBorder="1" applyAlignment="1" applyProtection="1">
      <alignment horizontal="right"/>
    </xf>
    <xf numFmtId="165" fontId="276" fillId="3" borderId="119" xfId="13" quotePrefix="1" applyNumberFormat="1" applyFont="1" applyFill="1" applyBorder="1" applyAlignment="1" applyProtection="1">
      <alignment horizontal="right"/>
    </xf>
    <xf numFmtId="165" fontId="74" fillId="3" borderId="119" xfId="12" applyNumberFormat="1" applyFont="1" applyFill="1" applyBorder="1" applyAlignment="1">
      <alignment horizontal="right"/>
    </xf>
    <xf numFmtId="164" fontId="275" fillId="0" borderId="120" xfId="13" quotePrefix="1" applyNumberFormat="1" applyFont="1" applyBorder="1" applyAlignment="1" applyProtection="1">
      <alignment horizontal="right"/>
    </xf>
    <xf numFmtId="164" fontId="275" fillId="0" borderId="119" xfId="13" quotePrefix="1" applyNumberFormat="1" applyFont="1" applyBorder="1" applyAlignment="1" applyProtection="1">
      <alignment horizontal="right"/>
    </xf>
    <xf numFmtId="0" fontId="275" fillId="0" borderId="121" xfId="11" applyFont="1" applyBorder="1" applyAlignment="1">
      <alignment horizontal="left"/>
    </xf>
    <xf numFmtId="164" fontId="140" fillId="0" borderId="118" xfId="13" applyNumberFormat="1" applyFont="1" applyBorder="1" applyAlignment="1">
      <alignment horizontal="right"/>
    </xf>
    <xf numFmtId="165" fontId="74" fillId="3" borderId="119" xfId="13" applyNumberFormat="1" applyFont="1" applyFill="1" applyBorder="1" applyAlignment="1">
      <alignment horizontal="right"/>
    </xf>
    <xf numFmtId="164" fontId="140" fillId="0" borderId="120" xfId="13" applyNumberFormat="1" applyFont="1" applyBorder="1" applyAlignment="1">
      <alignment horizontal="right"/>
    </xf>
    <xf numFmtId="164" fontId="140" fillId="0" borderId="119" xfId="13" applyNumberFormat="1" applyFont="1" applyBorder="1" applyAlignment="1">
      <alignment horizontal="right"/>
    </xf>
    <xf numFmtId="165" fontId="266" fillId="0" borderId="21" xfId="12" applyNumberFormat="1" applyFont="1" applyBorder="1" applyAlignment="1">
      <alignment horizontal="right"/>
    </xf>
    <xf numFmtId="164" fontId="140" fillId="0" borderId="0" xfId="13" applyNumberFormat="1" applyFont="1" applyBorder="1" applyAlignment="1">
      <alignment horizontal="right"/>
    </xf>
    <xf numFmtId="164" fontId="140" fillId="0" borderId="34" xfId="13" applyNumberFormat="1" applyFont="1" applyBorder="1" applyAlignment="1">
      <alignment horizontal="right"/>
    </xf>
    <xf numFmtId="164" fontId="140" fillId="0" borderId="21" xfId="13" applyNumberFormat="1" applyFont="1" applyBorder="1" applyAlignment="1">
      <alignment horizontal="right"/>
    </xf>
    <xf numFmtId="164" fontId="6" fillId="3" borderId="4" xfId="1" applyNumberFormat="1" applyFont="1" applyFill="1" applyBorder="1"/>
    <xf numFmtId="0" fontId="6" fillId="3" borderId="4" xfId="0" applyFont="1" applyFill="1" applyBorder="1"/>
    <xf numFmtId="164" fontId="263" fillId="0" borderId="0" xfId="1" applyNumberFormat="1" applyFont="1" applyBorder="1"/>
    <xf numFmtId="9" fontId="287" fillId="0" borderId="5" xfId="3" applyFont="1" applyFill="1" applyBorder="1"/>
    <xf numFmtId="9" fontId="19" fillId="0" borderId="5" xfId="3" applyFont="1" applyFill="1" applyBorder="1"/>
    <xf numFmtId="164" fontId="19" fillId="0" borderId="0" xfId="0" applyNumberFormat="1" applyFont="1"/>
    <xf numFmtId="0" fontId="0" fillId="0" borderId="20" xfId="0" applyBorder="1" applyAlignment="1">
      <alignment vertical="top" wrapText="1"/>
    </xf>
    <xf numFmtId="0" fontId="288" fillId="89" borderId="0" xfId="0" applyFont="1" applyFill="1" applyAlignment="1">
      <alignment vertical="center" wrapText="1"/>
    </xf>
    <xf numFmtId="0" fontId="23" fillId="0" borderId="4" xfId="0" applyFont="1" applyBorder="1"/>
    <xf numFmtId="0" fontId="23" fillId="0" borderId="12" xfId="0" applyFont="1" applyBorder="1"/>
    <xf numFmtId="0" fontId="23" fillId="0" borderId="12" xfId="0" applyFont="1" applyBorder="1" applyAlignment="1">
      <alignment wrapText="1"/>
    </xf>
    <xf numFmtId="14" fontId="23" fillId="0" borderId="4" xfId="0" applyNumberFormat="1" applyFont="1" applyBorder="1" applyAlignment="1">
      <alignment vertical="top"/>
    </xf>
    <xf numFmtId="0" fontId="23" fillId="0" borderId="12" xfId="0" applyFont="1" applyBorder="1" applyAlignment="1">
      <alignment vertical="top"/>
    </xf>
    <xf numFmtId="14" fontId="23" fillId="0" borderId="4" xfId="0" applyNumberFormat="1" applyFont="1" applyBorder="1" applyAlignment="1">
      <alignment horizontal="left" vertical="top"/>
    </xf>
    <xf numFmtId="14" fontId="23" fillId="0" borderId="124" xfId="0" applyNumberFormat="1" applyFont="1" applyBorder="1" applyAlignment="1">
      <alignment horizontal="left" vertical="top"/>
    </xf>
    <xf numFmtId="9" fontId="4" fillId="0" borderId="0" xfId="3" applyFont="1" applyFill="1" applyBorder="1"/>
    <xf numFmtId="164" fontId="4" fillId="90" borderId="4" xfId="1" applyNumberFormat="1" applyFont="1" applyFill="1" applyBorder="1"/>
    <xf numFmtId="164" fontId="4" fillId="90" borderId="0" xfId="1" applyNumberFormat="1" applyFont="1" applyFill="1" applyBorder="1"/>
    <xf numFmtId="164" fontId="4" fillId="90" borderId="5" xfId="1" applyNumberFormat="1" applyFont="1" applyFill="1" applyBorder="1"/>
    <xf numFmtId="164" fontId="4" fillId="90" borderId="0" xfId="0" applyNumberFormat="1" applyFont="1" applyFill="1"/>
    <xf numFmtId="164" fontId="4" fillId="90" borderId="5" xfId="0" applyNumberFormat="1" applyFont="1" applyFill="1" applyBorder="1"/>
    <xf numFmtId="164" fontId="7" fillId="90" borderId="0" xfId="0" applyNumberFormat="1" applyFont="1" applyFill="1"/>
    <xf numFmtId="0" fontId="4" fillId="90" borderId="0" xfId="0" applyFont="1" applyFill="1"/>
    <xf numFmtId="267" fontId="4" fillId="90" borderId="0" xfId="0" applyNumberFormat="1" applyFont="1" applyFill="1"/>
    <xf numFmtId="164" fontId="7" fillId="90" borderId="0" xfId="1" applyNumberFormat="1" applyFont="1" applyFill="1" applyBorder="1"/>
    <xf numFmtId="0" fontId="19" fillId="0" borderId="0" xfId="3" applyNumberFormat="1" applyFont="1" applyBorder="1"/>
    <xf numFmtId="0" fontId="3" fillId="90" borderId="0" xfId="0" applyFont="1" applyFill="1"/>
    <xf numFmtId="43" fontId="4" fillId="90" borderId="0" xfId="0" applyNumberFormat="1" applyFont="1" applyFill="1"/>
    <xf numFmtId="0" fontId="28" fillId="0" borderId="0" xfId="0" applyFont="1"/>
    <xf numFmtId="0" fontId="3" fillId="87" borderId="83" xfId="2" applyNumberFormat="1" applyFont="1" applyFill="1" applyBorder="1" applyAlignment="1">
      <alignment horizontal="center"/>
    </xf>
    <xf numFmtId="164" fontId="0" fillId="0" borderId="21" xfId="1" applyNumberFormat="1" applyFont="1" applyBorder="1"/>
    <xf numFmtId="164" fontId="0" fillId="0" borderId="21" xfId="0" applyNumberFormat="1" applyBorder="1"/>
    <xf numFmtId="0" fontId="28" fillId="0" borderId="21" xfId="0" applyFont="1" applyBorder="1"/>
    <xf numFmtId="164" fontId="28" fillId="0" borderId="21" xfId="0" applyNumberFormat="1" applyFont="1" applyBorder="1"/>
    <xf numFmtId="164" fontId="28" fillId="0" borderId="21" xfId="1" applyNumberFormat="1" applyFont="1" applyBorder="1"/>
    <xf numFmtId="0" fontId="140" fillId="4" borderId="0" xfId="0" applyFont="1" applyFill="1" applyAlignment="1">
      <alignment horizontal="center"/>
    </xf>
    <xf numFmtId="164" fontId="263" fillId="0" borderId="0" xfId="181" applyNumberFormat="1" applyFont="1" applyBorder="1"/>
    <xf numFmtId="164" fontId="264" fillId="0" borderId="0" xfId="181" applyNumberFormat="1" applyFont="1" applyBorder="1"/>
    <xf numFmtId="208" fontId="22" fillId="0" borderId="0" xfId="57" applyNumberFormat="1" applyFont="1" applyBorder="1"/>
    <xf numFmtId="164" fontId="264" fillId="0" borderId="0" xfId="0" applyNumberFormat="1" applyFont="1"/>
    <xf numFmtId="43" fontId="254" fillId="0" borderId="0" xfId="1" applyFont="1" applyBorder="1" applyAlignment="1">
      <alignment vertical="top"/>
    </xf>
    <xf numFmtId="43" fontId="257" fillId="0" borderId="0" xfId="1" applyFont="1" applyBorder="1"/>
    <xf numFmtId="9" fontId="6" fillId="0" borderId="0" xfId="3" applyFont="1" applyBorder="1"/>
    <xf numFmtId="165" fontId="1" fillId="0" borderId="0" xfId="3" applyNumberFormat="1" applyFont="1"/>
    <xf numFmtId="165" fontId="136" fillId="0" borderId="0" xfId="0" applyNumberFormat="1" applyFont="1"/>
    <xf numFmtId="0" fontId="136" fillId="0" borderId="0" xfId="0" applyFont="1"/>
    <xf numFmtId="0" fontId="135" fillId="91" borderId="0" xfId="0" applyFont="1" applyFill="1"/>
    <xf numFmtId="9" fontId="0" fillId="0" borderId="0" xfId="0" applyNumberFormat="1" applyAlignment="1">
      <alignment horizontal="center"/>
    </xf>
    <xf numFmtId="0" fontId="254" fillId="0" borderId="0" xfId="3" applyNumberFormat="1" applyFont="1" applyBorder="1"/>
    <xf numFmtId="0" fontId="28" fillId="0" borderId="20" xfId="0" applyFont="1" applyBorder="1"/>
    <xf numFmtId="164" fontId="0" fillId="0" borderId="115" xfId="0" applyNumberFormat="1" applyBorder="1"/>
    <xf numFmtId="9" fontId="0" fillId="0" borderId="0" xfId="3" applyFont="1" applyBorder="1"/>
    <xf numFmtId="165" fontId="0" fillId="0" borderId="0" xfId="3" applyNumberFormat="1" applyFont="1" applyBorder="1"/>
    <xf numFmtId="0" fontId="0" fillId="0" borderId="23" xfId="0" applyBorder="1"/>
    <xf numFmtId="0" fontId="0" fillId="0" borderId="22" xfId="0" applyBorder="1"/>
    <xf numFmtId="164" fontId="0" fillId="0" borderId="0" xfId="3" applyNumberFormat="1" applyFont="1" applyBorder="1"/>
    <xf numFmtId="164" fontId="28" fillId="0" borderId="0" xfId="0" applyNumberFormat="1" applyFont="1"/>
    <xf numFmtId="0" fontId="73" fillId="0" borderId="20" xfId="0" applyFont="1" applyBorder="1"/>
    <xf numFmtId="0" fontId="73" fillId="0" borderId="21" xfId="0" applyFont="1" applyBorder="1"/>
    <xf numFmtId="164" fontId="73" fillId="0" borderId="0" xfId="1" applyNumberFormat="1" applyFont="1" applyBorder="1"/>
    <xf numFmtId="9" fontId="73" fillId="0" borderId="0" xfId="3" applyFont="1" applyBorder="1"/>
    <xf numFmtId="164" fontId="73" fillId="0" borderId="21" xfId="1" applyNumberFormat="1" applyFont="1" applyBorder="1"/>
    <xf numFmtId="9" fontId="73" fillId="0" borderId="21" xfId="3" applyFont="1" applyBorder="1"/>
    <xf numFmtId="164" fontId="1" fillId="0" borderId="0" xfId="1" applyNumberFormat="1" applyFont="1" applyBorder="1"/>
    <xf numFmtId="164" fontId="1" fillId="0" borderId="21" xfId="1" applyNumberFormat="1" applyFont="1" applyBorder="1"/>
    <xf numFmtId="0" fontId="73" fillId="0" borderId="23" xfId="0" applyFont="1" applyBorder="1"/>
    <xf numFmtId="0" fontId="73" fillId="0" borderId="19" xfId="0" applyFont="1" applyBorder="1"/>
    <xf numFmtId="0" fontId="73" fillId="0" borderId="22" xfId="0" applyFont="1" applyBorder="1"/>
    <xf numFmtId="165" fontId="73" fillId="0" borderId="19" xfId="3" applyNumberFormat="1" applyFont="1" applyBorder="1"/>
    <xf numFmtId="165" fontId="73" fillId="0" borderId="0" xfId="3" applyNumberFormat="1" applyFont="1" applyBorder="1"/>
    <xf numFmtId="165" fontId="291" fillId="0" borderId="0" xfId="3" applyNumberFormat="1" applyFont="1" applyBorder="1"/>
    <xf numFmtId="164" fontId="73" fillId="0" borderId="21" xfId="0" applyNumberFormat="1" applyFont="1" applyBorder="1"/>
    <xf numFmtId="9" fontId="73" fillId="0" borderId="22" xfId="3" applyFont="1" applyBorder="1"/>
    <xf numFmtId="164" fontId="28" fillId="0" borderId="0" xfId="1" applyNumberFormat="1" applyFont="1" applyBorder="1"/>
    <xf numFmtId="9" fontId="292" fillId="0" borderId="21" xfId="3" applyFont="1" applyBorder="1"/>
    <xf numFmtId="0" fontId="292" fillId="0" borderId="20" xfId="0" applyFont="1" applyBorder="1"/>
    <xf numFmtId="0" fontId="292" fillId="0" borderId="0" xfId="0" applyFont="1"/>
    <xf numFmtId="0" fontId="292" fillId="0" borderId="21" xfId="0" applyFont="1" applyBorder="1"/>
    <xf numFmtId="165" fontId="292" fillId="0" borderId="0" xfId="3" applyNumberFormat="1" applyFont="1" applyBorder="1"/>
    <xf numFmtId="9" fontId="292" fillId="0" borderId="0" xfId="3" applyFont="1" applyBorder="1"/>
    <xf numFmtId="0" fontId="0" fillId="0" borderId="118" xfId="0" applyBorder="1"/>
    <xf numFmtId="0" fontId="25" fillId="0" borderId="20" xfId="0" applyFont="1" applyBorder="1"/>
    <xf numFmtId="165" fontId="73" fillId="0" borderId="21" xfId="3" applyNumberFormat="1" applyFont="1" applyBorder="1"/>
    <xf numFmtId="9" fontId="293" fillId="0" borderId="0" xfId="3" applyFont="1" applyBorder="1"/>
    <xf numFmtId="9" fontId="73" fillId="0" borderId="19" xfId="3" applyFont="1" applyBorder="1"/>
    <xf numFmtId="165" fontId="73" fillId="0" borderId="22" xfId="3" applyNumberFormat="1" applyFont="1" applyBorder="1"/>
    <xf numFmtId="9" fontId="73" fillId="0" borderId="23" xfId="3" applyFont="1" applyBorder="1"/>
    <xf numFmtId="0" fontId="31" fillId="0" borderId="4" xfId="0" applyFont="1" applyBorder="1"/>
    <xf numFmtId="164" fontId="31" fillId="0" borderId="5" xfId="1" applyNumberFormat="1" applyFont="1" applyBorder="1"/>
    <xf numFmtId="164" fontId="31" fillId="0" borderId="0" xfId="1" applyNumberFormat="1" applyFont="1" applyBorder="1"/>
    <xf numFmtId="164" fontId="74" fillId="0" borderId="5" xfId="1" applyNumberFormat="1" applyFont="1" applyBorder="1"/>
    <xf numFmtId="164" fontId="74" fillId="0" borderId="0" xfId="1" applyNumberFormat="1" applyFont="1" applyBorder="1"/>
    <xf numFmtId="164" fontId="74" fillId="9" borderId="0" xfId="1" applyNumberFormat="1" applyFont="1" applyFill="1" applyBorder="1"/>
    <xf numFmtId="165" fontId="31" fillId="0" borderId="0" xfId="1" applyNumberFormat="1" applyFont="1" applyBorder="1"/>
    <xf numFmtId="165" fontId="294" fillId="0" borderId="0" xfId="3" applyNumberFormat="1" applyFont="1" applyBorder="1"/>
    <xf numFmtId="0" fontId="3" fillId="91" borderId="1" xfId="0" applyFont="1" applyFill="1" applyBorder="1"/>
    <xf numFmtId="0" fontId="4" fillId="91" borderId="1" xfId="0" applyFont="1" applyFill="1" applyBorder="1"/>
    <xf numFmtId="0" fontId="3" fillId="91" borderId="2" xfId="0" applyFont="1" applyFill="1" applyBorder="1" applyAlignment="1">
      <alignment horizontal="center"/>
    </xf>
    <xf numFmtId="0" fontId="3" fillId="91" borderId="3" xfId="0" applyFont="1" applyFill="1" applyBorder="1" applyAlignment="1">
      <alignment horizontal="center"/>
    </xf>
    <xf numFmtId="0" fontId="3" fillId="91" borderId="3" xfId="2" applyNumberFormat="1" applyFont="1" applyFill="1" applyBorder="1" applyAlignment="1">
      <alignment horizontal="center"/>
    </xf>
    <xf numFmtId="0" fontId="3" fillId="91" borderId="2" xfId="2" applyNumberFormat="1" applyFont="1" applyFill="1" applyBorder="1" applyAlignment="1">
      <alignment horizontal="center"/>
    </xf>
    <xf numFmtId="164" fontId="3" fillId="91" borderId="3" xfId="1" applyNumberFormat="1" applyFont="1" applyFill="1" applyBorder="1" applyAlignment="1">
      <alignment horizontal="center"/>
    </xf>
    <xf numFmtId="0" fontId="3" fillId="91" borderId="1" xfId="2" applyNumberFormat="1" applyFont="1" applyFill="1" applyBorder="1" applyAlignment="1">
      <alignment horizontal="center"/>
    </xf>
    <xf numFmtId="0" fontId="3" fillId="91" borderId="13" xfId="2" applyNumberFormat="1" applyFont="1" applyFill="1" applyBorder="1" applyAlignment="1">
      <alignment horizontal="center"/>
    </xf>
    <xf numFmtId="268" fontId="0" fillId="0" borderId="0" xfId="0" applyNumberFormat="1"/>
    <xf numFmtId="9" fontId="73" fillId="0" borderId="34" xfId="3" applyFont="1" applyBorder="1"/>
    <xf numFmtId="268" fontId="28" fillId="0" borderId="0" xfId="0" applyNumberFormat="1" applyFont="1"/>
    <xf numFmtId="268" fontId="28" fillId="0" borderId="34" xfId="0" applyNumberFormat="1" applyFont="1" applyBorder="1"/>
    <xf numFmtId="9" fontId="73" fillId="0" borderId="36" xfId="3" applyFont="1" applyBorder="1"/>
    <xf numFmtId="0" fontId="3" fillId="91" borderId="126" xfId="2" applyNumberFormat="1" applyFont="1" applyFill="1" applyBorder="1" applyAlignment="1">
      <alignment horizontal="left"/>
    </xf>
    <xf numFmtId="0" fontId="3" fillId="91" borderId="129" xfId="2" applyNumberFormat="1" applyFont="1" applyFill="1" applyBorder="1" applyAlignment="1">
      <alignment horizontal="center"/>
    </xf>
    <xf numFmtId="0" fontId="3" fillId="91" borderId="126" xfId="2" applyNumberFormat="1" applyFont="1" applyFill="1" applyBorder="1" applyAlignment="1">
      <alignment horizontal="center"/>
    </xf>
    <xf numFmtId="0" fontId="3" fillId="91" borderId="130" xfId="2" applyNumberFormat="1" applyFont="1" applyFill="1" applyBorder="1" applyAlignment="1">
      <alignment horizontal="center"/>
    </xf>
    <xf numFmtId="0" fontId="3" fillId="91" borderId="128" xfId="2" applyNumberFormat="1" applyFont="1" applyFill="1" applyBorder="1" applyAlignment="1">
      <alignment horizontal="center"/>
    </xf>
    <xf numFmtId="0" fontId="3" fillId="91" borderId="127" xfId="2" applyNumberFormat="1" applyFont="1" applyFill="1" applyBorder="1" applyAlignment="1">
      <alignment horizontal="center"/>
    </xf>
    <xf numFmtId="0" fontId="295" fillId="0" borderId="20" xfId="0" applyFont="1" applyBorder="1"/>
    <xf numFmtId="0" fontId="272" fillId="91" borderId="114" xfId="0" applyFont="1" applyFill="1" applyBorder="1"/>
    <xf numFmtId="0" fontId="272" fillId="91" borderId="86" xfId="0" applyFont="1" applyFill="1" applyBorder="1"/>
    <xf numFmtId="0" fontId="272" fillId="91" borderId="86" xfId="0" applyFont="1" applyFill="1" applyBorder="1" applyAlignment="1">
      <alignment horizontal="center"/>
    </xf>
    <xf numFmtId="0" fontId="273" fillId="91" borderId="87" xfId="0" applyFont="1" applyFill="1" applyBorder="1" applyAlignment="1">
      <alignment horizontal="center"/>
    </xf>
    <xf numFmtId="0" fontId="3" fillId="91" borderId="83" xfId="2" applyNumberFormat="1" applyFont="1" applyFill="1" applyBorder="1" applyAlignment="1">
      <alignment horizontal="center"/>
    </xf>
    <xf numFmtId="0" fontId="3" fillId="91" borderId="125" xfId="2" applyNumberFormat="1" applyFont="1" applyFill="1" applyBorder="1" applyAlignment="1">
      <alignment horizontal="center"/>
    </xf>
    <xf numFmtId="0" fontId="3" fillId="91" borderId="131" xfId="2" applyNumberFormat="1" applyFont="1" applyFill="1" applyBorder="1" applyAlignment="1">
      <alignment horizontal="center"/>
    </xf>
    <xf numFmtId="0" fontId="135" fillId="91" borderId="121" xfId="0" applyFont="1" applyFill="1" applyBorder="1"/>
    <xf numFmtId="0" fontId="138" fillId="91" borderId="118" xfId="0" applyFont="1" applyFill="1" applyBorder="1"/>
    <xf numFmtId="0" fontId="135" fillId="91" borderId="118" xfId="0" applyFont="1" applyFill="1" applyBorder="1" applyAlignment="1">
      <alignment horizontal="right"/>
    </xf>
    <xf numFmtId="0" fontId="135" fillId="91" borderId="119" xfId="0" applyFont="1" applyFill="1" applyBorder="1" applyAlignment="1">
      <alignment horizontal="right"/>
    </xf>
    <xf numFmtId="268" fontId="0" fillId="0" borderId="34" xfId="0" applyNumberFormat="1" applyBorder="1"/>
    <xf numFmtId="164" fontId="296" fillId="0" borderId="0" xfId="1" applyNumberFormat="1" applyFont="1" applyBorder="1"/>
    <xf numFmtId="164" fontId="265" fillId="0" borderId="0" xfId="1" applyNumberFormat="1" applyFont="1" applyBorder="1"/>
    <xf numFmtId="165" fontId="297" fillId="0" borderId="0" xfId="3" applyNumberFormat="1" applyFont="1" applyBorder="1"/>
    <xf numFmtId="164" fontId="298" fillId="0" borderId="0" xfId="1" applyNumberFormat="1" applyFont="1" applyBorder="1"/>
    <xf numFmtId="165" fontId="74" fillId="3" borderId="36" xfId="13" applyNumberFormat="1" applyFont="1" applyFill="1" applyBorder="1" applyAlignment="1" applyProtection="1">
      <alignment horizontal="right"/>
    </xf>
    <xf numFmtId="10" fontId="266" fillId="3" borderId="34" xfId="12" applyNumberFormat="1" applyFont="1" applyFill="1" applyBorder="1" applyAlignment="1">
      <alignment horizontal="right"/>
    </xf>
    <xf numFmtId="9" fontId="22" fillId="0" borderId="0" xfId="3" applyFont="1" applyFill="1" applyBorder="1" applyAlignment="1">
      <alignment horizontal="right"/>
    </xf>
    <xf numFmtId="164" fontId="3" fillId="0" borderId="0" xfId="2" applyNumberFormat="1" applyFont="1" applyFill="1" applyBorder="1" applyAlignment="1">
      <alignment horizontal="center"/>
    </xf>
    <xf numFmtId="0" fontId="4" fillId="0" borderId="132" xfId="0" applyFont="1" applyBorder="1" applyAlignment="1">
      <alignment wrapText="1"/>
    </xf>
    <xf numFmtId="0" fontId="4" fillId="0" borderId="132" xfId="0" applyFont="1" applyBorder="1" applyAlignment="1">
      <alignment vertical="center"/>
    </xf>
    <xf numFmtId="0" fontId="4" fillId="0" borderId="133" xfId="0" applyFont="1" applyBorder="1" applyAlignment="1">
      <alignment wrapText="1"/>
    </xf>
    <xf numFmtId="0" fontId="4" fillId="0" borderId="0" xfId="0" applyFont="1" applyAlignment="1">
      <alignment vertical="top" wrapText="1"/>
    </xf>
    <xf numFmtId="0" fontId="4" fillId="0" borderId="12" xfId="0" applyFont="1" applyBorder="1" applyAlignment="1">
      <alignment vertical="top" wrapText="1"/>
    </xf>
    <xf numFmtId="0" fontId="4" fillId="0" borderId="97" xfId="0" applyFont="1" applyBorder="1" applyAlignment="1">
      <alignment vertical="top" wrapText="1"/>
    </xf>
    <xf numFmtId="0" fontId="4" fillId="0" borderId="14" xfId="0" applyFont="1" applyBorder="1" applyAlignment="1">
      <alignment vertical="top" wrapText="1"/>
    </xf>
    <xf numFmtId="0" fontId="135" fillId="91" borderId="4" xfId="0" applyFont="1" applyFill="1" applyBorder="1"/>
    <xf numFmtId="44" fontId="0" fillId="0" borderId="0" xfId="2" applyFont="1" applyBorder="1"/>
    <xf numFmtId="44" fontId="0" fillId="0" borderId="12" xfId="2" applyFont="1" applyBorder="1"/>
    <xf numFmtId="0" fontId="28" fillId="0" borderId="4" xfId="0" applyFont="1" applyBorder="1"/>
    <xf numFmtId="164" fontId="28" fillId="0" borderId="12" xfId="1" applyNumberFormat="1" applyFont="1" applyBorder="1"/>
    <xf numFmtId="6" fontId="0" fillId="0" borderId="0" xfId="0" applyNumberFormat="1"/>
    <xf numFmtId="6" fontId="0" fillId="0" borderId="0" xfId="0" applyNumberFormat="1" applyAlignment="1">
      <alignment horizontal="right"/>
    </xf>
    <xf numFmtId="0" fontId="3" fillId="91" borderId="8" xfId="10" applyFont="1" applyFill="1" applyBorder="1"/>
    <xf numFmtId="0" fontId="3" fillId="91" borderId="9" xfId="10" applyFont="1" applyFill="1" applyBorder="1" applyAlignment="1">
      <alignment horizontal="right"/>
    </xf>
    <xf numFmtId="0" fontId="3" fillId="91" borderId="15" xfId="10" applyFont="1" applyFill="1" applyBorder="1" applyAlignment="1">
      <alignment horizontal="right"/>
    </xf>
    <xf numFmtId="0" fontId="7" fillId="0" borderId="4" xfId="10" applyFont="1" applyBorder="1"/>
    <xf numFmtId="164" fontId="7" fillId="0" borderId="12" xfId="10" applyNumberFormat="1" applyFont="1" applyBorder="1"/>
    <xf numFmtId="164" fontId="7" fillId="0" borderId="0" xfId="10" applyNumberFormat="1" applyFont="1"/>
    <xf numFmtId="0" fontId="9" fillId="0" borderId="10" xfId="10" applyFont="1" applyBorder="1"/>
    <xf numFmtId="165" fontId="9" fillId="0" borderId="67" xfId="3" applyNumberFormat="1" applyFont="1" applyBorder="1"/>
    <xf numFmtId="165" fontId="9" fillId="0" borderId="135" xfId="3" applyNumberFormat="1" applyFont="1" applyBorder="1"/>
    <xf numFmtId="164" fontId="299" fillId="0" borderId="0" xfId="1" applyNumberFormat="1" applyFont="1" applyBorder="1"/>
    <xf numFmtId="164" fontId="299" fillId="0" borderId="12" xfId="10" applyNumberFormat="1" applyFont="1" applyBorder="1"/>
    <xf numFmtId="0" fontId="6" fillId="0" borderId="4" xfId="0" applyFont="1" applyBorder="1" applyAlignment="1">
      <alignment vertical="top" wrapText="1"/>
    </xf>
    <xf numFmtId="0" fontId="6" fillId="0" borderId="10" xfId="0" applyFont="1" applyBorder="1" applyAlignment="1">
      <alignment vertical="top" wrapText="1"/>
    </xf>
    <xf numFmtId="0" fontId="3" fillId="91" borderId="8" xfId="0" applyFont="1" applyFill="1" applyBorder="1" applyAlignment="1">
      <alignment vertical="center" wrapText="1"/>
    </xf>
    <xf numFmtId="0" fontId="3" fillId="91" borderId="9" xfId="0" applyFont="1" applyFill="1" applyBorder="1" applyAlignment="1">
      <alignment vertical="center" wrapText="1"/>
    </xf>
    <xf numFmtId="0" fontId="3" fillId="91" borderId="15" xfId="0" applyFont="1" applyFill="1" applyBorder="1" applyAlignment="1">
      <alignment vertical="center"/>
    </xf>
    <xf numFmtId="0" fontId="292" fillId="0" borderId="10" xfId="0" applyFont="1" applyBorder="1"/>
    <xf numFmtId="165" fontId="292" fillId="0" borderId="67" xfId="3" applyNumberFormat="1" applyFont="1" applyBorder="1"/>
    <xf numFmtId="165" fontId="292" fillId="0" borderId="134" xfId="3" applyNumberFormat="1" applyFont="1" applyBorder="1"/>
    <xf numFmtId="0" fontId="73" fillId="0" borderId="4" xfId="0" applyFont="1" applyBorder="1"/>
    <xf numFmtId="165" fontId="73" fillId="0" borderId="12" xfId="3" applyNumberFormat="1" applyFont="1" applyBorder="1"/>
    <xf numFmtId="0" fontId="135" fillId="0" borderId="0" xfId="0" applyFont="1"/>
    <xf numFmtId="0" fontId="135" fillId="91" borderId="0" xfId="0" applyFont="1" applyFill="1" applyAlignment="1">
      <alignment horizontal="left" indent="3"/>
    </xf>
    <xf numFmtId="0" fontId="135" fillId="91" borderId="12" xfId="0" applyFont="1" applyFill="1" applyBorder="1" applyAlignment="1">
      <alignment horizontal="left" indent="3"/>
    </xf>
    <xf numFmtId="0" fontId="135" fillId="91" borderId="8" xfId="0" applyFont="1" applyFill="1" applyBorder="1"/>
    <xf numFmtId="0" fontId="135" fillId="91" borderId="9" xfId="0" applyFont="1" applyFill="1" applyBorder="1"/>
    <xf numFmtId="0" fontId="135" fillId="91" borderId="15" xfId="0" applyFont="1" applyFill="1" applyBorder="1"/>
    <xf numFmtId="0" fontId="298" fillId="0" borderId="4" xfId="0" applyFont="1" applyBorder="1"/>
    <xf numFmtId="0" fontId="300" fillId="0" borderId="136" xfId="0" applyFont="1" applyBorder="1"/>
    <xf numFmtId="6" fontId="28" fillId="0" borderId="67" xfId="0" applyNumberFormat="1" applyFont="1" applyBorder="1" applyAlignment="1">
      <alignment horizontal="right"/>
    </xf>
    <xf numFmtId="0" fontId="28" fillId="0" borderId="67" xfId="0" applyFont="1" applyBorder="1" applyAlignment="1">
      <alignment horizontal="right"/>
    </xf>
    <xf numFmtId="0" fontId="28" fillId="0" borderId="135" xfId="0" applyFont="1" applyBorder="1" applyAlignment="1">
      <alignment horizontal="center"/>
    </xf>
    <xf numFmtId="0" fontId="140" fillId="4" borderId="1" xfId="0" applyFont="1" applyFill="1" applyBorder="1" applyAlignment="1">
      <alignment horizontal="center"/>
    </xf>
    <xf numFmtId="0" fontId="140" fillId="4" borderId="83" xfId="0" applyFont="1" applyFill="1" applyBorder="1" applyAlignment="1">
      <alignment horizontal="center"/>
    </xf>
    <xf numFmtId="0" fontId="140" fillId="4" borderId="13" xfId="0" applyFont="1" applyFill="1" applyBorder="1" applyAlignment="1">
      <alignment horizontal="center"/>
    </xf>
    <xf numFmtId="0" fontId="135" fillId="86" borderId="17" xfId="0" applyFont="1" applyFill="1" applyBorder="1" applyAlignment="1">
      <alignment horizontal="center"/>
    </xf>
    <xf numFmtId="0" fontId="135" fillId="86" borderId="18" xfId="0" applyFont="1" applyFill="1" applyBorder="1" applyAlignment="1">
      <alignment horizontal="center"/>
    </xf>
    <xf numFmtId="0" fontId="135" fillId="86" borderId="8" xfId="0" applyFont="1" applyFill="1" applyBorder="1" applyAlignment="1">
      <alignment horizontal="center"/>
    </xf>
    <xf numFmtId="0" fontId="135" fillId="86" borderId="9" xfId="0" applyFont="1" applyFill="1" applyBorder="1" applyAlignment="1">
      <alignment horizontal="center"/>
    </xf>
    <xf numFmtId="0" fontId="135" fillId="86" borderId="15" xfId="0" applyFont="1" applyFill="1" applyBorder="1" applyAlignment="1">
      <alignment horizontal="center"/>
    </xf>
    <xf numFmtId="0" fontId="290" fillId="88" borderId="122" xfId="0" applyFont="1" applyFill="1" applyBorder="1" applyAlignment="1">
      <alignment horizontal="left" vertical="top" wrapText="1"/>
    </xf>
    <xf numFmtId="0" fontId="26" fillId="88" borderId="0" xfId="0" applyFont="1" applyFill="1" applyAlignment="1">
      <alignment vertical="center" wrapText="1"/>
    </xf>
    <xf numFmtId="0" fontId="289" fillId="0" borderId="123" xfId="0" applyFont="1" applyBorder="1" applyAlignment="1">
      <alignment horizontal="left" vertical="top" wrapText="1"/>
    </xf>
    <xf numFmtId="0" fontId="26" fillId="0" borderId="0" xfId="0" applyFont="1" applyAlignment="1">
      <alignment vertical="center" wrapText="1"/>
    </xf>
    <xf numFmtId="0" fontId="290" fillId="88" borderId="0" xfId="0" applyFont="1" applyFill="1" applyAlignment="1">
      <alignment horizontal="left" vertical="top" wrapText="1"/>
    </xf>
    <xf numFmtId="0" fontId="290" fillId="89" borderId="0" xfId="0" applyFont="1" applyFill="1" applyAlignment="1">
      <alignment horizontal="left" vertical="top" wrapText="1"/>
    </xf>
    <xf numFmtId="0" fontId="26" fillId="89" borderId="0" xfId="0" applyFont="1" applyFill="1" applyAlignment="1">
      <alignment vertical="center" wrapText="1"/>
    </xf>
    <xf numFmtId="0" fontId="288" fillId="88" borderId="0" xfId="0" applyFont="1" applyFill="1" applyAlignment="1">
      <alignment vertical="center" wrapText="1"/>
    </xf>
    <xf numFmtId="0" fontId="288" fillId="89" borderId="0" xfId="0" applyFont="1" applyFill="1" applyAlignment="1">
      <alignment vertical="center" wrapText="1"/>
    </xf>
  </cellXfs>
  <cellStyles count="36250">
    <cellStyle name="&quot;A&quot;-style" xfId="1797" xr:uid="{00000000-0005-0000-0000-000000000000}"/>
    <cellStyle name="&quot;A&quot;-style 2" xfId="11115" xr:uid="{00000000-0005-0000-0000-000001000000}"/>
    <cellStyle name="#" xfId="467" xr:uid="{00000000-0005-0000-0000-000002000000}"/>
    <cellStyle name="#-" xfId="468" xr:uid="{00000000-0005-0000-0000-000003000000}"/>
    <cellStyle name="$" xfId="469" xr:uid="{00000000-0005-0000-0000-000004000000}"/>
    <cellStyle name="$-" xfId="470" xr:uid="{00000000-0005-0000-0000-000005000000}"/>
    <cellStyle name="$ &amp; ¢" xfId="1799" xr:uid="{00000000-0005-0000-0000-000006000000}"/>
    <cellStyle name="$ &amp; ¢ 2" xfId="1988" xr:uid="{00000000-0005-0000-0000-000007000000}"/>
    <cellStyle name="$ &amp; ¢ 2 2" xfId="11171" xr:uid="{00000000-0005-0000-0000-000008000000}"/>
    <cellStyle name="$ &amp; ¢ 3" xfId="2007" xr:uid="{00000000-0005-0000-0000-000009000000}"/>
    <cellStyle name="$ &amp; ¢ 3 2" xfId="11334" xr:uid="{00000000-0005-0000-0000-00000A000000}"/>
    <cellStyle name="$ 10" xfId="2006" xr:uid="{00000000-0005-0000-0000-00000B000000}"/>
    <cellStyle name="$ 10 2" xfId="11333" xr:uid="{00000000-0005-0000-0000-00000C000000}"/>
    <cellStyle name="$ 11" xfId="2080" xr:uid="{00000000-0005-0000-0000-00000D000000}"/>
    <cellStyle name="$ 11 2" xfId="11445" xr:uid="{00000000-0005-0000-0000-00000E000000}"/>
    <cellStyle name="$ 12" xfId="2011" xr:uid="{00000000-0005-0000-0000-00000F000000}"/>
    <cellStyle name="$ 12 2" xfId="11350" xr:uid="{00000000-0005-0000-0000-000010000000}"/>
    <cellStyle name="$ 13" xfId="2087" xr:uid="{00000000-0005-0000-0000-000011000000}"/>
    <cellStyle name="$ 13 2" xfId="11488" xr:uid="{00000000-0005-0000-0000-000012000000}"/>
    <cellStyle name="$ 14" xfId="2014" xr:uid="{00000000-0005-0000-0000-000013000000}"/>
    <cellStyle name="$ 14 2" xfId="11358" xr:uid="{00000000-0005-0000-0000-000014000000}"/>
    <cellStyle name="$ 15" xfId="2084" xr:uid="{00000000-0005-0000-0000-000015000000}"/>
    <cellStyle name="$ 15 2" xfId="11471" xr:uid="{00000000-0005-0000-0000-000016000000}"/>
    <cellStyle name="$ 16" xfId="2091" xr:uid="{00000000-0005-0000-0000-000017000000}"/>
    <cellStyle name="$ 16 2" xfId="11509" xr:uid="{00000000-0005-0000-0000-000018000000}"/>
    <cellStyle name="$ 17" xfId="2094" xr:uid="{00000000-0005-0000-0000-000019000000}"/>
    <cellStyle name="$ 17 2" xfId="11525" xr:uid="{00000000-0005-0000-0000-00001A000000}"/>
    <cellStyle name="$ 18" xfId="2097" xr:uid="{00000000-0005-0000-0000-00001B000000}"/>
    <cellStyle name="$ 18 2" xfId="11541" xr:uid="{00000000-0005-0000-0000-00001C000000}"/>
    <cellStyle name="$ 19" xfId="2100" xr:uid="{00000000-0005-0000-0000-00001D000000}"/>
    <cellStyle name="$ 19 2" xfId="11558" xr:uid="{00000000-0005-0000-0000-00001E000000}"/>
    <cellStyle name="$ 2" xfId="1987" xr:uid="{00000000-0005-0000-0000-00001F000000}"/>
    <cellStyle name="$ 2 2" xfId="11170" xr:uid="{00000000-0005-0000-0000-000020000000}"/>
    <cellStyle name="$ 20" xfId="2103" xr:uid="{00000000-0005-0000-0000-000021000000}"/>
    <cellStyle name="$ 20 2" xfId="11574" xr:uid="{00000000-0005-0000-0000-000022000000}"/>
    <cellStyle name="$ 21" xfId="2107" xr:uid="{00000000-0005-0000-0000-000023000000}"/>
    <cellStyle name="$ 21 2" xfId="11590" xr:uid="{00000000-0005-0000-0000-000024000000}"/>
    <cellStyle name="$ 22" xfId="2111" xr:uid="{00000000-0005-0000-0000-000025000000}"/>
    <cellStyle name="$ 22 2" xfId="11605" xr:uid="{00000000-0005-0000-0000-000026000000}"/>
    <cellStyle name="$ 23" xfId="2115" xr:uid="{00000000-0005-0000-0000-000027000000}"/>
    <cellStyle name="$ 23 2" xfId="11621" xr:uid="{00000000-0005-0000-0000-000028000000}"/>
    <cellStyle name="$ 24" xfId="2119" xr:uid="{00000000-0005-0000-0000-000029000000}"/>
    <cellStyle name="$ 24 2" xfId="11637" xr:uid="{00000000-0005-0000-0000-00002A000000}"/>
    <cellStyle name="$ 25" xfId="2122" xr:uid="{00000000-0005-0000-0000-00002B000000}"/>
    <cellStyle name="$ 25 2" xfId="11653" xr:uid="{00000000-0005-0000-0000-00002C000000}"/>
    <cellStyle name="$ 26" xfId="2125" xr:uid="{00000000-0005-0000-0000-00002D000000}"/>
    <cellStyle name="$ 26 2" xfId="11669" xr:uid="{00000000-0005-0000-0000-00002E000000}"/>
    <cellStyle name="$ 27" xfId="2128" xr:uid="{00000000-0005-0000-0000-00002F000000}"/>
    <cellStyle name="$ 27 2" xfId="11684" xr:uid="{00000000-0005-0000-0000-000030000000}"/>
    <cellStyle name="$ 28" xfId="2133" xr:uid="{00000000-0005-0000-0000-000031000000}"/>
    <cellStyle name="$ 28 2" xfId="11698" xr:uid="{00000000-0005-0000-0000-000032000000}"/>
    <cellStyle name="$ 29" xfId="2138" xr:uid="{00000000-0005-0000-0000-000033000000}"/>
    <cellStyle name="$ 29 2" xfId="11713" xr:uid="{00000000-0005-0000-0000-000034000000}"/>
    <cellStyle name="$ 3" xfId="1997" xr:uid="{00000000-0005-0000-0000-000035000000}"/>
    <cellStyle name="$ 3 2" xfId="11180" xr:uid="{00000000-0005-0000-0000-000036000000}"/>
    <cellStyle name="$ 30" xfId="2141" xr:uid="{00000000-0005-0000-0000-000037000000}"/>
    <cellStyle name="$ 30 2" xfId="11728" xr:uid="{00000000-0005-0000-0000-000038000000}"/>
    <cellStyle name="$ 31" xfId="2145" xr:uid="{00000000-0005-0000-0000-000039000000}"/>
    <cellStyle name="$ 31 2" xfId="11743" xr:uid="{00000000-0005-0000-0000-00003A000000}"/>
    <cellStyle name="$ 32" xfId="1798" xr:uid="{00000000-0005-0000-0000-00003B000000}"/>
    <cellStyle name="$ 33" xfId="10941" xr:uid="{00000000-0005-0000-0000-00003C000000}"/>
    <cellStyle name="$ 34" xfId="11094" xr:uid="{00000000-0005-0000-0000-00003D000000}"/>
    <cellStyle name="$ 35" xfId="11114" xr:uid="{00000000-0005-0000-0000-00003E000000}"/>
    <cellStyle name="$ 4" xfId="1999" xr:uid="{00000000-0005-0000-0000-00003F000000}"/>
    <cellStyle name="$ 4 2" xfId="11216" xr:uid="{00000000-0005-0000-0000-000040000000}"/>
    <cellStyle name="$ 5" xfId="2003" xr:uid="{00000000-0005-0000-0000-000041000000}"/>
    <cellStyle name="$ 5 2" xfId="11227" xr:uid="{00000000-0005-0000-0000-000042000000}"/>
    <cellStyle name="$ 6" xfId="2001" xr:uid="{00000000-0005-0000-0000-000043000000}"/>
    <cellStyle name="$ 6 2" xfId="11218" xr:uid="{00000000-0005-0000-0000-000044000000}"/>
    <cellStyle name="$ 7" xfId="2000" xr:uid="{00000000-0005-0000-0000-000045000000}"/>
    <cellStyle name="$ 7 2" xfId="11217" xr:uid="{00000000-0005-0000-0000-000046000000}"/>
    <cellStyle name="$ 8" xfId="2002" xr:uid="{00000000-0005-0000-0000-000047000000}"/>
    <cellStyle name="$ 8 2" xfId="11219" xr:uid="{00000000-0005-0000-0000-000048000000}"/>
    <cellStyle name="$ 9" xfId="2004" xr:uid="{00000000-0005-0000-0000-000049000000}"/>
    <cellStyle name="$ 9 2" xfId="11299" xr:uid="{00000000-0005-0000-0000-00004A000000}"/>
    <cellStyle name="$_Hershey_Model_0.54" xfId="471" xr:uid="{00000000-0005-0000-0000-00004B000000}"/>
    <cellStyle name="$_HSY_2006_Board_Memo_Supportv1.0" xfId="472" xr:uid="{00000000-0005-0000-0000-00004C000000}"/>
    <cellStyle name="$0.00" xfId="85" xr:uid="{00000000-0005-0000-0000-00004D000000}"/>
    <cellStyle name="$0.00 2" xfId="10416" xr:uid="{00000000-0005-0000-0000-00004E000000}"/>
    <cellStyle name="$0.00 3" xfId="36208" xr:uid="{00000000-0005-0000-0000-00004F000000}"/>
    <cellStyle name="$0.95" xfId="86" xr:uid="{00000000-0005-0000-0000-000050000000}"/>
    <cellStyle name="$0.95 2" xfId="10417" xr:uid="{00000000-0005-0000-0000-000051000000}"/>
    <cellStyle name="$0.95 3" xfId="36209" xr:uid="{00000000-0005-0000-0000-000052000000}"/>
    <cellStyle name="$0.99" xfId="87" xr:uid="{00000000-0005-0000-0000-000053000000}"/>
    <cellStyle name="$0.99 2" xfId="10418" xr:uid="{00000000-0005-0000-0000-000054000000}"/>
    <cellStyle name="$0.99 3" xfId="36210" xr:uid="{00000000-0005-0000-0000-000055000000}"/>
    <cellStyle name="$m" xfId="473" xr:uid="{00000000-0005-0000-0000-000056000000}"/>
    <cellStyle name="$q" xfId="474" xr:uid="{00000000-0005-0000-0000-000057000000}"/>
    <cellStyle name="$q*" xfId="475" xr:uid="{00000000-0005-0000-0000-000058000000}"/>
    <cellStyle name="$q_AVP" xfId="476" xr:uid="{00000000-0005-0000-0000-000059000000}"/>
    <cellStyle name="$qA" xfId="477" xr:uid="{00000000-0005-0000-0000-00005A000000}"/>
    <cellStyle name="$qRange" xfId="478" xr:uid="{00000000-0005-0000-0000-00005B000000}"/>
    <cellStyle name="%" xfId="479" xr:uid="{00000000-0005-0000-0000-00005C000000}"/>
    <cellStyle name="%-" xfId="480" xr:uid="{00000000-0005-0000-0000-00005D000000}"/>
    <cellStyle name="% 2" xfId="1989" xr:uid="{00000000-0005-0000-0000-00005E000000}"/>
    <cellStyle name="% 2 2" xfId="11172" xr:uid="{00000000-0005-0000-0000-00005F000000}"/>
    <cellStyle name="% 3" xfId="2008" xr:uid="{00000000-0005-0000-0000-000060000000}"/>
    <cellStyle name="% 3 2" xfId="11335" xr:uid="{00000000-0005-0000-0000-000061000000}"/>
    <cellStyle name="% 4" xfId="1800" xr:uid="{00000000-0005-0000-0000-000062000000}"/>
    <cellStyle name="% 5" xfId="10938" xr:uid="{00000000-0005-0000-0000-000063000000}"/>
    <cellStyle name="% 6" xfId="11095" xr:uid="{00000000-0005-0000-0000-000064000000}"/>
    <cellStyle name="% 7" xfId="11113" xr:uid="{00000000-0005-0000-0000-000065000000}"/>
    <cellStyle name="%.00" xfId="481" xr:uid="{00000000-0005-0000-0000-000066000000}"/>
    <cellStyle name="%.00 2" xfId="1990" xr:uid="{00000000-0005-0000-0000-000067000000}"/>
    <cellStyle name="%.00 2 2" xfId="11173" xr:uid="{00000000-0005-0000-0000-000068000000}"/>
    <cellStyle name="%.00 3" xfId="2009" xr:uid="{00000000-0005-0000-0000-000069000000}"/>
    <cellStyle name="%.00 3 2" xfId="11336" xr:uid="{00000000-0005-0000-0000-00006A000000}"/>
    <cellStyle name="%.00 4" xfId="1801" xr:uid="{00000000-0005-0000-0000-00006B000000}"/>
    <cellStyle name="%[0]" xfId="15" xr:uid="{00000000-0005-0000-0000-00006C000000}"/>
    <cellStyle name="%[1]" xfId="16" xr:uid="{00000000-0005-0000-0000-00006D000000}"/>
    <cellStyle name="%[2]" xfId="17" xr:uid="{00000000-0005-0000-0000-00006E000000}"/>
    <cellStyle name="%0" xfId="482" xr:uid="{00000000-0005-0000-0000-00006F000000}"/>
    <cellStyle name="%1" xfId="483" xr:uid="{00000000-0005-0000-0000-000070000000}"/>
    <cellStyle name="%2" xfId="484" xr:uid="{00000000-0005-0000-0000-000071000000}"/>
    <cellStyle name="******************************************" xfId="485" xr:uid="{00000000-0005-0000-0000-000072000000}"/>
    <cellStyle name=";;;" xfId="486" xr:uid="{00000000-0005-0000-0000-000073000000}"/>
    <cellStyle name="’Ê‰Ý [0.00]_GE 3 MINIMUM" xfId="1802" xr:uid="{00000000-0005-0000-0000-000074000000}"/>
    <cellStyle name="’Ê‰Ý_GE 3 MINIMUM" xfId="1803" xr:uid="{00000000-0005-0000-0000-000075000000}"/>
    <cellStyle name="£ BP" xfId="487" xr:uid="{00000000-0005-0000-0000-000076000000}"/>
    <cellStyle name="£ BP 2" xfId="1804" xr:uid="{00000000-0005-0000-0000-000077000000}"/>
    <cellStyle name="£Currency [0]" xfId="488" xr:uid="{00000000-0005-0000-0000-000078000000}"/>
    <cellStyle name="£Currency [1]" xfId="489" xr:uid="{00000000-0005-0000-0000-000079000000}"/>
    <cellStyle name="£Currency [2]" xfId="490" xr:uid="{00000000-0005-0000-0000-00007A000000}"/>
    <cellStyle name="£Currency [p]" xfId="491" xr:uid="{00000000-0005-0000-0000-00007B000000}"/>
    <cellStyle name="£Currency [p2]" xfId="492" xr:uid="{00000000-0005-0000-0000-00007C000000}"/>
    <cellStyle name="£Pounds" xfId="493" xr:uid="{00000000-0005-0000-0000-00007D000000}"/>
    <cellStyle name="¥ JY" xfId="494" xr:uid="{00000000-0005-0000-0000-00007E000000}"/>
    <cellStyle name="¥ JY 2" xfId="1805" xr:uid="{00000000-0005-0000-0000-00007F000000}"/>
    <cellStyle name="=C:\WINNT\SYSTEM32\COMMAND.COM" xfId="1806" xr:uid="{00000000-0005-0000-0000-000080000000}"/>
    <cellStyle name="•W_GE 3 MINIMUM" xfId="1807" xr:uid="{00000000-0005-0000-0000-000081000000}"/>
    <cellStyle name="0.0" xfId="495" xr:uid="{00000000-0005-0000-0000-000082000000}"/>
    <cellStyle name="0.0%" xfId="496" xr:uid="{00000000-0005-0000-0000-000083000000}"/>
    <cellStyle name="0.00" xfId="497" xr:uid="{00000000-0005-0000-0000-000084000000}"/>
    <cellStyle name="0000" xfId="498" xr:uid="{00000000-0005-0000-0000-000085000000}"/>
    <cellStyle name="20% - Accent1" xfId="407" builtinId="30" customBuiltin="1"/>
    <cellStyle name="20% - Accent1 10" xfId="19633" xr:uid="{00000000-0005-0000-0000-000087000000}"/>
    <cellStyle name="20% - Accent1 2" xfId="88" xr:uid="{00000000-0005-0000-0000-000088000000}"/>
    <cellStyle name="20% - Accent1 2 2" xfId="89" xr:uid="{00000000-0005-0000-0000-000089000000}"/>
    <cellStyle name="20% - Accent1 2 2 2" xfId="2261" xr:uid="{00000000-0005-0000-0000-00008A000000}"/>
    <cellStyle name="20% - Accent1 2 2 2 2" xfId="2260" xr:uid="{00000000-0005-0000-0000-00008B000000}"/>
    <cellStyle name="20% - Accent1 2 2 2 2 2" xfId="11898" xr:uid="{00000000-0005-0000-0000-00008C000000}"/>
    <cellStyle name="20% - Accent1 2 2 2 2 2 2" xfId="28411" xr:uid="{00000000-0005-0000-0000-00008D000000}"/>
    <cellStyle name="20% - Accent1 2 2 2 2 3" xfId="20369" xr:uid="{00000000-0005-0000-0000-00008E000000}"/>
    <cellStyle name="20% - Accent1 2 2 2 3" xfId="11899" xr:uid="{00000000-0005-0000-0000-00008F000000}"/>
    <cellStyle name="20% - Accent1 2 2 2 3 2" xfId="28412" xr:uid="{00000000-0005-0000-0000-000090000000}"/>
    <cellStyle name="20% - Accent1 2 2 2 4" xfId="20370" xr:uid="{00000000-0005-0000-0000-000091000000}"/>
    <cellStyle name="20% - Accent1 2 2 3" xfId="2259" xr:uid="{00000000-0005-0000-0000-000092000000}"/>
    <cellStyle name="20% - Accent1 2 2 3 2" xfId="11897" xr:uid="{00000000-0005-0000-0000-000093000000}"/>
    <cellStyle name="20% - Accent1 2 2 3 2 2" xfId="28410" xr:uid="{00000000-0005-0000-0000-000094000000}"/>
    <cellStyle name="20% - Accent1 2 2 3 3" xfId="20368" xr:uid="{00000000-0005-0000-0000-000095000000}"/>
    <cellStyle name="20% - Accent1 2 2 4" xfId="2262" xr:uid="{00000000-0005-0000-0000-000096000000}"/>
    <cellStyle name="20% - Accent1 2 2 4 2" xfId="28413" xr:uid="{00000000-0005-0000-0000-000097000000}"/>
    <cellStyle name="20% - Accent1 2 2 5" xfId="20371" xr:uid="{00000000-0005-0000-0000-000098000000}"/>
    <cellStyle name="20% - Accent1 2 3" xfId="2258" xr:uid="{00000000-0005-0000-0000-000099000000}"/>
    <cellStyle name="20% - Accent1 2 3 2" xfId="2257" xr:uid="{00000000-0005-0000-0000-00009A000000}"/>
    <cellStyle name="20% - Accent1 2 3 2 2" xfId="11895" xr:uid="{00000000-0005-0000-0000-00009B000000}"/>
    <cellStyle name="20% - Accent1 2 3 2 2 2" xfId="28408" xr:uid="{00000000-0005-0000-0000-00009C000000}"/>
    <cellStyle name="20% - Accent1 2 3 2 3" xfId="20366" xr:uid="{00000000-0005-0000-0000-00009D000000}"/>
    <cellStyle name="20% - Accent1 2 3 3" xfId="11896" xr:uid="{00000000-0005-0000-0000-00009E000000}"/>
    <cellStyle name="20% - Accent1 2 3 3 2" xfId="28409" xr:uid="{00000000-0005-0000-0000-00009F000000}"/>
    <cellStyle name="20% - Accent1 2 3 4" xfId="20367" xr:uid="{00000000-0005-0000-0000-0000A0000000}"/>
    <cellStyle name="20% - Accent1 2 4" xfId="2256" xr:uid="{00000000-0005-0000-0000-0000A1000000}"/>
    <cellStyle name="20% - Accent1 2 4 2" xfId="11894" xr:uid="{00000000-0005-0000-0000-0000A2000000}"/>
    <cellStyle name="20% - Accent1 2 4 2 2" xfId="28407" xr:uid="{00000000-0005-0000-0000-0000A3000000}"/>
    <cellStyle name="20% - Accent1 2 4 3" xfId="20365" xr:uid="{00000000-0005-0000-0000-0000A4000000}"/>
    <cellStyle name="20% - Accent1 2 5" xfId="10891" xr:uid="{00000000-0005-0000-0000-0000A5000000}"/>
    <cellStyle name="20% - Accent1 2 5 2" xfId="28414" xr:uid="{00000000-0005-0000-0000-0000A6000000}"/>
    <cellStyle name="20% - Accent1 2 6" xfId="2263" xr:uid="{00000000-0005-0000-0000-0000A7000000}"/>
    <cellStyle name="20% - Accent1 3" xfId="90" xr:uid="{00000000-0005-0000-0000-0000A8000000}"/>
    <cellStyle name="20% - Accent1 3 2" xfId="91" xr:uid="{00000000-0005-0000-0000-0000A9000000}"/>
    <cellStyle name="20% - Accent1 3 2 2" xfId="2255" xr:uid="{00000000-0005-0000-0000-0000AA000000}"/>
    <cellStyle name="20% - Accent1 3 2 2 2" xfId="11891" xr:uid="{00000000-0005-0000-0000-0000AB000000}"/>
    <cellStyle name="20% - Accent1 3 2 2 2 2" xfId="28404" xr:uid="{00000000-0005-0000-0000-0000AC000000}"/>
    <cellStyle name="20% - Accent1 3 2 2 3" xfId="20362" xr:uid="{00000000-0005-0000-0000-0000AD000000}"/>
    <cellStyle name="20% - Accent1 3 2 3" xfId="11892" xr:uid="{00000000-0005-0000-0000-0000AE000000}"/>
    <cellStyle name="20% - Accent1 3 2 3 2" xfId="28405" xr:uid="{00000000-0005-0000-0000-0000AF000000}"/>
    <cellStyle name="20% - Accent1 3 2 4" xfId="20363" xr:uid="{00000000-0005-0000-0000-0000B0000000}"/>
    <cellStyle name="20% - Accent1 3 3" xfId="2254" xr:uid="{00000000-0005-0000-0000-0000B1000000}"/>
    <cellStyle name="20% - Accent1 3 3 2" xfId="11890" xr:uid="{00000000-0005-0000-0000-0000B2000000}"/>
    <cellStyle name="20% - Accent1 3 3 2 2" xfId="28403" xr:uid="{00000000-0005-0000-0000-0000B3000000}"/>
    <cellStyle name="20% - Accent1 3 3 3" xfId="20361" xr:uid="{00000000-0005-0000-0000-0000B4000000}"/>
    <cellStyle name="20% - Accent1 3 4" xfId="11893" xr:uid="{00000000-0005-0000-0000-0000B5000000}"/>
    <cellStyle name="20% - Accent1 3 4 2" xfId="28406" xr:uid="{00000000-0005-0000-0000-0000B6000000}"/>
    <cellStyle name="20% - Accent1 3 5" xfId="20364" xr:uid="{00000000-0005-0000-0000-0000B7000000}"/>
    <cellStyle name="20% - Accent1 4" xfId="92" xr:uid="{00000000-0005-0000-0000-0000B8000000}"/>
    <cellStyle name="20% - Accent1 4 2" xfId="2253" xr:uid="{00000000-0005-0000-0000-0000B9000000}"/>
    <cellStyle name="20% - Accent1 4 2 2" xfId="11888" xr:uid="{00000000-0005-0000-0000-0000BA000000}"/>
    <cellStyle name="20% - Accent1 4 2 2 2" xfId="28401" xr:uid="{00000000-0005-0000-0000-0000BB000000}"/>
    <cellStyle name="20% - Accent1 4 2 3" xfId="20359" xr:uid="{00000000-0005-0000-0000-0000BC000000}"/>
    <cellStyle name="20% - Accent1 4 3" xfId="11889" xr:uid="{00000000-0005-0000-0000-0000BD000000}"/>
    <cellStyle name="20% - Accent1 4 3 2" xfId="28402" xr:uid="{00000000-0005-0000-0000-0000BE000000}"/>
    <cellStyle name="20% - Accent1 4 4" xfId="20360" xr:uid="{00000000-0005-0000-0000-0000BF000000}"/>
    <cellStyle name="20% - Accent1 5" xfId="499" xr:uid="{00000000-0005-0000-0000-0000C0000000}"/>
    <cellStyle name="20% - Accent1 5 2" xfId="2251" xr:uid="{00000000-0005-0000-0000-0000C1000000}"/>
    <cellStyle name="20% - Accent1 5 2 2" xfId="11887" xr:uid="{00000000-0005-0000-0000-0000C2000000}"/>
    <cellStyle name="20% - Accent1 5 2 2 2" xfId="28399" xr:uid="{00000000-0005-0000-0000-0000C3000000}"/>
    <cellStyle name="20% - Accent1 5 2 3" xfId="20357" xr:uid="{00000000-0005-0000-0000-0000C4000000}"/>
    <cellStyle name="20% - Accent1 5 3" xfId="2252" xr:uid="{00000000-0005-0000-0000-0000C5000000}"/>
    <cellStyle name="20% - Accent1 5 3 2" xfId="28400" xr:uid="{00000000-0005-0000-0000-0000C6000000}"/>
    <cellStyle name="20% - Accent1 5 4" xfId="20358" xr:uid="{00000000-0005-0000-0000-0000C7000000}"/>
    <cellStyle name="20% - Accent1 6" xfId="2250" xr:uid="{00000000-0005-0000-0000-0000C8000000}"/>
    <cellStyle name="20% - Accent1 6 2" xfId="11886" xr:uid="{00000000-0005-0000-0000-0000C9000000}"/>
    <cellStyle name="20% - Accent1 6 2 2" xfId="28398" xr:uid="{00000000-0005-0000-0000-0000CA000000}"/>
    <cellStyle name="20% - Accent1 6 3" xfId="20356" xr:uid="{00000000-0005-0000-0000-0000CB000000}"/>
    <cellStyle name="20% - Accent1 7" xfId="2249" xr:uid="{00000000-0005-0000-0000-0000CC000000}"/>
    <cellStyle name="20% - Accent1 7 2" xfId="11885" xr:uid="{00000000-0005-0000-0000-0000CD000000}"/>
    <cellStyle name="20% - Accent1 7 2 2" xfId="28397" xr:uid="{00000000-0005-0000-0000-0000CE000000}"/>
    <cellStyle name="20% - Accent1 7 3" xfId="20355" xr:uid="{00000000-0005-0000-0000-0000CF000000}"/>
    <cellStyle name="20% - Accent1 8" xfId="2248" xr:uid="{00000000-0005-0000-0000-0000D0000000}"/>
    <cellStyle name="20% - Accent1 8 2" xfId="11884" xr:uid="{00000000-0005-0000-0000-0000D1000000}"/>
    <cellStyle name="20% - Accent1 8 2 2" xfId="28396" xr:uid="{00000000-0005-0000-0000-0000D2000000}"/>
    <cellStyle name="20% - Accent1 8 3" xfId="20354" xr:uid="{00000000-0005-0000-0000-0000D3000000}"/>
    <cellStyle name="20% - Accent1 9" xfId="11300" xr:uid="{00000000-0005-0000-0000-0000D4000000}"/>
    <cellStyle name="20% - Accent1 9 2" xfId="28161" xr:uid="{00000000-0005-0000-0000-0000D5000000}"/>
    <cellStyle name="20% - Accent2" xfId="411" builtinId="34" customBuiltin="1"/>
    <cellStyle name="20% - Accent2 10" xfId="19635" xr:uid="{00000000-0005-0000-0000-0000D7000000}"/>
    <cellStyle name="20% - Accent2 2" xfId="93" xr:uid="{00000000-0005-0000-0000-0000D8000000}"/>
    <cellStyle name="20% - Accent2 2 2" xfId="94" xr:uid="{00000000-0005-0000-0000-0000D9000000}"/>
    <cellStyle name="20% - Accent2 2 2 2" xfId="2245" xr:uid="{00000000-0005-0000-0000-0000DA000000}"/>
    <cellStyle name="20% - Accent2 2 2 2 2" xfId="2244" xr:uid="{00000000-0005-0000-0000-0000DB000000}"/>
    <cellStyle name="20% - Accent2 2 2 2 2 2" xfId="11882" xr:uid="{00000000-0005-0000-0000-0000DC000000}"/>
    <cellStyle name="20% - Accent2 2 2 2 2 2 2" xfId="28392" xr:uid="{00000000-0005-0000-0000-0000DD000000}"/>
    <cellStyle name="20% - Accent2 2 2 2 2 3" xfId="20351" xr:uid="{00000000-0005-0000-0000-0000DE000000}"/>
    <cellStyle name="20% - Accent2 2 2 2 3" xfId="11883" xr:uid="{00000000-0005-0000-0000-0000DF000000}"/>
    <cellStyle name="20% - Accent2 2 2 2 3 2" xfId="28393" xr:uid="{00000000-0005-0000-0000-0000E0000000}"/>
    <cellStyle name="20% - Accent2 2 2 2 4" xfId="20352" xr:uid="{00000000-0005-0000-0000-0000E1000000}"/>
    <cellStyle name="20% - Accent2 2 2 3" xfId="2243" xr:uid="{00000000-0005-0000-0000-0000E2000000}"/>
    <cellStyle name="20% - Accent2 2 2 3 2" xfId="11881" xr:uid="{00000000-0005-0000-0000-0000E3000000}"/>
    <cellStyle name="20% - Accent2 2 2 3 2 2" xfId="28391" xr:uid="{00000000-0005-0000-0000-0000E4000000}"/>
    <cellStyle name="20% - Accent2 2 2 3 3" xfId="20350" xr:uid="{00000000-0005-0000-0000-0000E5000000}"/>
    <cellStyle name="20% - Accent2 2 2 4" xfId="2246" xr:uid="{00000000-0005-0000-0000-0000E6000000}"/>
    <cellStyle name="20% - Accent2 2 2 4 2" xfId="28394" xr:uid="{00000000-0005-0000-0000-0000E7000000}"/>
    <cellStyle name="20% - Accent2 2 2 5" xfId="20353" xr:uid="{00000000-0005-0000-0000-0000E8000000}"/>
    <cellStyle name="20% - Accent2 2 3" xfId="2242" xr:uid="{00000000-0005-0000-0000-0000E9000000}"/>
    <cellStyle name="20% - Accent2 2 3 2" xfId="2241" xr:uid="{00000000-0005-0000-0000-0000EA000000}"/>
    <cellStyle name="20% - Accent2 2 3 2 2" xfId="11879" xr:uid="{00000000-0005-0000-0000-0000EB000000}"/>
    <cellStyle name="20% - Accent2 2 3 2 2 2" xfId="28389" xr:uid="{00000000-0005-0000-0000-0000EC000000}"/>
    <cellStyle name="20% - Accent2 2 3 2 3" xfId="20348" xr:uid="{00000000-0005-0000-0000-0000ED000000}"/>
    <cellStyle name="20% - Accent2 2 3 3" xfId="11880" xr:uid="{00000000-0005-0000-0000-0000EE000000}"/>
    <cellStyle name="20% - Accent2 2 3 3 2" xfId="28390" xr:uid="{00000000-0005-0000-0000-0000EF000000}"/>
    <cellStyle name="20% - Accent2 2 3 4" xfId="20349" xr:uid="{00000000-0005-0000-0000-0000F0000000}"/>
    <cellStyle name="20% - Accent2 2 4" xfId="2240" xr:uid="{00000000-0005-0000-0000-0000F1000000}"/>
    <cellStyle name="20% - Accent2 2 4 2" xfId="11878" xr:uid="{00000000-0005-0000-0000-0000F2000000}"/>
    <cellStyle name="20% - Accent2 2 4 2 2" xfId="28388" xr:uid="{00000000-0005-0000-0000-0000F3000000}"/>
    <cellStyle name="20% - Accent2 2 4 3" xfId="20347" xr:uid="{00000000-0005-0000-0000-0000F4000000}"/>
    <cellStyle name="20% - Accent2 2 5" xfId="10892" xr:uid="{00000000-0005-0000-0000-0000F5000000}"/>
    <cellStyle name="20% - Accent2 2 5 2" xfId="28395" xr:uid="{00000000-0005-0000-0000-0000F6000000}"/>
    <cellStyle name="20% - Accent2 2 6" xfId="2247" xr:uid="{00000000-0005-0000-0000-0000F7000000}"/>
    <cellStyle name="20% - Accent2 3" xfId="95" xr:uid="{00000000-0005-0000-0000-0000F8000000}"/>
    <cellStyle name="20% - Accent2 3 2" xfId="96" xr:uid="{00000000-0005-0000-0000-0000F9000000}"/>
    <cellStyle name="20% - Accent2 3 2 2" xfId="2239" xr:uid="{00000000-0005-0000-0000-0000FA000000}"/>
    <cellStyle name="20% - Accent2 3 2 2 2" xfId="11875" xr:uid="{00000000-0005-0000-0000-0000FB000000}"/>
    <cellStyle name="20% - Accent2 3 2 2 2 2" xfId="28385" xr:uid="{00000000-0005-0000-0000-0000FC000000}"/>
    <cellStyle name="20% - Accent2 3 2 2 3" xfId="20344" xr:uid="{00000000-0005-0000-0000-0000FD000000}"/>
    <cellStyle name="20% - Accent2 3 2 3" xfId="11876" xr:uid="{00000000-0005-0000-0000-0000FE000000}"/>
    <cellStyle name="20% - Accent2 3 2 3 2" xfId="28386" xr:uid="{00000000-0005-0000-0000-0000FF000000}"/>
    <cellStyle name="20% - Accent2 3 2 4" xfId="20345" xr:uid="{00000000-0005-0000-0000-000000010000}"/>
    <cellStyle name="20% - Accent2 3 3" xfId="2238" xr:uid="{00000000-0005-0000-0000-000001010000}"/>
    <cellStyle name="20% - Accent2 3 3 2" xfId="11874" xr:uid="{00000000-0005-0000-0000-000002010000}"/>
    <cellStyle name="20% - Accent2 3 3 2 2" xfId="28384" xr:uid="{00000000-0005-0000-0000-000003010000}"/>
    <cellStyle name="20% - Accent2 3 3 3" xfId="20343" xr:uid="{00000000-0005-0000-0000-000004010000}"/>
    <cellStyle name="20% - Accent2 3 4" xfId="11877" xr:uid="{00000000-0005-0000-0000-000005010000}"/>
    <cellStyle name="20% - Accent2 3 4 2" xfId="28387" xr:uid="{00000000-0005-0000-0000-000006010000}"/>
    <cellStyle name="20% - Accent2 3 5" xfId="20346" xr:uid="{00000000-0005-0000-0000-000007010000}"/>
    <cellStyle name="20% - Accent2 4" xfId="97" xr:uid="{00000000-0005-0000-0000-000008010000}"/>
    <cellStyle name="20% - Accent2 4 2" xfId="2237" xr:uid="{00000000-0005-0000-0000-000009010000}"/>
    <cellStyle name="20% - Accent2 4 2 2" xfId="11872" xr:uid="{00000000-0005-0000-0000-00000A010000}"/>
    <cellStyle name="20% - Accent2 4 2 2 2" xfId="28382" xr:uid="{00000000-0005-0000-0000-00000B010000}"/>
    <cellStyle name="20% - Accent2 4 2 3" xfId="20341" xr:uid="{00000000-0005-0000-0000-00000C010000}"/>
    <cellStyle name="20% - Accent2 4 3" xfId="11873" xr:uid="{00000000-0005-0000-0000-00000D010000}"/>
    <cellStyle name="20% - Accent2 4 3 2" xfId="28383" xr:uid="{00000000-0005-0000-0000-00000E010000}"/>
    <cellStyle name="20% - Accent2 4 4" xfId="20342" xr:uid="{00000000-0005-0000-0000-00000F010000}"/>
    <cellStyle name="20% - Accent2 5" xfId="500" xr:uid="{00000000-0005-0000-0000-000010010000}"/>
    <cellStyle name="20% - Accent2 5 2" xfId="2235" xr:uid="{00000000-0005-0000-0000-000011010000}"/>
    <cellStyle name="20% - Accent2 5 2 2" xfId="11871" xr:uid="{00000000-0005-0000-0000-000012010000}"/>
    <cellStyle name="20% - Accent2 5 2 2 2" xfId="28380" xr:uid="{00000000-0005-0000-0000-000013010000}"/>
    <cellStyle name="20% - Accent2 5 2 3" xfId="20339" xr:uid="{00000000-0005-0000-0000-000014010000}"/>
    <cellStyle name="20% - Accent2 5 3" xfId="2236" xr:uid="{00000000-0005-0000-0000-000015010000}"/>
    <cellStyle name="20% - Accent2 5 3 2" xfId="28381" xr:uid="{00000000-0005-0000-0000-000016010000}"/>
    <cellStyle name="20% - Accent2 5 4" xfId="20340" xr:uid="{00000000-0005-0000-0000-000017010000}"/>
    <cellStyle name="20% - Accent2 6" xfId="2234" xr:uid="{00000000-0005-0000-0000-000018010000}"/>
    <cellStyle name="20% - Accent2 6 2" xfId="11870" xr:uid="{00000000-0005-0000-0000-000019010000}"/>
    <cellStyle name="20% - Accent2 6 2 2" xfId="28379" xr:uid="{00000000-0005-0000-0000-00001A010000}"/>
    <cellStyle name="20% - Accent2 6 3" xfId="20338" xr:uid="{00000000-0005-0000-0000-00001B010000}"/>
    <cellStyle name="20% - Accent2 7" xfId="2233" xr:uid="{00000000-0005-0000-0000-00001C010000}"/>
    <cellStyle name="20% - Accent2 7 2" xfId="11869" xr:uid="{00000000-0005-0000-0000-00001D010000}"/>
    <cellStyle name="20% - Accent2 7 2 2" xfId="28378" xr:uid="{00000000-0005-0000-0000-00001E010000}"/>
    <cellStyle name="20% - Accent2 7 3" xfId="20337" xr:uid="{00000000-0005-0000-0000-00001F010000}"/>
    <cellStyle name="20% - Accent2 8" xfId="2232" xr:uid="{00000000-0005-0000-0000-000020010000}"/>
    <cellStyle name="20% - Accent2 8 2" xfId="11868" xr:uid="{00000000-0005-0000-0000-000021010000}"/>
    <cellStyle name="20% - Accent2 8 2 2" xfId="28377" xr:uid="{00000000-0005-0000-0000-000022010000}"/>
    <cellStyle name="20% - Accent2 8 3" xfId="20336" xr:uid="{00000000-0005-0000-0000-000023010000}"/>
    <cellStyle name="20% - Accent2 9" xfId="11302" xr:uid="{00000000-0005-0000-0000-000024010000}"/>
    <cellStyle name="20% - Accent2 9 2" xfId="28163" xr:uid="{00000000-0005-0000-0000-000025010000}"/>
    <cellStyle name="20% - Accent3" xfId="415" builtinId="38" customBuiltin="1"/>
    <cellStyle name="20% - Accent3 10" xfId="19637" xr:uid="{00000000-0005-0000-0000-000027010000}"/>
    <cellStyle name="20% - Accent3 2" xfId="98" xr:uid="{00000000-0005-0000-0000-000028010000}"/>
    <cellStyle name="20% - Accent3 2 2" xfId="99" xr:uid="{00000000-0005-0000-0000-000029010000}"/>
    <cellStyle name="20% - Accent3 2 2 2" xfId="2229" xr:uid="{00000000-0005-0000-0000-00002A010000}"/>
    <cellStyle name="20% - Accent3 2 2 2 2" xfId="2228" xr:uid="{00000000-0005-0000-0000-00002B010000}"/>
    <cellStyle name="20% - Accent3 2 2 2 2 2" xfId="11866" xr:uid="{00000000-0005-0000-0000-00002C010000}"/>
    <cellStyle name="20% - Accent3 2 2 2 2 2 2" xfId="28373" xr:uid="{00000000-0005-0000-0000-00002D010000}"/>
    <cellStyle name="20% - Accent3 2 2 2 2 3" xfId="20333" xr:uid="{00000000-0005-0000-0000-00002E010000}"/>
    <cellStyle name="20% - Accent3 2 2 2 3" xfId="11867" xr:uid="{00000000-0005-0000-0000-00002F010000}"/>
    <cellStyle name="20% - Accent3 2 2 2 3 2" xfId="28374" xr:uid="{00000000-0005-0000-0000-000030010000}"/>
    <cellStyle name="20% - Accent3 2 2 2 4" xfId="20334" xr:uid="{00000000-0005-0000-0000-000031010000}"/>
    <cellStyle name="20% - Accent3 2 2 3" xfId="2227" xr:uid="{00000000-0005-0000-0000-000032010000}"/>
    <cellStyle name="20% - Accent3 2 2 3 2" xfId="11865" xr:uid="{00000000-0005-0000-0000-000033010000}"/>
    <cellStyle name="20% - Accent3 2 2 3 2 2" xfId="28372" xr:uid="{00000000-0005-0000-0000-000034010000}"/>
    <cellStyle name="20% - Accent3 2 2 3 3" xfId="20332" xr:uid="{00000000-0005-0000-0000-000035010000}"/>
    <cellStyle name="20% - Accent3 2 2 4" xfId="2230" xr:uid="{00000000-0005-0000-0000-000036010000}"/>
    <cellStyle name="20% - Accent3 2 2 4 2" xfId="28375" xr:uid="{00000000-0005-0000-0000-000037010000}"/>
    <cellStyle name="20% - Accent3 2 2 5" xfId="20335" xr:uid="{00000000-0005-0000-0000-000038010000}"/>
    <cellStyle name="20% - Accent3 2 3" xfId="2226" xr:uid="{00000000-0005-0000-0000-000039010000}"/>
    <cellStyle name="20% - Accent3 2 3 2" xfId="2225" xr:uid="{00000000-0005-0000-0000-00003A010000}"/>
    <cellStyle name="20% - Accent3 2 3 2 2" xfId="11863" xr:uid="{00000000-0005-0000-0000-00003B010000}"/>
    <cellStyle name="20% - Accent3 2 3 2 2 2" xfId="28370" xr:uid="{00000000-0005-0000-0000-00003C010000}"/>
    <cellStyle name="20% - Accent3 2 3 2 3" xfId="20330" xr:uid="{00000000-0005-0000-0000-00003D010000}"/>
    <cellStyle name="20% - Accent3 2 3 3" xfId="11864" xr:uid="{00000000-0005-0000-0000-00003E010000}"/>
    <cellStyle name="20% - Accent3 2 3 3 2" xfId="28371" xr:uid="{00000000-0005-0000-0000-00003F010000}"/>
    <cellStyle name="20% - Accent3 2 3 4" xfId="20331" xr:uid="{00000000-0005-0000-0000-000040010000}"/>
    <cellStyle name="20% - Accent3 2 4" xfId="2224" xr:uid="{00000000-0005-0000-0000-000041010000}"/>
    <cellStyle name="20% - Accent3 2 4 2" xfId="11862" xr:uid="{00000000-0005-0000-0000-000042010000}"/>
    <cellStyle name="20% - Accent3 2 4 2 2" xfId="28369" xr:uid="{00000000-0005-0000-0000-000043010000}"/>
    <cellStyle name="20% - Accent3 2 4 3" xfId="20329" xr:uid="{00000000-0005-0000-0000-000044010000}"/>
    <cellStyle name="20% - Accent3 2 5" xfId="10893" xr:uid="{00000000-0005-0000-0000-000045010000}"/>
    <cellStyle name="20% - Accent3 2 5 2" xfId="28376" xr:uid="{00000000-0005-0000-0000-000046010000}"/>
    <cellStyle name="20% - Accent3 2 6" xfId="2231" xr:uid="{00000000-0005-0000-0000-000047010000}"/>
    <cellStyle name="20% - Accent3 3" xfId="100" xr:uid="{00000000-0005-0000-0000-000048010000}"/>
    <cellStyle name="20% - Accent3 3 2" xfId="101" xr:uid="{00000000-0005-0000-0000-000049010000}"/>
    <cellStyle name="20% - Accent3 3 2 2" xfId="2223" xr:uid="{00000000-0005-0000-0000-00004A010000}"/>
    <cellStyle name="20% - Accent3 3 2 2 2" xfId="11859" xr:uid="{00000000-0005-0000-0000-00004B010000}"/>
    <cellStyle name="20% - Accent3 3 2 2 2 2" xfId="28366" xr:uid="{00000000-0005-0000-0000-00004C010000}"/>
    <cellStyle name="20% - Accent3 3 2 2 3" xfId="20326" xr:uid="{00000000-0005-0000-0000-00004D010000}"/>
    <cellStyle name="20% - Accent3 3 2 3" xfId="11860" xr:uid="{00000000-0005-0000-0000-00004E010000}"/>
    <cellStyle name="20% - Accent3 3 2 3 2" xfId="28367" xr:uid="{00000000-0005-0000-0000-00004F010000}"/>
    <cellStyle name="20% - Accent3 3 2 4" xfId="20327" xr:uid="{00000000-0005-0000-0000-000050010000}"/>
    <cellStyle name="20% - Accent3 3 3" xfId="2222" xr:uid="{00000000-0005-0000-0000-000051010000}"/>
    <cellStyle name="20% - Accent3 3 3 2" xfId="11858" xr:uid="{00000000-0005-0000-0000-000052010000}"/>
    <cellStyle name="20% - Accent3 3 3 2 2" xfId="28365" xr:uid="{00000000-0005-0000-0000-000053010000}"/>
    <cellStyle name="20% - Accent3 3 3 3" xfId="20325" xr:uid="{00000000-0005-0000-0000-000054010000}"/>
    <cellStyle name="20% - Accent3 3 4" xfId="11861" xr:uid="{00000000-0005-0000-0000-000055010000}"/>
    <cellStyle name="20% - Accent3 3 4 2" xfId="28368" xr:uid="{00000000-0005-0000-0000-000056010000}"/>
    <cellStyle name="20% - Accent3 3 5" xfId="20328" xr:uid="{00000000-0005-0000-0000-000057010000}"/>
    <cellStyle name="20% - Accent3 4" xfId="102" xr:uid="{00000000-0005-0000-0000-000058010000}"/>
    <cellStyle name="20% - Accent3 4 2" xfId="2221" xr:uid="{00000000-0005-0000-0000-000059010000}"/>
    <cellStyle name="20% - Accent3 4 2 2" xfId="11856" xr:uid="{00000000-0005-0000-0000-00005A010000}"/>
    <cellStyle name="20% - Accent3 4 2 2 2" xfId="28363" xr:uid="{00000000-0005-0000-0000-00005B010000}"/>
    <cellStyle name="20% - Accent3 4 2 3" xfId="20323" xr:uid="{00000000-0005-0000-0000-00005C010000}"/>
    <cellStyle name="20% - Accent3 4 3" xfId="11857" xr:uid="{00000000-0005-0000-0000-00005D010000}"/>
    <cellStyle name="20% - Accent3 4 3 2" xfId="28364" xr:uid="{00000000-0005-0000-0000-00005E010000}"/>
    <cellStyle name="20% - Accent3 4 4" xfId="20324" xr:uid="{00000000-0005-0000-0000-00005F010000}"/>
    <cellStyle name="20% - Accent3 5" xfId="501" xr:uid="{00000000-0005-0000-0000-000060010000}"/>
    <cellStyle name="20% - Accent3 5 2" xfId="2219" xr:uid="{00000000-0005-0000-0000-000061010000}"/>
    <cellStyle name="20% - Accent3 5 2 2" xfId="11855" xr:uid="{00000000-0005-0000-0000-000062010000}"/>
    <cellStyle name="20% - Accent3 5 2 2 2" xfId="28361" xr:uid="{00000000-0005-0000-0000-000063010000}"/>
    <cellStyle name="20% - Accent3 5 2 3" xfId="20321" xr:uid="{00000000-0005-0000-0000-000064010000}"/>
    <cellStyle name="20% - Accent3 5 3" xfId="2220" xr:uid="{00000000-0005-0000-0000-000065010000}"/>
    <cellStyle name="20% - Accent3 5 3 2" xfId="28362" xr:uid="{00000000-0005-0000-0000-000066010000}"/>
    <cellStyle name="20% - Accent3 5 4" xfId="20322" xr:uid="{00000000-0005-0000-0000-000067010000}"/>
    <cellStyle name="20% - Accent3 6" xfId="2218" xr:uid="{00000000-0005-0000-0000-000068010000}"/>
    <cellStyle name="20% - Accent3 6 2" xfId="11854" xr:uid="{00000000-0005-0000-0000-000069010000}"/>
    <cellStyle name="20% - Accent3 6 2 2" xfId="28360" xr:uid="{00000000-0005-0000-0000-00006A010000}"/>
    <cellStyle name="20% - Accent3 6 3" xfId="20320" xr:uid="{00000000-0005-0000-0000-00006B010000}"/>
    <cellStyle name="20% - Accent3 7" xfId="2217" xr:uid="{00000000-0005-0000-0000-00006C010000}"/>
    <cellStyle name="20% - Accent3 7 2" xfId="11853" xr:uid="{00000000-0005-0000-0000-00006D010000}"/>
    <cellStyle name="20% - Accent3 7 2 2" xfId="28359" xr:uid="{00000000-0005-0000-0000-00006E010000}"/>
    <cellStyle name="20% - Accent3 7 3" xfId="20319" xr:uid="{00000000-0005-0000-0000-00006F010000}"/>
    <cellStyle name="20% - Accent3 8" xfId="2216" xr:uid="{00000000-0005-0000-0000-000070010000}"/>
    <cellStyle name="20% - Accent3 8 2" xfId="11852" xr:uid="{00000000-0005-0000-0000-000071010000}"/>
    <cellStyle name="20% - Accent3 8 2 2" xfId="28358" xr:uid="{00000000-0005-0000-0000-000072010000}"/>
    <cellStyle name="20% - Accent3 8 3" xfId="20318" xr:uid="{00000000-0005-0000-0000-000073010000}"/>
    <cellStyle name="20% - Accent3 9" xfId="11304" xr:uid="{00000000-0005-0000-0000-000074010000}"/>
    <cellStyle name="20% - Accent3 9 2" xfId="28165" xr:uid="{00000000-0005-0000-0000-000075010000}"/>
    <cellStyle name="20% - Accent4" xfId="419" builtinId="42" customBuiltin="1"/>
    <cellStyle name="20% - Accent4 10" xfId="19639" xr:uid="{00000000-0005-0000-0000-000077010000}"/>
    <cellStyle name="20% - Accent4 2" xfId="103" xr:uid="{00000000-0005-0000-0000-000078010000}"/>
    <cellStyle name="20% - Accent4 2 2" xfId="104" xr:uid="{00000000-0005-0000-0000-000079010000}"/>
    <cellStyle name="20% - Accent4 2 2 2" xfId="2213" xr:uid="{00000000-0005-0000-0000-00007A010000}"/>
    <cellStyle name="20% - Accent4 2 2 2 2" xfId="2212" xr:uid="{00000000-0005-0000-0000-00007B010000}"/>
    <cellStyle name="20% - Accent4 2 2 2 2 2" xfId="11850" xr:uid="{00000000-0005-0000-0000-00007C010000}"/>
    <cellStyle name="20% - Accent4 2 2 2 2 2 2" xfId="28354" xr:uid="{00000000-0005-0000-0000-00007D010000}"/>
    <cellStyle name="20% - Accent4 2 2 2 2 3" xfId="20315" xr:uid="{00000000-0005-0000-0000-00007E010000}"/>
    <cellStyle name="20% - Accent4 2 2 2 3" xfId="11851" xr:uid="{00000000-0005-0000-0000-00007F010000}"/>
    <cellStyle name="20% - Accent4 2 2 2 3 2" xfId="28355" xr:uid="{00000000-0005-0000-0000-000080010000}"/>
    <cellStyle name="20% - Accent4 2 2 2 4" xfId="20316" xr:uid="{00000000-0005-0000-0000-000081010000}"/>
    <cellStyle name="20% - Accent4 2 2 3" xfId="2211" xr:uid="{00000000-0005-0000-0000-000082010000}"/>
    <cellStyle name="20% - Accent4 2 2 3 2" xfId="11849" xr:uid="{00000000-0005-0000-0000-000083010000}"/>
    <cellStyle name="20% - Accent4 2 2 3 2 2" xfId="28353" xr:uid="{00000000-0005-0000-0000-000084010000}"/>
    <cellStyle name="20% - Accent4 2 2 3 3" xfId="20314" xr:uid="{00000000-0005-0000-0000-000085010000}"/>
    <cellStyle name="20% - Accent4 2 2 4" xfId="2214" xr:uid="{00000000-0005-0000-0000-000086010000}"/>
    <cellStyle name="20% - Accent4 2 2 4 2" xfId="28356" xr:uid="{00000000-0005-0000-0000-000087010000}"/>
    <cellStyle name="20% - Accent4 2 2 5" xfId="20317" xr:uid="{00000000-0005-0000-0000-000088010000}"/>
    <cellStyle name="20% - Accent4 2 3" xfId="2210" xr:uid="{00000000-0005-0000-0000-000089010000}"/>
    <cellStyle name="20% - Accent4 2 3 2" xfId="2209" xr:uid="{00000000-0005-0000-0000-00008A010000}"/>
    <cellStyle name="20% - Accent4 2 3 2 2" xfId="11847" xr:uid="{00000000-0005-0000-0000-00008B010000}"/>
    <cellStyle name="20% - Accent4 2 3 2 2 2" xfId="28351" xr:uid="{00000000-0005-0000-0000-00008C010000}"/>
    <cellStyle name="20% - Accent4 2 3 2 3" xfId="20312" xr:uid="{00000000-0005-0000-0000-00008D010000}"/>
    <cellStyle name="20% - Accent4 2 3 3" xfId="11848" xr:uid="{00000000-0005-0000-0000-00008E010000}"/>
    <cellStyle name="20% - Accent4 2 3 3 2" xfId="28352" xr:uid="{00000000-0005-0000-0000-00008F010000}"/>
    <cellStyle name="20% - Accent4 2 3 4" xfId="20313" xr:uid="{00000000-0005-0000-0000-000090010000}"/>
    <cellStyle name="20% - Accent4 2 4" xfId="2208" xr:uid="{00000000-0005-0000-0000-000091010000}"/>
    <cellStyle name="20% - Accent4 2 4 2" xfId="11846" xr:uid="{00000000-0005-0000-0000-000092010000}"/>
    <cellStyle name="20% - Accent4 2 4 2 2" xfId="28350" xr:uid="{00000000-0005-0000-0000-000093010000}"/>
    <cellStyle name="20% - Accent4 2 4 3" xfId="20311" xr:uid="{00000000-0005-0000-0000-000094010000}"/>
    <cellStyle name="20% - Accent4 2 5" xfId="10894" xr:uid="{00000000-0005-0000-0000-000095010000}"/>
    <cellStyle name="20% - Accent4 2 5 2" xfId="28357" xr:uid="{00000000-0005-0000-0000-000096010000}"/>
    <cellStyle name="20% - Accent4 2 6" xfId="2215" xr:uid="{00000000-0005-0000-0000-000097010000}"/>
    <cellStyle name="20% - Accent4 3" xfId="105" xr:uid="{00000000-0005-0000-0000-000098010000}"/>
    <cellStyle name="20% - Accent4 3 2" xfId="106" xr:uid="{00000000-0005-0000-0000-000099010000}"/>
    <cellStyle name="20% - Accent4 3 2 2" xfId="2207" xr:uid="{00000000-0005-0000-0000-00009A010000}"/>
    <cellStyle name="20% - Accent4 3 2 2 2" xfId="11843" xr:uid="{00000000-0005-0000-0000-00009B010000}"/>
    <cellStyle name="20% - Accent4 3 2 2 2 2" xfId="28347" xr:uid="{00000000-0005-0000-0000-00009C010000}"/>
    <cellStyle name="20% - Accent4 3 2 2 3" xfId="20308" xr:uid="{00000000-0005-0000-0000-00009D010000}"/>
    <cellStyle name="20% - Accent4 3 2 3" xfId="11844" xr:uid="{00000000-0005-0000-0000-00009E010000}"/>
    <cellStyle name="20% - Accent4 3 2 3 2" xfId="28348" xr:uid="{00000000-0005-0000-0000-00009F010000}"/>
    <cellStyle name="20% - Accent4 3 2 4" xfId="20309" xr:uid="{00000000-0005-0000-0000-0000A0010000}"/>
    <cellStyle name="20% - Accent4 3 3" xfId="2206" xr:uid="{00000000-0005-0000-0000-0000A1010000}"/>
    <cellStyle name="20% - Accent4 3 3 2" xfId="11842" xr:uid="{00000000-0005-0000-0000-0000A2010000}"/>
    <cellStyle name="20% - Accent4 3 3 2 2" xfId="28346" xr:uid="{00000000-0005-0000-0000-0000A3010000}"/>
    <cellStyle name="20% - Accent4 3 3 3" xfId="20307" xr:uid="{00000000-0005-0000-0000-0000A4010000}"/>
    <cellStyle name="20% - Accent4 3 4" xfId="11845" xr:uid="{00000000-0005-0000-0000-0000A5010000}"/>
    <cellStyle name="20% - Accent4 3 4 2" xfId="28349" xr:uid="{00000000-0005-0000-0000-0000A6010000}"/>
    <cellStyle name="20% - Accent4 3 5" xfId="20310" xr:uid="{00000000-0005-0000-0000-0000A7010000}"/>
    <cellStyle name="20% - Accent4 4" xfId="107" xr:uid="{00000000-0005-0000-0000-0000A8010000}"/>
    <cellStyle name="20% - Accent4 4 2" xfId="2205" xr:uid="{00000000-0005-0000-0000-0000A9010000}"/>
    <cellStyle name="20% - Accent4 4 2 2" xfId="11840" xr:uid="{00000000-0005-0000-0000-0000AA010000}"/>
    <cellStyle name="20% - Accent4 4 2 2 2" xfId="28344" xr:uid="{00000000-0005-0000-0000-0000AB010000}"/>
    <cellStyle name="20% - Accent4 4 2 3" xfId="20305" xr:uid="{00000000-0005-0000-0000-0000AC010000}"/>
    <cellStyle name="20% - Accent4 4 3" xfId="11841" xr:uid="{00000000-0005-0000-0000-0000AD010000}"/>
    <cellStyle name="20% - Accent4 4 3 2" xfId="28345" xr:uid="{00000000-0005-0000-0000-0000AE010000}"/>
    <cellStyle name="20% - Accent4 4 4" xfId="20306" xr:uid="{00000000-0005-0000-0000-0000AF010000}"/>
    <cellStyle name="20% - Accent4 5" xfId="502" xr:uid="{00000000-0005-0000-0000-0000B0010000}"/>
    <cellStyle name="20% - Accent4 5 2" xfId="2203" xr:uid="{00000000-0005-0000-0000-0000B1010000}"/>
    <cellStyle name="20% - Accent4 5 2 2" xfId="11839" xr:uid="{00000000-0005-0000-0000-0000B2010000}"/>
    <cellStyle name="20% - Accent4 5 2 2 2" xfId="28342" xr:uid="{00000000-0005-0000-0000-0000B3010000}"/>
    <cellStyle name="20% - Accent4 5 2 3" xfId="20303" xr:uid="{00000000-0005-0000-0000-0000B4010000}"/>
    <cellStyle name="20% - Accent4 5 3" xfId="2204" xr:uid="{00000000-0005-0000-0000-0000B5010000}"/>
    <cellStyle name="20% - Accent4 5 3 2" xfId="28343" xr:uid="{00000000-0005-0000-0000-0000B6010000}"/>
    <cellStyle name="20% - Accent4 5 4" xfId="20304" xr:uid="{00000000-0005-0000-0000-0000B7010000}"/>
    <cellStyle name="20% - Accent4 6" xfId="2202" xr:uid="{00000000-0005-0000-0000-0000B8010000}"/>
    <cellStyle name="20% - Accent4 6 2" xfId="11838" xr:uid="{00000000-0005-0000-0000-0000B9010000}"/>
    <cellStyle name="20% - Accent4 6 2 2" xfId="28341" xr:uid="{00000000-0005-0000-0000-0000BA010000}"/>
    <cellStyle name="20% - Accent4 6 3" xfId="20302" xr:uid="{00000000-0005-0000-0000-0000BB010000}"/>
    <cellStyle name="20% - Accent4 7" xfId="2201" xr:uid="{00000000-0005-0000-0000-0000BC010000}"/>
    <cellStyle name="20% - Accent4 7 2" xfId="11837" xr:uid="{00000000-0005-0000-0000-0000BD010000}"/>
    <cellStyle name="20% - Accent4 7 2 2" xfId="28340" xr:uid="{00000000-0005-0000-0000-0000BE010000}"/>
    <cellStyle name="20% - Accent4 7 3" xfId="20301" xr:uid="{00000000-0005-0000-0000-0000BF010000}"/>
    <cellStyle name="20% - Accent4 8" xfId="2200" xr:uid="{00000000-0005-0000-0000-0000C0010000}"/>
    <cellStyle name="20% - Accent4 8 2" xfId="11836" xr:uid="{00000000-0005-0000-0000-0000C1010000}"/>
    <cellStyle name="20% - Accent4 8 2 2" xfId="28339" xr:uid="{00000000-0005-0000-0000-0000C2010000}"/>
    <cellStyle name="20% - Accent4 8 3" xfId="20300" xr:uid="{00000000-0005-0000-0000-0000C3010000}"/>
    <cellStyle name="20% - Accent4 9" xfId="11306" xr:uid="{00000000-0005-0000-0000-0000C4010000}"/>
    <cellStyle name="20% - Accent4 9 2" xfId="28167" xr:uid="{00000000-0005-0000-0000-0000C5010000}"/>
    <cellStyle name="20% - Accent5" xfId="423" builtinId="46" customBuiltin="1"/>
    <cellStyle name="20% - Accent5 10" xfId="19641" xr:uid="{00000000-0005-0000-0000-0000C7010000}"/>
    <cellStyle name="20% - Accent5 2" xfId="108" xr:uid="{00000000-0005-0000-0000-0000C8010000}"/>
    <cellStyle name="20% - Accent5 2 2" xfId="2198" xr:uid="{00000000-0005-0000-0000-0000C9010000}"/>
    <cellStyle name="20% - Accent5 2 2 2" xfId="2197" xr:uid="{00000000-0005-0000-0000-0000CA010000}"/>
    <cellStyle name="20% - Accent5 2 2 2 2" xfId="2196" xr:uid="{00000000-0005-0000-0000-0000CB010000}"/>
    <cellStyle name="20% - Accent5 2 2 2 2 2" xfId="11833" xr:uid="{00000000-0005-0000-0000-0000CC010000}"/>
    <cellStyle name="20% - Accent5 2 2 2 2 2 2" xfId="28335" xr:uid="{00000000-0005-0000-0000-0000CD010000}"/>
    <cellStyle name="20% - Accent5 2 2 2 2 3" xfId="20297" xr:uid="{00000000-0005-0000-0000-0000CE010000}"/>
    <cellStyle name="20% - Accent5 2 2 2 3" xfId="11834" xr:uid="{00000000-0005-0000-0000-0000CF010000}"/>
    <cellStyle name="20% - Accent5 2 2 2 3 2" xfId="28336" xr:uid="{00000000-0005-0000-0000-0000D0010000}"/>
    <cellStyle name="20% - Accent5 2 2 2 4" xfId="20298" xr:uid="{00000000-0005-0000-0000-0000D1010000}"/>
    <cellStyle name="20% - Accent5 2 2 3" xfId="2195" xr:uid="{00000000-0005-0000-0000-0000D2010000}"/>
    <cellStyle name="20% - Accent5 2 2 3 2" xfId="11832" xr:uid="{00000000-0005-0000-0000-0000D3010000}"/>
    <cellStyle name="20% - Accent5 2 2 3 2 2" xfId="28334" xr:uid="{00000000-0005-0000-0000-0000D4010000}"/>
    <cellStyle name="20% - Accent5 2 2 3 3" xfId="20296" xr:uid="{00000000-0005-0000-0000-0000D5010000}"/>
    <cellStyle name="20% - Accent5 2 2 4" xfId="11835" xr:uid="{00000000-0005-0000-0000-0000D6010000}"/>
    <cellStyle name="20% - Accent5 2 2 4 2" xfId="28337" xr:uid="{00000000-0005-0000-0000-0000D7010000}"/>
    <cellStyle name="20% - Accent5 2 2 5" xfId="20299" xr:uid="{00000000-0005-0000-0000-0000D8010000}"/>
    <cellStyle name="20% - Accent5 2 3" xfId="2194" xr:uid="{00000000-0005-0000-0000-0000D9010000}"/>
    <cellStyle name="20% - Accent5 2 3 2" xfId="2193" xr:uid="{00000000-0005-0000-0000-0000DA010000}"/>
    <cellStyle name="20% - Accent5 2 3 2 2" xfId="11830" xr:uid="{00000000-0005-0000-0000-0000DB010000}"/>
    <cellStyle name="20% - Accent5 2 3 2 2 2" xfId="28332" xr:uid="{00000000-0005-0000-0000-0000DC010000}"/>
    <cellStyle name="20% - Accent5 2 3 2 3" xfId="20294" xr:uid="{00000000-0005-0000-0000-0000DD010000}"/>
    <cellStyle name="20% - Accent5 2 3 3" xfId="11831" xr:uid="{00000000-0005-0000-0000-0000DE010000}"/>
    <cellStyle name="20% - Accent5 2 3 3 2" xfId="28333" xr:uid="{00000000-0005-0000-0000-0000DF010000}"/>
    <cellStyle name="20% - Accent5 2 3 4" xfId="20295" xr:uid="{00000000-0005-0000-0000-0000E0010000}"/>
    <cellStyle name="20% - Accent5 2 4" xfId="2192" xr:uid="{00000000-0005-0000-0000-0000E1010000}"/>
    <cellStyle name="20% - Accent5 2 4 2" xfId="11829" xr:uid="{00000000-0005-0000-0000-0000E2010000}"/>
    <cellStyle name="20% - Accent5 2 4 2 2" xfId="28331" xr:uid="{00000000-0005-0000-0000-0000E3010000}"/>
    <cellStyle name="20% - Accent5 2 4 3" xfId="20293" xr:uid="{00000000-0005-0000-0000-0000E4010000}"/>
    <cellStyle name="20% - Accent5 2 5" xfId="10895" xr:uid="{00000000-0005-0000-0000-0000E5010000}"/>
    <cellStyle name="20% - Accent5 2 5 2" xfId="28338" xr:uid="{00000000-0005-0000-0000-0000E6010000}"/>
    <cellStyle name="20% - Accent5 2 6" xfId="2199" xr:uid="{00000000-0005-0000-0000-0000E7010000}"/>
    <cellStyle name="20% - Accent5 3" xfId="109" xr:uid="{00000000-0005-0000-0000-0000E8010000}"/>
    <cellStyle name="20% - Accent5 3 2" xfId="110" xr:uid="{00000000-0005-0000-0000-0000E9010000}"/>
    <cellStyle name="20% - Accent5 3 2 2" xfId="2191" xr:uid="{00000000-0005-0000-0000-0000EA010000}"/>
    <cellStyle name="20% - Accent5 3 2 2 2" xfId="11826" xr:uid="{00000000-0005-0000-0000-0000EB010000}"/>
    <cellStyle name="20% - Accent5 3 2 2 2 2" xfId="28328" xr:uid="{00000000-0005-0000-0000-0000EC010000}"/>
    <cellStyle name="20% - Accent5 3 2 2 3" xfId="20290" xr:uid="{00000000-0005-0000-0000-0000ED010000}"/>
    <cellStyle name="20% - Accent5 3 2 3" xfId="11827" xr:uid="{00000000-0005-0000-0000-0000EE010000}"/>
    <cellStyle name="20% - Accent5 3 2 3 2" xfId="28329" xr:uid="{00000000-0005-0000-0000-0000EF010000}"/>
    <cellStyle name="20% - Accent5 3 2 4" xfId="20291" xr:uid="{00000000-0005-0000-0000-0000F0010000}"/>
    <cellStyle name="20% - Accent5 3 3" xfId="2190" xr:uid="{00000000-0005-0000-0000-0000F1010000}"/>
    <cellStyle name="20% - Accent5 3 3 2" xfId="11825" xr:uid="{00000000-0005-0000-0000-0000F2010000}"/>
    <cellStyle name="20% - Accent5 3 3 2 2" xfId="28327" xr:uid="{00000000-0005-0000-0000-0000F3010000}"/>
    <cellStyle name="20% - Accent5 3 3 3" xfId="20289" xr:uid="{00000000-0005-0000-0000-0000F4010000}"/>
    <cellStyle name="20% - Accent5 3 4" xfId="11828" xr:uid="{00000000-0005-0000-0000-0000F5010000}"/>
    <cellStyle name="20% - Accent5 3 4 2" xfId="28330" xr:uid="{00000000-0005-0000-0000-0000F6010000}"/>
    <cellStyle name="20% - Accent5 3 5" xfId="20292" xr:uid="{00000000-0005-0000-0000-0000F7010000}"/>
    <cellStyle name="20% - Accent5 4" xfId="111" xr:uid="{00000000-0005-0000-0000-0000F8010000}"/>
    <cellStyle name="20% - Accent5 4 2" xfId="2189" xr:uid="{00000000-0005-0000-0000-0000F9010000}"/>
    <cellStyle name="20% - Accent5 4 2 2" xfId="11823" xr:uid="{00000000-0005-0000-0000-0000FA010000}"/>
    <cellStyle name="20% - Accent5 4 2 2 2" xfId="28325" xr:uid="{00000000-0005-0000-0000-0000FB010000}"/>
    <cellStyle name="20% - Accent5 4 2 3" xfId="20287" xr:uid="{00000000-0005-0000-0000-0000FC010000}"/>
    <cellStyle name="20% - Accent5 4 3" xfId="11824" xr:uid="{00000000-0005-0000-0000-0000FD010000}"/>
    <cellStyle name="20% - Accent5 4 3 2" xfId="28326" xr:uid="{00000000-0005-0000-0000-0000FE010000}"/>
    <cellStyle name="20% - Accent5 4 4" xfId="20288" xr:uid="{00000000-0005-0000-0000-0000FF010000}"/>
    <cellStyle name="20% - Accent5 5" xfId="503" xr:uid="{00000000-0005-0000-0000-000000020000}"/>
    <cellStyle name="20% - Accent5 5 2" xfId="2187" xr:uid="{00000000-0005-0000-0000-000001020000}"/>
    <cellStyle name="20% - Accent5 5 2 2" xfId="11822" xr:uid="{00000000-0005-0000-0000-000002020000}"/>
    <cellStyle name="20% - Accent5 5 2 2 2" xfId="28323" xr:uid="{00000000-0005-0000-0000-000003020000}"/>
    <cellStyle name="20% - Accent5 5 2 3" xfId="20285" xr:uid="{00000000-0005-0000-0000-000004020000}"/>
    <cellStyle name="20% - Accent5 5 3" xfId="2188" xr:uid="{00000000-0005-0000-0000-000005020000}"/>
    <cellStyle name="20% - Accent5 5 3 2" xfId="28324" xr:uid="{00000000-0005-0000-0000-000006020000}"/>
    <cellStyle name="20% - Accent5 5 4" xfId="20286" xr:uid="{00000000-0005-0000-0000-000007020000}"/>
    <cellStyle name="20% - Accent5 6" xfId="2186" xr:uid="{00000000-0005-0000-0000-000008020000}"/>
    <cellStyle name="20% - Accent5 6 2" xfId="11821" xr:uid="{00000000-0005-0000-0000-000009020000}"/>
    <cellStyle name="20% - Accent5 6 2 2" xfId="28322" xr:uid="{00000000-0005-0000-0000-00000A020000}"/>
    <cellStyle name="20% - Accent5 6 3" xfId="20284" xr:uid="{00000000-0005-0000-0000-00000B020000}"/>
    <cellStyle name="20% - Accent5 7" xfId="2185" xr:uid="{00000000-0005-0000-0000-00000C020000}"/>
    <cellStyle name="20% - Accent5 7 2" xfId="11820" xr:uid="{00000000-0005-0000-0000-00000D020000}"/>
    <cellStyle name="20% - Accent5 7 2 2" xfId="28321" xr:uid="{00000000-0005-0000-0000-00000E020000}"/>
    <cellStyle name="20% - Accent5 7 3" xfId="20283" xr:uid="{00000000-0005-0000-0000-00000F020000}"/>
    <cellStyle name="20% - Accent5 8" xfId="2184" xr:uid="{00000000-0005-0000-0000-000010020000}"/>
    <cellStyle name="20% - Accent5 8 2" xfId="11819" xr:uid="{00000000-0005-0000-0000-000011020000}"/>
    <cellStyle name="20% - Accent5 8 2 2" xfId="28320" xr:uid="{00000000-0005-0000-0000-000012020000}"/>
    <cellStyle name="20% - Accent5 8 3" xfId="20282" xr:uid="{00000000-0005-0000-0000-000013020000}"/>
    <cellStyle name="20% - Accent5 9" xfId="11308" xr:uid="{00000000-0005-0000-0000-000014020000}"/>
    <cellStyle name="20% - Accent5 9 2" xfId="28169" xr:uid="{00000000-0005-0000-0000-000015020000}"/>
    <cellStyle name="20% - Accent6" xfId="427" builtinId="50" customBuiltin="1"/>
    <cellStyle name="20% - Accent6 10" xfId="19643" xr:uid="{00000000-0005-0000-0000-000017020000}"/>
    <cellStyle name="20% - Accent6 2" xfId="112" xr:uid="{00000000-0005-0000-0000-000018020000}"/>
    <cellStyle name="20% - Accent6 2 2" xfId="113" xr:uid="{00000000-0005-0000-0000-000019020000}"/>
    <cellStyle name="20% - Accent6 2 2 2" xfId="2181" xr:uid="{00000000-0005-0000-0000-00001A020000}"/>
    <cellStyle name="20% - Accent6 2 2 2 2" xfId="2180" xr:uid="{00000000-0005-0000-0000-00001B020000}"/>
    <cellStyle name="20% - Accent6 2 2 2 2 2" xfId="11817" xr:uid="{00000000-0005-0000-0000-00001C020000}"/>
    <cellStyle name="20% - Accent6 2 2 2 2 2 2" xfId="28316" xr:uid="{00000000-0005-0000-0000-00001D020000}"/>
    <cellStyle name="20% - Accent6 2 2 2 2 3" xfId="20279" xr:uid="{00000000-0005-0000-0000-00001E020000}"/>
    <cellStyle name="20% - Accent6 2 2 2 3" xfId="11818" xr:uid="{00000000-0005-0000-0000-00001F020000}"/>
    <cellStyle name="20% - Accent6 2 2 2 3 2" xfId="28317" xr:uid="{00000000-0005-0000-0000-000020020000}"/>
    <cellStyle name="20% - Accent6 2 2 2 4" xfId="20280" xr:uid="{00000000-0005-0000-0000-000021020000}"/>
    <cellStyle name="20% - Accent6 2 2 3" xfId="2179" xr:uid="{00000000-0005-0000-0000-000022020000}"/>
    <cellStyle name="20% - Accent6 2 2 3 2" xfId="11816" xr:uid="{00000000-0005-0000-0000-000023020000}"/>
    <cellStyle name="20% - Accent6 2 2 3 2 2" xfId="28315" xr:uid="{00000000-0005-0000-0000-000024020000}"/>
    <cellStyle name="20% - Accent6 2 2 3 3" xfId="20278" xr:uid="{00000000-0005-0000-0000-000025020000}"/>
    <cellStyle name="20% - Accent6 2 2 4" xfId="2182" xr:uid="{00000000-0005-0000-0000-000026020000}"/>
    <cellStyle name="20% - Accent6 2 2 4 2" xfId="28318" xr:uid="{00000000-0005-0000-0000-000027020000}"/>
    <cellStyle name="20% - Accent6 2 2 5" xfId="20281" xr:uid="{00000000-0005-0000-0000-000028020000}"/>
    <cellStyle name="20% - Accent6 2 3" xfId="2178" xr:uid="{00000000-0005-0000-0000-000029020000}"/>
    <cellStyle name="20% - Accent6 2 3 2" xfId="2177" xr:uid="{00000000-0005-0000-0000-00002A020000}"/>
    <cellStyle name="20% - Accent6 2 3 2 2" xfId="11814" xr:uid="{00000000-0005-0000-0000-00002B020000}"/>
    <cellStyle name="20% - Accent6 2 3 2 2 2" xfId="28313" xr:uid="{00000000-0005-0000-0000-00002C020000}"/>
    <cellStyle name="20% - Accent6 2 3 2 3" xfId="20276" xr:uid="{00000000-0005-0000-0000-00002D020000}"/>
    <cellStyle name="20% - Accent6 2 3 3" xfId="11815" xr:uid="{00000000-0005-0000-0000-00002E020000}"/>
    <cellStyle name="20% - Accent6 2 3 3 2" xfId="28314" xr:uid="{00000000-0005-0000-0000-00002F020000}"/>
    <cellStyle name="20% - Accent6 2 3 4" xfId="20277" xr:uid="{00000000-0005-0000-0000-000030020000}"/>
    <cellStyle name="20% - Accent6 2 4" xfId="2176" xr:uid="{00000000-0005-0000-0000-000031020000}"/>
    <cellStyle name="20% - Accent6 2 4 2" xfId="11813" xr:uid="{00000000-0005-0000-0000-000032020000}"/>
    <cellStyle name="20% - Accent6 2 4 2 2" xfId="28312" xr:uid="{00000000-0005-0000-0000-000033020000}"/>
    <cellStyle name="20% - Accent6 2 4 3" xfId="20275" xr:uid="{00000000-0005-0000-0000-000034020000}"/>
    <cellStyle name="20% - Accent6 2 5" xfId="10896" xr:uid="{00000000-0005-0000-0000-000035020000}"/>
    <cellStyle name="20% - Accent6 2 5 2" xfId="28319" xr:uid="{00000000-0005-0000-0000-000036020000}"/>
    <cellStyle name="20% - Accent6 2 6" xfId="2183" xr:uid="{00000000-0005-0000-0000-000037020000}"/>
    <cellStyle name="20% - Accent6 3" xfId="114" xr:uid="{00000000-0005-0000-0000-000038020000}"/>
    <cellStyle name="20% - Accent6 3 2" xfId="115" xr:uid="{00000000-0005-0000-0000-000039020000}"/>
    <cellStyle name="20% - Accent6 3 2 2" xfId="2175" xr:uid="{00000000-0005-0000-0000-00003A020000}"/>
    <cellStyle name="20% - Accent6 3 2 2 2" xfId="11810" xr:uid="{00000000-0005-0000-0000-00003B020000}"/>
    <cellStyle name="20% - Accent6 3 2 2 2 2" xfId="28309" xr:uid="{00000000-0005-0000-0000-00003C020000}"/>
    <cellStyle name="20% - Accent6 3 2 2 3" xfId="20272" xr:uid="{00000000-0005-0000-0000-00003D020000}"/>
    <cellStyle name="20% - Accent6 3 2 3" xfId="11811" xr:uid="{00000000-0005-0000-0000-00003E020000}"/>
    <cellStyle name="20% - Accent6 3 2 3 2" xfId="28310" xr:uid="{00000000-0005-0000-0000-00003F020000}"/>
    <cellStyle name="20% - Accent6 3 2 4" xfId="20273" xr:uid="{00000000-0005-0000-0000-000040020000}"/>
    <cellStyle name="20% - Accent6 3 3" xfId="2174" xr:uid="{00000000-0005-0000-0000-000041020000}"/>
    <cellStyle name="20% - Accent6 3 3 2" xfId="11809" xr:uid="{00000000-0005-0000-0000-000042020000}"/>
    <cellStyle name="20% - Accent6 3 3 2 2" xfId="28308" xr:uid="{00000000-0005-0000-0000-000043020000}"/>
    <cellStyle name="20% - Accent6 3 3 3" xfId="20271" xr:uid="{00000000-0005-0000-0000-000044020000}"/>
    <cellStyle name="20% - Accent6 3 4" xfId="11812" xr:uid="{00000000-0005-0000-0000-000045020000}"/>
    <cellStyle name="20% - Accent6 3 4 2" xfId="28311" xr:uid="{00000000-0005-0000-0000-000046020000}"/>
    <cellStyle name="20% - Accent6 3 5" xfId="20274" xr:uid="{00000000-0005-0000-0000-000047020000}"/>
    <cellStyle name="20% - Accent6 4" xfId="116" xr:uid="{00000000-0005-0000-0000-000048020000}"/>
    <cellStyle name="20% - Accent6 4 2" xfId="2173" xr:uid="{00000000-0005-0000-0000-000049020000}"/>
    <cellStyle name="20% - Accent6 4 2 2" xfId="11807" xr:uid="{00000000-0005-0000-0000-00004A020000}"/>
    <cellStyle name="20% - Accent6 4 2 2 2" xfId="28306" xr:uid="{00000000-0005-0000-0000-00004B020000}"/>
    <cellStyle name="20% - Accent6 4 2 3" xfId="20269" xr:uid="{00000000-0005-0000-0000-00004C020000}"/>
    <cellStyle name="20% - Accent6 4 3" xfId="11808" xr:uid="{00000000-0005-0000-0000-00004D020000}"/>
    <cellStyle name="20% - Accent6 4 3 2" xfId="28307" xr:uid="{00000000-0005-0000-0000-00004E020000}"/>
    <cellStyle name="20% - Accent6 4 4" xfId="20270" xr:uid="{00000000-0005-0000-0000-00004F020000}"/>
    <cellStyle name="20% - Accent6 5" xfId="504" xr:uid="{00000000-0005-0000-0000-000050020000}"/>
    <cellStyle name="20% - Accent6 5 2" xfId="2171" xr:uid="{00000000-0005-0000-0000-000051020000}"/>
    <cellStyle name="20% - Accent6 5 2 2" xfId="11806" xr:uid="{00000000-0005-0000-0000-000052020000}"/>
    <cellStyle name="20% - Accent6 5 2 2 2" xfId="28304" xr:uid="{00000000-0005-0000-0000-000053020000}"/>
    <cellStyle name="20% - Accent6 5 2 3" xfId="20267" xr:uid="{00000000-0005-0000-0000-000054020000}"/>
    <cellStyle name="20% - Accent6 5 3" xfId="2172" xr:uid="{00000000-0005-0000-0000-000055020000}"/>
    <cellStyle name="20% - Accent6 5 3 2" xfId="28305" xr:uid="{00000000-0005-0000-0000-000056020000}"/>
    <cellStyle name="20% - Accent6 5 4" xfId="20268" xr:uid="{00000000-0005-0000-0000-000057020000}"/>
    <cellStyle name="20% - Accent6 6" xfId="2170" xr:uid="{00000000-0005-0000-0000-000058020000}"/>
    <cellStyle name="20% - Accent6 6 2" xfId="11805" xr:uid="{00000000-0005-0000-0000-000059020000}"/>
    <cellStyle name="20% - Accent6 6 2 2" xfId="28303" xr:uid="{00000000-0005-0000-0000-00005A020000}"/>
    <cellStyle name="20% - Accent6 6 3" xfId="20266" xr:uid="{00000000-0005-0000-0000-00005B020000}"/>
    <cellStyle name="20% - Accent6 7" xfId="2169" xr:uid="{00000000-0005-0000-0000-00005C020000}"/>
    <cellStyle name="20% - Accent6 7 2" xfId="11804" xr:uid="{00000000-0005-0000-0000-00005D020000}"/>
    <cellStyle name="20% - Accent6 7 2 2" xfId="28302" xr:uid="{00000000-0005-0000-0000-00005E020000}"/>
    <cellStyle name="20% - Accent6 7 3" xfId="20265" xr:uid="{00000000-0005-0000-0000-00005F020000}"/>
    <cellStyle name="20% - Accent6 8" xfId="2167" xr:uid="{00000000-0005-0000-0000-000060020000}"/>
    <cellStyle name="20% - Accent6 8 2" xfId="11803" xr:uid="{00000000-0005-0000-0000-000061020000}"/>
    <cellStyle name="20% - Accent6 8 2 2" xfId="28301" xr:uid="{00000000-0005-0000-0000-000062020000}"/>
    <cellStyle name="20% - Accent6 8 3" xfId="20264" xr:uid="{00000000-0005-0000-0000-000063020000}"/>
    <cellStyle name="20% - Accent6 9" xfId="11310" xr:uid="{00000000-0005-0000-0000-000064020000}"/>
    <cellStyle name="20% - Accent6 9 2" xfId="28171" xr:uid="{00000000-0005-0000-0000-000065020000}"/>
    <cellStyle name="20% - Ênfase1" xfId="1808" xr:uid="{00000000-0005-0000-0000-000066020000}"/>
    <cellStyle name="20% - Ênfase2" xfId="1809" xr:uid="{00000000-0005-0000-0000-000067020000}"/>
    <cellStyle name="20% - Ênfase3" xfId="1810" xr:uid="{00000000-0005-0000-0000-000068020000}"/>
    <cellStyle name="20% - Ênfase4" xfId="1811" xr:uid="{00000000-0005-0000-0000-000069020000}"/>
    <cellStyle name="20% - Ênfase5" xfId="1812" xr:uid="{00000000-0005-0000-0000-00006A020000}"/>
    <cellStyle name="20% - Ênfase6" xfId="1813" xr:uid="{00000000-0005-0000-0000-00006B020000}"/>
    <cellStyle name="20% - Énfasis1" xfId="1814" xr:uid="{00000000-0005-0000-0000-00006C020000}"/>
    <cellStyle name="20% - Énfasis2" xfId="1815" xr:uid="{00000000-0005-0000-0000-00006D020000}"/>
    <cellStyle name="20% - Énfasis3" xfId="1816" xr:uid="{00000000-0005-0000-0000-00006E020000}"/>
    <cellStyle name="20% - Énfasis4" xfId="1817" xr:uid="{00000000-0005-0000-0000-00006F020000}"/>
    <cellStyle name="20% - Énfasis5" xfId="1818" xr:uid="{00000000-0005-0000-0000-000070020000}"/>
    <cellStyle name="20% - Énfasis6" xfId="1819" xr:uid="{00000000-0005-0000-0000-000071020000}"/>
    <cellStyle name="40% - Accent1" xfId="408" builtinId="31" customBuiltin="1"/>
    <cellStyle name="40% - Accent1 10" xfId="19634" xr:uid="{00000000-0005-0000-0000-000073020000}"/>
    <cellStyle name="40% - Accent1 2" xfId="117" xr:uid="{00000000-0005-0000-0000-000074020000}"/>
    <cellStyle name="40% - Accent1 2 2" xfId="118" xr:uid="{00000000-0005-0000-0000-000075020000}"/>
    <cellStyle name="40% - Accent1 2 2 2" xfId="2164" xr:uid="{00000000-0005-0000-0000-000076020000}"/>
    <cellStyle name="40% - Accent1 2 2 2 2" xfId="2163" xr:uid="{00000000-0005-0000-0000-000077020000}"/>
    <cellStyle name="40% - Accent1 2 2 2 2 2" xfId="11801" xr:uid="{00000000-0005-0000-0000-000078020000}"/>
    <cellStyle name="40% - Accent1 2 2 2 2 2 2" xfId="28297" xr:uid="{00000000-0005-0000-0000-000079020000}"/>
    <cellStyle name="40% - Accent1 2 2 2 2 3" xfId="20261" xr:uid="{00000000-0005-0000-0000-00007A020000}"/>
    <cellStyle name="40% - Accent1 2 2 2 3" xfId="11802" xr:uid="{00000000-0005-0000-0000-00007B020000}"/>
    <cellStyle name="40% - Accent1 2 2 2 3 2" xfId="28298" xr:uid="{00000000-0005-0000-0000-00007C020000}"/>
    <cellStyle name="40% - Accent1 2 2 2 4" xfId="20262" xr:uid="{00000000-0005-0000-0000-00007D020000}"/>
    <cellStyle name="40% - Accent1 2 2 3" xfId="2162" xr:uid="{00000000-0005-0000-0000-00007E020000}"/>
    <cellStyle name="40% - Accent1 2 2 3 2" xfId="11800" xr:uid="{00000000-0005-0000-0000-00007F020000}"/>
    <cellStyle name="40% - Accent1 2 2 3 2 2" xfId="28296" xr:uid="{00000000-0005-0000-0000-000080020000}"/>
    <cellStyle name="40% - Accent1 2 2 3 3" xfId="20260" xr:uid="{00000000-0005-0000-0000-000081020000}"/>
    <cellStyle name="40% - Accent1 2 2 4" xfId="2165" xr:uid="{00000000-0005-0000-0000-000082020000}"/>
    <cellStyle name="40% - Accent1 2 2 4 2" xfId="28299" xr:uid="{00000000-0005-0000-0000-000083020000}"/>
    <cellStyle name="40% - Accent1 2 2 5" xfId="20263" xr:uid="{00000000-0005-0000-0000-000084020000}"/>
    <cellStyle name="40% - Accent1 2 3" xfId="2161" xr:uid="{00000000-0005-0000-0000-000085020000}"/>
    <cellStyle name="40% - Accent1 2 3 2" xfId="2160" xr:uid="{00000000-0005-0000-0000-000086020000}"/>
    <cellStyle name="40% - Accent1 2 3 2 2" xfId="11798" xr:uid="{00000000-0005-0000-0000-000087020000}"/>
    <cellStyle name="40% - Accent1 2 3 2 2 2" xfId="28294" xr:uid="{00000000-0005-0000-0000-000088020000}"/>
    <cellStyle name="40% - Accent1 2 3 2 3" xfId="20258" xr:uid="{00000000-0005-0000-0000-000089020000}"/>
    <cellStyle name="40% - Accent1 2 3 3" xfId="11799" xr:uid="{00000000-0005-0000-0000-00008A020000}"/>
    <cellStyle name="40% - Accent1 2 3 3 2" xfId="28295" xr:uid="{00000000-0005-0000-0000-00008B020000}"/>
    <cellStyle name="40% - Accent1 2 3 4" xfId="20259" xr:uid="{00000000-0005-0000-0000-00008C020000}"/>
    <cellStyle name="40% - Accent1 2 4" xfId="2159" xr:uid="{00000000-0005-0000-0000-00008D020000}"/>
    <cellStyle name="40% - Accent1 2 4 2" xfId="11797" xr:uid="{00000000-0005-0000-0000-00008E020000}"/>
    <cellStyle name="40% - Accent1 2 4 2 2" xfId="28293" xr:uid="{00000000-0005-0000-0000-00008F020000}"/>
    <cellStyle name="40% - Accent1 2 4 3" xfId="20257" xr:uid="{00000000-0005-0000-0000-000090020000}"/>
    <cellStyle name="40% - Accent1 2 5" xfId="10897" xr:uid="{00000000-0005-0000-0000-000091020000}"/>
    <cellStyle name="40% - Accent1 2 5 2" xfId="28300" xr:uid="{00000000-0005-0000-0000-000092020000}"/>
    <cellStyle name="40% - Accent1 2 6" xfId="2166" xr:uid="{00000000-0005-0000-0000-000093020000}"/>
    <cellStyle name="40% - Accent1 3" xfId="119" xr:uid="{00000000-0005-0000-0000-000094020000}"/>
    <cellStyle name="40% - Accent1 3 2" xfId="120" xr:uid="{00000000-0005-0000-0000-000095020000}"/>
    <cellStyle name="40% - Accent1 3 2 2" xfId="2158" xr:uid="{00000000-0005-0000-0000-000096020000}"/>
    <cellStyle name="40% - Accent1 3 2 2 2" xfId="11794" xr:uid="{00000000-0005-0000-0000-000097020000}"/>
    <cellStyle name="40% - Accent1 3 2 2 2 2" xfId="28290" xr:uid="{00000000-0005-0000-0000-000098020000}"/>
    <cellStyle name="40% - Accent1 3 2 2 3" xfId="20254" xr:uid="{00000000-0005-0000-0000-000099020000}"/>
    <cellStyle name="40% - Accent1 3 2 3" xfId="11795" xr:uid="{00000000-0005-0000-0000-00009A020000}"/>
    <cellStyle name="40% - Accent1 3 2 3 2" xfId="28291" xr:uid="{00000000-0005-0000-0000-00009B020000}"/>
    <cellStyle name="40% - Accent1 3 2 4" xfId="20255" xr:uid="{00000000-0005-0000-0000-00009C020000}"/>
    <cellStyle name="40% - Accent1 3 3" xfId="2157" xr:uid="{00000000-0005-0000-0000-00009D020000}"/>
    <cellStyle name="40% - Accent1 3 3 2" xfId="11793" xr:uid="{00000000-0005-0000-0000-00009E020000}"/>
    <cellStyle name="40% - Accent1 3 3 2 2" xfId="28289" xr:uid="{00000000-0005-0000-0000-00009F020000}"/>
    <cellStyle name="40% - Accent1 3 3 3" xfId="20253" xr:uid="{00000000-0005-0000-0000-0000A0020000}"/>
    <cellStyle name="40% - Accent1 3 4" xfId="11796" xr:uid="{00000000-0005-0000-0000-0000A1020000}"/>
    <cellStyle name="40% - Accent1 3 4 2" xfId="28292" xr:uid="{00000000-0005-0000-0000-0000A2020000}"/>
    <cellStyle name="40% - Accent1 3 5" xfId="20256" xr:uid="{00000000-0005-0000-0000-0000A3020000}"/>
    <cellStyle name="40% - Accent1 4" xfId="121" xr:uid="{00000000-0005-0000-0000-0000A4020000}"/>
    <cellStyle name="40% - Accent1 4 2" xfId="2156" xr:uid="{00000000-0005-0000-0000-0000A5020000}"/>
    <cellStyle name="40% - Accent1 4 2 2" xfId="11791" xr:uid="{00000000-0005-0000-0000-0000A6020000}"/>
    <cellStyle name="40% - Accent1 4 2 2 2" xfId="28287" xr:uid="{00000000-0005-0000-0000-0000A7020000}"/>
    <cellStyle name="40% - Accent1 4 2 3" xfId="20251" xr:uid="{00000000-0005-0000-0000-0000A8020000}"/>
    <cellStyle name="40% - Accent1 4 3" xfId="11792" xr:uid="{00000000-0005-0000-0000-0000A9020000}"/>
    <cellStyle name="40% - Accent1 4 3 2" xfId="28288" xr:uid="{00000000-0005-0000-0000-0000AA020000}"/>
    <cellStyle name="40% - Accent1 4 4" xfId="20252" xr:uid="{00000000-0005-0000-0000-0000AB020000}"/>
    <cellStyle name="40% - Accent1 5" xfId="505" xr:uid="{00000000-0005-0000-0000-0000AC020000}"/>
    <cellStyle name="40% - Accent1 5 2" xfId="2078" xr:uid="{00000000-0005-0000-0000-0000AD020000}"/>
    <cellStyle name="40% - Accent1 5 2 2" xfId="11436" xr:uid="{00000000-0005-0000-0000-0000AE020000}"/>
    <cellStyle name="40% - Accent1 5 2 2 2" xfId="28235" xr:uid="{00000000-0005-0000-0000-0000AF020000}"/>
    <cellStyle name="40% - Accent1 5 2 3" xfId="19909" xr:uid="{00000000-0005-0000-0000-0000B0020000}"/>
    <cellStyle name="40% - Accent1 5 3" xfId="2079" xr:uid="{00000000-0005-0000-0000-0000B1020000}"/>
    <cellStyle name="40% - Accent1 5 3 2" xfId="28236" xr:uid="{00000000-0005-0000-0000-0000B2020000}"/>
    <cellStyle name="40% - Accent1 5 4" xfId="19910" xr:uid="{00000000-0005-0000-0000-0000B3020000}"/>
    <cellStyle name="40% - Accent1 6" xfId="2105" xr:uid="{00000000-0005-0000-0000-0000B4020000}"/>
    <cellStyle name="40% - Accent1 6 2" xfId="11575" xr:uid="{00000000-0005-0000-0000-0000B5020000}"/>
    <cellStyle name="40% - Accent1 6 2 2" xfId="28250" xr:uid="{00000000-0005-0000-0000-0000B6020000}"/>
    <cellStyle name="40% - Accent1 6 3" xfId="20042" xr:uid="{00000000-0005-0000-0000-0000B7020000}"/>
    <cellStyle name="40% - Accent1 7" xfId="2137" xr:uid="{00000000-0005-0000-0000-0000B8020000}"/>
    <cellStyle name="40% - Accent1 7 2" xfId="11712" xr:uid="{00000000-0005-0000-0000-0000B9020000}"/>
    <cellStyle name="40% - Accent1 7 2 2" xfId="28267" xr:uid="{00000000-0005-0000-0000-0000BA020000}"/>
    <cellStyle name="40% - Accent1 7 3" xfId="20171" xr:uid="{00000000-0005-0000-0000-0000BB020000}"/>
    <cellStyle name="40% - Accent1 8" xfId="2010" xr:uid="{00000000-0005-0000-0000-0000BC020000}"/>
    <cellStyle name="40% - Accent1 8 2" xfId="11347" xr:uid="{00000000-0005-0000-0000-0000BD020000}"/>
    <cellStyle name="40% - Accent1 8 2 2" xfId="28175" xr:uid="{00000000-0005-0000-0000-0000BE020000}"/>
    <cellStyle name="40% - Accent1 8 3" xfId="19825" xr:uid="{00000000-0005-0000-0000-0000BF020000}"/>
    <cellStyle name="40% - Accent1 9" xfId="11301" xr:uid="{00000000-0005-0000-0000-0000C0020000}"/>
    <cellStyle name="40% - Accent1 9 2" xfId="28162" xr:uid="{00000000-0005-0000-0000-0000C1020000}"/>
    <cellStyle name="40% - Accent2" xfId="412" builtinId="35" customBuiltin="1"/>
    <cellStyle name="40% - Accent2 10" xfId="19636" xr:uid="{00000000-0005-0000-0000-0000C3020000}"/>
    <cellStyle name="40% - Accent2 2" xfId="122" xr:uid="{00000000-0005-0000-0000-0000C4020000}"/>
    <cellStyle name="40% - Accent2 2 2" xfId="2082" xr:uid="{00000000-0005-0000-0000-0000C5020000}"/>
    <cellStyle name="40% - Accent2 2 2 2" xfId="2077" xr:uid="{00000000-0005-0000-0000-0000C6020000}"/>
    <cellStyle name="40% - Accent2 2 2 2 2" xfId="2151" xr:uid="{00000000-0005-0000-0000-0000C7020000}"/>
    <cellStyle name="40% - Accent2 2 2 2 2 2" xfId="11774" xr:uid="{00000000-0005-0000-0000-0000C8020000}"/>
    <cellStyle name="40% - Accent2 2 2 2 2 2 2" xfId="28282" xr:uid="{00000000-0005-0000-0000-0000C9020000}"/>
    <cellStyle name="40% - Accent2 2 2 2 2 3" xfId="20234" xr:uid="{00000000-0005-0000-0000-0000CA020000}"/>
    <cellStyle name="40% - Accent2 2 2 2 3" xfId="11435" xr:uid="{00000000-0005-0000-0000-0000CB020000}"/>
    <cellStyle name="40% - Accent2 2 2 2 3 2" xfId="28234" xr:uid="{00000000-0005-0000-0000-0000CC020000}"/>
    <cellStyle name="40% - Accent2 2 2 2 4" xfId="19908" xr:uid="{00000000-0005-0000-0000-0000CD020000}"/>
    <cellStyle name="40% - Accent2 2 2 3" xfId="2076" xr:uid="{00000000-0005-0000-0000-0000CE020000}"/>
    <cellStyle name="40% - Accent2 2 2 3 2" xfId="11434" xr:uid="{00000000-0005-0000-0000-0000CF020000}"/>
    <cellStyle name="40% - Accent2 2 2 3 2 2" xfId="28233" xr:uid="{00000000-0005-0000-0000-0000D0020000}"/>
    <cellStyle name="40% - Accent2 2 2 3 3" xfId="19907" xr:uid="{00000000-0005-0000-0000-0000D1020000}"/>
    <cellStyle name="40% - Accent2 2 2 4" xfId="11469" xr:uid="{00000000-0005-0000-0000-0000D2020000}"/>
    <cellStyle name="40% - Accent2 2 2 4 2" xfId="28237" xr:uid="{00000000-0005-0000-0000-0000D3020000}"/>
    <cellStyle name="40% - Accent2 2 2 5" xfId="19941" xr:uid="{00000000-0005-0000-0000-0000D4020000}"/>
    <cellStyle name="40% - Accent2 2 3" xfId="2113" xr:uid="{00000000-0005-0000-0000-0000D5020000}"/>
    <cellStyle name="40% - Accent2 2 3 2" xfId="2144" xr:uid="{00000000-0005-0000-0000-0000D6020000}"/>
    <cellStyle name="40% - Accent2 2 3 2 2" xfId="11742" xr:uid="{00000000-0005-0000-0000-0000D7020000}"/>
    <cellStyle name="40% - Accent2 2 3 2 2 2" xfId="28274" xr:uid="{00000000-0005-0000-0000-0000D8020000}"/>
    <cellStyle name="40% - Accent2 2 3 2 3" xfId="20202" xr:uid="{00000000-0005-0000-0000-0000D9020000}"/>
    <cellStyle name="40% - Accent2 2 3 3" xfId="11607" xr:uid="{00000000-0005-0000-0000-0000DA020000}"/>
    <cellStyle name="40% - Accent2 2 3 3 2" xfId="28255" xr:uid="{00000000-0005-0000-0000-0000DB020000}"/>
    <cellStyle name="40% - Accent2 2 3 4" xfId="20072" xr:uid="{00000000-0005-0000-0000-0000DC020000}"/>
    <cellStyle name="40% - Accent2 2 4" xfId="2012" xr:uid="{00000000-0005-0000-0000-0000DD020000}"/>
    <cellStyle name="40% - Accent2 2 4 2" xfId="11354" xr:uid="{00000000-0005-0000-0000-0000DE020000}"/>
    <cellStyle name="40% - Accent2 2 4 2 2" xfId="28176" xr:uid="{00000000-0005-0000-0000-0000DF020000}"/>
    <cellStyle name="40% - Accent2 2 4 3" xfId="19831" xr:uid="{00000000-0005-0000-0000-0000E0020000}"/>
    <cellStyle name="40% - Accent2 2 5" xfId="10898" xr:uid="{00000000-0005-0000-0000-0000E1020000}"/>
    <cellStyle name="40% - Accent2 2 5 2" xfId="28264" xr:uid="{00000000-0005-0000-0000-0000E2020000}"/>
    <cellStyle name="40% - Accent2 2 6" xfId="2130" xr:uid="{00000000-0005-0000-0000-0000E3020000}"/>
    <cellStyle name="40% - Accent2 3" xfId="123" xr:uid="{00000000-0005-0000-0000-0000E4020000}"/>
    <cellStyle name="40% - Accent2 3 2" xfId="124" xr:uid="{00000000-0005-0000-0000-0000E5020000}"/>
    <cellStyle name="40% - Accent2 3 2 2" xfId="2075" xr:uid="{00000000-0005-0000-0000-0000E6020000}"/>
    <cellStyle name="40% - Accent2 3 2 2 2" xfId="11433" xr:uid="{00000000-0005-0000-0000-0000E7020000}"/>
    <cellStyle name="40% - Accent2 3 2 2 2 2" xfId="28232" xr:uid="{00000000-0005-0000-0000-0000E8020000}"/>
    <cellStyle name="40% - Accent2 3 2 2 3" xfId="19906" xr:uid="{00000000-0005-0000-0000-0000E9020000}"/>
    <cellStyle name="40% - Accent2 3 2 3" xfId="11314" xr:uid="{00000000-0005-0000-0000-0000EA020000}"/>
    <cellStyle name="40% - Accent2 3 2 3 2" xfId="28174" xr:uid="{00000000-0005-0000-0000-0000EB020000}"/>
    <cellStyle name="40% - Accent2 3 2 4" xfId="19796" xr:uid="{00000000-0005-0000-0000-0000EC020000}"/>
    <cellStyle name="40% - Accent2 3 3" xfId="2120" xr:uid="{00000000-0005-0000-0000-0000ED020000}"/>
    <cellStyle name="40% - Accent2 3 3 2" xfId="11639" xr:uid="{00000000-0005-0000-0000-0000EE020000}"/>
    <cellStyle name="40% - Accent2 3 3 2 2" xfId="28259" xr:uid="{00000000-0005-0000-0000-0000EF020000}"/>
    <cellStyle name="40% - Accent2 3 3 3" xfId="20102" xr:uid="{00000000-0005-0000-0000-0000F0020000}"/>
    <cellStyle name="40% - Accent2 3 4" xfId="11714" xr:uid="{00000000-0005-0000-0000-0000F1020000}"/>
    <cellStyle name="40% - Accent2 3 4 2" xfId="28269" xr:uid="{00000000-0005-0000-0000-0000F2020000}"/>
    <cellStyle name="40% - Accent2 3 5" xfId="20173" xr:uid="{00000000-0005-0000-0000-0000F3020000}"/>
    <cellStyle name="40% - Accent2 4" xfId="125" xr:uid="{00000000-0005-0000-0000-0000F4020000}"/>
    <cellStyle name="40% - Accent2 4 2" xfId="2015" xr:uid="{00000000-0005-0000-0000-0000F5020000}"/>
    <cellStyle name="40% - Accent2 4 2 2" xfId="11362" xr:uid="{00000000-0005-0000-0000-0000F6020000}"/>
    <cellStyle name="40% - Accent2 4 2 2 2" xfId="28178" xr:uid="{00000000-0005-0000-0000-0000F7020000}"/>
    <cellStyle name="40% - Accent2 4 2 3" xfId="19838" xr:uid="{00000000-0005-0000-0000-0000F8020000}"/>
    <cellStyle name="40% - Accent2 4 3" xfId="11773" xr:uid="{00000000-0005-0000-0000-0000F9020000}"/>
    <cellStyle name="40% - Accent2 4 3 2" xfId="28281" xr:uid="{00000000-0005-0000-0000-0000FA020000}"/>
    <cellStyle name="40% - Accent2 4 4" xfId="20233" xr:uid="{00000000-0005-0000-0000-0000FB020000}"/>
    <cellStyle name="40% - Accent2 5" xfId="506" xr:uid="{00000000-0005-0000-0000-0000FC020000}"/>
    <cellStyle name="40% - Accent2 5 2" xfId="2073" xr:uid="{00000000-0005-0000-0000-0000FD020000}"/>
    <cellStyle name="40% - Accent2 5 2 2" xfId="11431" xr:uid="{00000000-0005-0000-0000-0000FE020000}"/>
    <cellStyle name="40% - Accent2 5 2 2 2" xfId="28230" xr:uid="{00000000-0005-0000-0000-0000FF020000}"/>
    <cellStyle name="40% - Accent2 5 2 3" xfId="19905" xr:uid="{00000000-0005-0000-0000-000000030000}"/>
    <cellStyle name="40% - Accent2 5 3" xfId="2147" xr:uid="{00000000-0005-0000-0000-000001030000}"/>
    <cellStyle name="40% - Accent2 5 3 2" xfId="28276" xr:uid="{00000000-0005-0000-0000-000002030000}"/>
    <cellStyle name="40% - Accent2 5 4" xfId="20204" xr:uid="{00000000-0005-0000-0000-000003030000}"/>
    <cellStyle name="40% - Accent2 6" xfId="2005" xr:uid="{00000000-0005-0000-0000-000004030000}"/>
    <cellStyle name="40% - Accent2 6 2" xfId="11312" xr:uid="{00000000-0005-0000-0000-000005030000}"/>
    <cellStyle name="40% - Accent2 6 2 2" xfId="28173" xr:uid="{00000000-0005-0000-0000-000006030000}"/>
    <cellStyle name="40% - Accent2 6 3" xfId="19794" xr:uid="{00000000-0005-0000-0000-000007030000}"/>
    <cellStyle name="40% - Accent2 7" xfId="2153" xr:uid="{00000000-0005-0000-0000-000008030000}"/>
    <cellStyle name="40% - Accent2 7 2" xfId="11776" xr:uid="{00000000-0005-0000-0000-000009030000}"/>
    <cellStyle name="40% - Accent2 7 2 2" xfId="28284" xr:uid="{00000000-0005-0000-0000-00000A030000}"/>
    <cellStyle name="40% - Accent2 7 3" xfId="20236" xr:uid="{00000000-0005-0000-0000-00000B030000}"/>
    <cellStyle name="40% - Accent2 8" xfId="2072" xr:uid="{00000000-0005-0000-0000-00000C030000}"/>
    <cellStyle name="40% - Accent2 8 2" xfId="11430" xr:uid="{00000000-0005-0000-0000-00000D030000}"/>
    <cellStyle name="40% - Accent2 8 2 2" xfId="28229" xr:uid="{00000000-0005-0000-0000-00000E030000}"/>
    <cellStyle name="40% - Accent2 8 3" xfId="19904" xr:uid="{00000000-0005-0000-0000-00000F030000}"/>
    <cellStyle name="40% - Accent2 9" xfId="11303" xr:uid="{00000000-0005-0000-0000-000010030000}"/>
    <cellStyle name="40% - Accent2 9 2" xfId="28164" xr:uid="{00000000-0005-0000-0000-000011030000}"/>
    <cellStyle name="40% - Accent3" xfId="416" builtinId="39" customBuiltin="1"/>
    <cellStyle name="40% - Accent3 10" xfId="19638" xr:uid="{00000000-0005-0000-0000-000013030000}"/>
    <cellStyle name="40% - Accent3 2" xfId="126" xr:uid="{00000000-0005-0000-0000-000014030000}"/>
    <cellStyle name="40% - Accent3 2 2" xfId="127" xr:uid="{00000000-0005-0000-0000-000015030000}"/>
    <cellStyle name="40% - Accent3 2 2 2" xfId="2069" xr:uid="{00000000-0005-0000-0000-000016030000}"/>
    <cellStyle name="40% - Accent3 2 2 2 2" xfId="2068" xr:uid="{00000000-0005-0000-0000-000017030000}"/>
    <cellStyle name="40% - Accent3 2 2 2 2 2" xfId="11428" xr:uid="{00000000-0005-0000-0000-000018030000}"/>
    <cellStyle name="40% - Accent3 2 2 2 2 2 2" xfId="28225" xr:uid="{00000000-0005-0000-0000-000019030000}"/>
    <cellStyle name="40% - Accent3 2 2 2 2 3" xfId="19901" xr:uid="{00000000-0005-0000-0000-00001A030000}"/>
    <cellStyle name="40% - Accent3 2 2 2 3" xfId="11429" xr:uid="{00000000-0005-0000-0000-00001B030000}"/>
    <cellStyle name="40% - Accent3 2 2 2 3 2" xfId="28226" xr:uid="{00000000-0005-0000-0000-00001C030000}"/>
    <cellStyle name="40% - Accent3 2 2 2 4" xfId="19902" xr:uid="{00000000-0005-0000-0000-00001D030000}"/>
    <cellStyle name="40% - Accent3 2 2 3" xfId="2067" xr:uid="{00000000-0005-0000-0000-00001E030000}"/>
    <cellStyle name="40% - Accent3 2 2 3 2" xfId="11427" xr:uid="{00000000-0005-0000-0000-00001F030000}"/>
    <cellStyle name="40% - Accent3 2 2 3 2 2" xfId="28224" xr:uid="{00000000-0005-0000-0000-000020030000}"/>
    <cellStyle name="40% - Accent3 2 2 3 3" xfId="19900" xr:uid="{00000000-0005-0000-0000-000021030000}"/>
    <cellStyle name="40% - Accent3 2 2 4" xfId="2070" xr:uid="{00000000-0005-0000-0000-000022030000}"/>
    <cellStyle name="40% - Accent3 2 2 4 2" xfId="28227" xr:uid="{00000000-0005-0000-0000-000023030000}"/>
    <cellStyle name="40% - Accent3 2 2 5" xfId="19903" xr:uid="{00000000-0005-0000-0000-000024030000}"/>
    <cellStyle name="40% - Accent3 2 3" xfId="2065" xr:uid="{00000000-0005-0000-0000-000025030000}"/>
    <cellStyle name="40% - Accent3 2 3 2" xfId="2064" xr:uid="{00000000-0005-0000-0000-000026030000}"/>
    <cellStyle name="40% - Accent3 2 3 2 2" xfId="11424" xr:uid="{00000000-0005-0000-0000-000027030000}"/>
    <cellStyle name="40% - Accent3 2 3 2 2 2" xfId="28222" xr:uid="{00000000-0005-0000-0000-000028030000}"/>
    <cellStyle name="40% - Accent3 2 3 2 3" xfId="19898" xr:uid="{00000000-0005-0000-0000-000029030000}"/>
    <cellStyle name="40% - Accent3 2 3 3" xfId="11425" xr:uid="{00000000-0005-0000-0000-00002A030000}"/>
    <cellStyle name="40% - Accent3 2 3 3 2" xfId="28223" xr:uid="{00000000-0005-0000-0000-00002B030000}"/>
    <cellStyle name="40% - Accent3 2 3 4" xfId="19899" xr:uid="{00000000-0005-0000-0000-00002C030000}"/>
    <cellStyle name="40% - Accent3 2 4" xfId="2063" xr:uid="{00000000-0005-0000-0000-00002D030000}"/>
    <cellStyle name="40% - Accent3 2 4 2" xfId="11423" xr:uid="{00000000-0005-0000-0000-00002E030000}"/>
    <cellStyle name="40% - Accent3 2 4 2 2" xfId="28221" xr:uid="{00000000-0005-0000-0000-00002F030000}"/>
    <cellStyle name="40% - Accent3 2 4 3" xfId="19897" xr:uid="{00000000-0005-0000-0000-000030030000}"/>
    <cellStyle name="40% - Accent3 2 5" xfId="10899" xr:uid="{00000000-0005-0000-0000-000031030000}"/>
    <cellStyle name="40% - Accent3 2 5 2" xfId="28228" xr:uid="{00000000-0005-0000-0000-000032030000}"/>
    <cellStyle name="40% - Accent3 2 6" xfId="2071" xr:uid="{00000000-0005-0000-0000-000033030000}"/>
    <cellStyle name="40% - Accent3 3" xfId="128" xr:uid="{00000000-0005-0000-0000-000034030000}"/>
    <cellStyle name="40% - Accent3 3 2" xfId="129" xr:uid="{00000000-0005-0000-0000-000035030000}"/>
    <cellStyle name="40% - Accent3 3 2 2" xfId="2062" xr:uid="{00000000-0005-0000-0000-000036030000}"/>
    <cellStyle name="40% - Accent3 3 2 2 2" xfId="11420" xr:uid="{00000000-0005-0000-0000-000037030000}"/>
    <cellStyle name="40% - Accent3 3 2 2 2 2" xfId="28218" xr:uid="{00000000-0005-0000-0000-000038030000}"/>
    <cellStyle name="40% - Accent3 3 2 2 3" xfId="19894" xr:uid="{00000000-0005-0000-0000-000039030000}"/>
    <cellStyle name="40% - Accent3 3 2 3" xfId="11421" xr:uid="{00000000-0005-0000-0000-00003A030000}"/>
    <cellStyle name="40% - Accent3 3 2 3 2" xfId="28219" xr:uid="{00000000-0005-0000-0000-00003B030000}"/>
    <cellStyle name="40% - Accent3 3 2 4" xfId="19895" xr:uid="{00000000-0005-0000-0000-00003C030000}"/>
    <cellStyle name="40% - Accent3 3 3" xfId="2061" xr:uid="{00000000-0005-0000-0000-00003D030000}"/>
    <cellStyle name="40% - Accent3 3 3 2" xfId="11419" xr:uid="{00000000-0005-0000-0000-00003E030000}"/>
    <cellStyle name="40% - Accent3 3 3 2 2" xfId="28217" xr:uid="{00000000-0005-0000-0000-00003F030000}"/>
    <cellStyle name="40% - Accent3 3 3 3" xfId="19893" xr:uid="{00000000-0005-0000-0000-000040030000}"/>
    <cellStyle name="40% - Accent3 3 4" xfId="11422" xr:uid="{00000000-0005-0000-0000-000041030000}"/>
    <cellStyle name="40% - Accent3 3 4 2" xfId="28220" xr:uid="{00000000-0005-0000-0000-000042030000}"/>
    <cellStyle name="40% - Accent3 3 5" xfId="19896" xr:uid="{00000000-0005-0000-0000-000043030000}"/>
    <cellStyle name="40% - Accent3 4" xfId="130" xr:uid="{00000000-0005-0000-0000-000044030000}"/>
    <cellStyle name="40% - Accent3 4 2" xfId="2060" xr:uid="{00000000-0005-0000-0000-000045030000}"/>
    <cellStyle name="40% - Accent3 4 2 2" xfId="11417" xr:uid="{00000000-0005-0000-0000-000046030000}"/>
    <cellStyle name="40% - Accent3 4 2 2 2" xfId="28215" xr:uid="{00000000-0005-0000-0000-000047030000}"/>
    <cellStyle name="40% - Accent3 4 2 3" xfId="19891" xr:uid="{00000000-0005-0000-0000-000048030000}"/>
    <cellStyle name="40% - Accent3 4 3" xfId="11418" xr:uid="{00000000-0005-0000-0000-000049030000}"/>
    <cellStyle name="40% - Accent3 4 3 2" xfId="28216" xr:uid="{00000000-0005-0000-0000-00004A030000}"/>
    <cellStyle name="40% - Accent3 4 4" xfId="19892" xr:uid="{00000000-0005-0000-0000-00004B030000}"/>
    <cellStyle name="40% - Accent3 5" xfId="507" xr:uid="{00000000-0005-0000-0000-00004C030000}"/>
    <cellStyle name="40% - Accent3 5 2" xfId="2058" xr:uid="{00000000-0005-0000-0000-00004D030000}"/>
    <cellStyle name="40% - Accent3 5 2 2" xfId="11416" xr:uid="{00000000-0005-0000-0000-00004E030000}"/>
    <cellStyle name="40% - Accent3 5 2 2 2" xfId="28213" xr:uid="{00000000-0005-0000-0000-00004F030000}"/>
    <cellStyle name="40% - Accent3 5 2 3" xfId="19889" xr:uid="{00000000-0005-0000-0000-000050030000}"/>
    <cellStyle name="40% - Accent3 5 3" xfId="2059" xr:uid="{00000000-0005-0000-0000-000051030000}"/>
    <cellStyle name="40% - Accent3 5 3 2" xfId="28214" xr:uid="{00000000-0005-0000-0000-000052030000}"/>
    <cellStyle name="40% - Accent3 5 4" xfId="19890" xr:uid="{00000000-0005-0000-0000-000053030000}"/>
    <cellStyle name="40% - Accent3 6" xfId="2057" xr:uid="{00000000-0005-0000-0000-000054030000}"/>
    <cellStyle name="40% - Accent3 6 2" xfId="11415" xr:uid="{00000000-0005-0000-0000-000055030000}"/>
    <cellStyle name="40% - Accent3 6 2 2" xfId="28212" xr:uid="{00000000-0005-0000-0000-000056030000}"/>
    <cellStyle name="40% - Accent3 6 3" xfId="19888" xr:uid="{00000000-0005-0000-0000-000057030000}"/>
    <cellStyle name="40% - Accent3 7" xfId="2056" xr:uid="{00000000-0005-0000-0000-000058030000}"/>
    <cellStyle name="40% - Accent3 7 2" xfId="11414" xr:uid="{00000000-0005-0000-0000-000059030000}"/>
    <cellStyle name="40% - Accent3 7 2 2" xfId="28211" xr:uid="{00000000-0005-0000-0000-00005A030000}"/>
    <cellStyle name="40% - Accent3 7 3" xfId="19887" xr:uid="{00000000-0005-0000-0000-00005B030000}"/>
    <cellStyle name="40% - Accent3 8" xfId="2055" xr:uid="{00000000-0005-0000-0000-00005C030000}"/>
    <cellStyle name="40% - Accent3 8 2" xfId="11413" xr:uid="{00000000-0005-0000-0000-00005D030000}"/>
    <cellStyle name="40% - Accent3 8 2 2" xfId="28210" xr:uid="{00000000-0005-0000-0000-00005E030000}"/>
    <cellStyle name="40% - Accent3 8 3" xfId="19886" xr:uid="{00000000-0005-0000-0000-00005F030000}"/>
    <cellStyle name="40% - Accent3 9" xfId="11305" xr:uid="{00000000-0005-0000-0000-000060030000}"/>
    <cellStyle name="40% - Accent3 9 2" xfId="28166" xr:uid="{00000000-0005-0000-0000-000061030000}"/>
    <cellStyle name="40% - Accent4" xfId="420" builtinId="43" customBuiltin="1"/>
    <cellStyle name="40% - Accent4 10" xfId="19640" xr:uid="{00000000-0005-0000-0000-000063030000}"/>
    <cellStyle name="40% - Accent4 2" xfId="131" xr:uid="{00000000-0005-0000-0000-000064030000}"/>
    <cellStyle name="40% - Accent4 2 2" xfId="132" xr:uid="{00000000-0005-0000-0000-000065030000}"/>
    <cellStyle name="40% - Accent4 2 2 2" xfId="2052" xr:uid="{00000000-0005-0000-0000-000066030000}"/>
    <cellStyle name="40% - Accent4 2 2 2 2" xfId="2051" xr:uid="{00000000-0005-0000-0000-000067030000}"/>
    <cellStyle name="40% - Accent4 2 2 2 2 2" xfId="11411" xr:uid="{00000000-0005-0000-0000-000068030000}"/>
    <cellStyle name="40% - Accent4 2 2 2 2 2 2" xfId="28206" xr:uid="{00000000-0005-0000-0000-000069030000}"/>
    <cellStyle name="40% - Accent4 2 2 2 2 3" xfId="19883" xr:uid="{00000000-0005-0000-0000-00006A030000}"/>
    <cellStyle name="40% - Accent4 2 2 2 3" xfId="11412" xr:uid="{00000000-0005-0000-0000-00006B030000}"/>
    <cellStyle name="40% - Accent4 2 2 2 3 2" xfId="28207" xr:uid="{00000000-0005-0000-0000-00006C030000}"/>
    <cellStyle name="40% - Accent4 2 2 2 4" xfId="19884" xr:uid="{00000000-0005-0000-0000-00006D030000}"/>
    <cellStyle name="40% - Accent4 2 2 3" xfId="2050" xr:uid="{00000000-0005-0000-0000-00006E030000}"/>
    <cellStyle name="40% - Accent4 2 2 3 2" xfId="11410" xr:uid="{00000000-0005-0000-0000-00006F030000}"/>
    <cellStyle name="40% - Accent4 2 2 3 2 2" xfId="28205" xr:uid="{00000000-0005-0000-0000-000070030000}"/>
    <cellStyle name="40% - Accent4 2 2 3 3" xfId="19882" xr:uid="{00000000-0005-0000-0000-000071030000}"/>
    <cellStyle name="40% - Accent4 2 2 4" xfId="2053" xr:uid="{00000000-0005-0000-0000-000072030000}"/>
    <cellStyle name="40% - Accent4 2 2 4 2" xfId="28208" xr:uid="{00000000-0005-0000-0000-000073030000}"/>
    <cellStyle name="40% - Accent4 2 2 5" xfId="19885" xr:uid="{00000000-0005-0000-0000-000074030000}"/>
    <cellStyle name="40% - Accent4 2 3" xfId="2049" xr:uid="{00000000-0005-0000-0000-000075030000}"/>
    <cellStyle name="40% - Accent4 2 3 2" xfId="2048" xr:uid="{00000000-0005-0000-0000-000076030000}"/>
    <cellStyle name="40% - Accent4 2 3 2 2" xfId="11408" xr:uid="{00000000-0005-0000-0000-000077030000}"/>
    <cellStyle name="40% - Accent4 2 3 2 2 2" xfId="28203" xr:uid="{00000000-0005-0000-0000-000078030000}"/>
    <cellStyle name="40% - Accent4 2 3 2 3" xfId="19880" xr:uid="{00000000-0005-0000-0000-000079030000}"/>
    <cellStyle name="40% - Accent4 2 3 3" xfId="11409" xr:uid="{00000000-0005-0000-0000-00007A030000}"/>
    <cellStyle name="40% - Accent4 2 3 3 2" xfId="28204" xr:uid="{00000000-0005-0000-0000-00007B030000}"/>
    <cellStyle name="40% - Accent4 2 3 4" xfId="19881" xr:uid="{00000000-0005-0000-0000-00007C030000}"/>
    <cellStyle name="40% - Accent4 2 4" xfId="2047" xr:uid="{00000000-0005-0000-0000-00007D030000}"/>
    <cellStyle name="40% - Accent4 2 4 2" xfId="11407" xr:uid="{00000000-0005-0000-0000-00007E030000}"/>
    <cellStyle name="40% - Accent4 2 4 2 2" xfId="28202" xr:uid="{00000000-0005-0000-0000-00007F030000}"/>
    <cellStyle name="40% - Accent4 2 4 3" xfId="19879" xr:uid="{00000000-0005-0000-0000-000080030000}"/>
    <cellStyle name="40% - Accent4 2 5" xfId="10900" xr:uid="{00000000-0005-0000-0000-000081030000}"/>
    <cellStyle name="40% - Accent4 2 5 2" xfId="28209" xr:uid="{00000000-0005-0000-0000-000082030000}"/>
    <cellStyle name="40% - Accent4 2 6" xfId="2054" xr:uid="{00000000-0005-0000-0000-000083030000}"/>
    <cellStyle name="40% - Accent4 3" xfId="133" xr:uid="{00000000-0005-0000-0000-000084030000}"/>
    <cellStyle name="40% - Accent4 3 2" xfId="134" xr:uid="{00000000-0005-0000-0000-000085030000}"/>
    <cellStyle name="40% - Accent4 3 2 2" xfId="2046" xr:uid="{00000000-0005-0000-0000-000086030000}"/>
    <cellStyle name="40% - Accent4 3 2 2 2" xfId="11404" xr:uid="{00000000-0005-0000-0000-000087030000}"/>
    <cellStyle name="40% - Accent4 3 2 2 2 2" xfId="28199" xr:uid="{00000000-0005-0000-0000-000088030000}"/>
    <cellStyle name="40% - Accent4 3 2 2 3" xfId="19876" xr:uid="{00000000-0005-0000-0000-000089030000}"/>
    <cellStyle name="40% - Accent4 3 2 3" xfId="11405" xr:uid="{00000000-0005-0000-0000-00008A030000}"/>
    <cellStyle name="40% - Accent4 3 2 3 2" xfId="28200" xr:uid="{00000000-0005-0000-0000-00008B030000}"/>
    <cellStyle name="40% - Accent4 3 2 4" xfId="19877" xr:uid="{00000000-0005-0000-0000-00008C030000}"/>
    <cellStyle name="40% - Accent4 3 3" xfId="2045" xr:uid="{00000000-0005-0000-0000-00008D030000}"/>
    <cellStyle name="40% - Accent4 3 3 2" xfId="11403" xr:uid="{00000000-0005-0000-0000-00008E030000}"/>
    <cellStyle name="40% - Accent4 3 3 2 2" xfId="28198" xr:uid="{00000000-0005-0000-0000-00008F030000}"/>
    <cellStyle name="40% - Accent4 3 3 3" xfId="19875" xr:uid="{00000000-0005-0000-0000-000090030000}"/>
    <cellStyle name="40% - Accent4 3 4" xfId="11406" xr:uid="{00000000-0005-0000-0000-000091030000}"/>
    <cellStyle name="40% - Accent4 3 4 2" xfId="28201" xr:uid="{00000000-0005-0000-0000-000092030000}"/>
    <cellStyle name="40% - Accent4 3 5" xfId="19878" xr:uid="{00000000-0005-0000-0000-000093030000}"/>
    <cellStyle name="40% - Accent4 4" xfId="135" xr:uid="{00000000-0005-0000-0000-000094030000}"/>
    <cellStyle name="40% - Accent4 4 2" xfId="2090" xr:uid="{00000000-0005-0000-0000-000095030000}"/>
    <cellStyle name="40% - Accent4 4 2 2" xfId="11507" xr:uid="{00000000-0005-0000-0000-000096030000}"/>
    <cellStyle name="40% - Accent4 4 2 2 2" xfId="28241" xr:uid="{00000000-0005-0000-0000-000097030000}"/>
    <cellStyle name="40% - Accent4 4 2 3" xfId="19977" xr:uid="{00000000-0005-0000-0000-000098030000}"/>
    <cellStyle name="40% - Accent4 4 3" xfId="11402" xr:uid="{00000000-0005-0000-0000-000099030000}"/>
    <cellStyle name="40% - Accent4 4 3 2" xfId="28197" xr:uid="{00000000-0005-0000-0000-00009A030000}"/>
    <cellStyle name="40% - Accent4 4 4" xfId="19874" xr:uid="{00000000-0005-0000-0000-00009B030000}"/>
    <cellStyle name="40% - Accent4 5" xfId="508" xr:uid="{00000000-0005-0000-0000-00009C030000}"/>
    <cellStyle name="40% - Accent4 5 2" xfId="2096" xr:uid="{00000000-0005-0000-0000-00009D030000}"/>
    <cellStyle name="40% - Accent4 5 2 2" xfId="11539" xr:uid="{00000000-0005-0000-0000-00009E030000}"/>
    <cellStyle name="40% - Accent4 5 2 2 2" xfId="28244" xr:uid="{00000000-0005-0000-0000-00009F030000}"/>
    <cellStyle name="40% - Accent4 5 2 3" xfId="20008" xr:uid="{00000000-0005-0000-0000-0000A0030000}"/>
    <cellStyle name="40% - Accent4 5 3" xfId="2044" xr:uid="{00000000-0005-0000-0000-0000A1030000}"/>
    <cellStyle name="40% - Accent4 5 3 2" xfId="28196" xr:uid="{00000000-0005-0000-0000-0000A2030000}"/>
    <cellStyle name="40% - Accent4 5 4" xfId="19873" xr:uid="{00000000-0005-0000-0000-0000A3030000}"/>
    <cellStyle name="40% - Accent4 6" xfId="2043" xr:uid="{00000000-0005-0000-0000-0000A4030000}"/>
    <cellStyle name="40% - Accent4 6 2" xfId="11401" xr:uid="{00000000-0005-0000-0000-0000A5030000}"/>
    <cellStyle name="40% - Accent4 6 2 2" xfId="28195" xr:uid="{00000000-0005-0000-0000-0000A6030000}"/>
    <cellStyle name="40% - Accent4 6 3" xfId="19872" xr:uid="{00000000-0005-0000-0000-0000A7030000}"/>
    <cellStyle name="40% - Accent4 7" xfId="2102" xr:uid="{00000000-0005-0000-0000-0000A8030000}"/>
    <cellStyle name="40% - Accent4 7 2" xfId="11572" xr:uid="{00000000-0005-0000-0000-0000A9030000}"/>
    <cellStyle name="40% - Accent4 7 2 2" xfId="28248" xr:uid="{00000000-0005-0000-0000-0000AA030000}"/>
    <cellStyle name="40% - Accent4 7 3" xfId="20039" xr:uid="{00000000-0005-0000-0000-0000AB030000}"/>
    <cellStyle name="40% - Accent4 8" xfId="2042" xr:uid="{00000000-0005-0000-0000-0000AC030000}"/>
    <cellStyle name="40% - Accent4 8 2" xfId="11400" xr:uid="{00000000-0005-0000-0000-0000AD030000}"/>
    <cellStyle name="40% - Accent4 8 2 2" xfId="28194" xr:uid="{00000000-0005-0000-0000-0000AE030000}"/>
    <cellStyle name="40% - Accent4 8 3" xfId="19871" xr:uid="{00000000-0005-0000-0000-0000AF030000}"/>
    <cellStyle name="40% - Accent4 9" xfId="11307" xr:uid="{00000000-0005-0000-0000-0000B0030000}"/>
    <cellStyle name="40% - Accent4 9 2" xfId="28168" xr:uid="{00000000-0005-0000-0000-0000B1030000}"/>
    <cellStyle name="40% - Accent5" xfId="424" builtinId="47" customBuiltin="1"/>
    <cellStyle name="40% - Accent5 10" xfId="19642" xr:uid="{00000000-0005-0000-0000-0000B3030000}"/>
    <cellStyle name="40% - Accent5 2" xfId="136" xr:uid="{00000000-0005-0000-0000-0000B4030000}"/>
    <cellStyle name="40% - Accent5 2 2" xfId="2041" xr:uid="{00000000-0005-0000-0000-0000B5030000}"/>
    <cellStyle name="40% - Accent5 2 2 2" xfId="2118" xr:uid="{00000000-0005-0000-0000-0000B6030000}"/>
    <cellStyle name="40% - Accent5 2 2 2 2" xfId="2040" xr:uid="{00000000-0005-0000-0000-0000B7030000}"/>
    <cellStyle name="40% - Accent5 2 2 2 2 2" xfId="11398" xr:uid="{00000000-0005-0000-0000-0000B8030000}"/>
    <cellStyle name="40% - Accent5 2 2 2 2 2 2" xfId="28192" xr:uid="{00000000-0005-0000-0000-0000B9030000}"/>
    <cellStyle name="40% - Accent5 2 2 2 2 3" xfId="19869" xr:uid="{00000000-0005-0000-0000-0000BA030000}"/>
    <cellStyle name="40% - Accent5 2 2 2 3" xfId="11635" xr:uid="{00000000-0005-0000-0000-0000BB030000}"/>
    <cellStyle name="40% - Accent5 2 2 2 3 2" xfId="28257" xr:uid="{00000000-0005-0000-0000-0000BC030000}"/>
    <cellStyle name="40% - Accent5 2 2 2 4" xfId="20099" xr:uid="{00000000-0005-0000-0000-0000BD030000}"/>
    <cellStyle name="40% - Accent5 2 2 3" xfId="2124" xr:uid="{00000000-0005-0000-0000-0000BE030000}"/>
    <cellStyle name="40% - Accent5 2 2 3 2" xfId="11667" xr:uid="{00000000-0005-0000-0000-0000BF030000}"/>
    <cellStyle name="40% - Accent5 2 2 3 2 2" xfId="28261" xr:uid="{00000000-0005-0000-0000-0000C0030000}"/>
    <cellStyle name="40% - Accent5 2 2 3 3" xfId="20129" xr:uid="{00000000-0005-0000-0000-0000C1030000}"/>
    <cellStyle name="40% - Accent5 2 2 4" xfId="11399" xr:uid="{00000000-0005-0000-0000-0000C2030000}"/>
    <cellStyle name="40% - Accent5 2 2 4 2" xfId="28193" xr:uid="{00000000-0005-0000-0000-0000C3030000}"/>
    <cellStyle name="40% - Accent5 2 2 5" xfId="19870" xr:uid="{00000000-0005-0000-0000-0000C4030000}"/>
    <cellStyle name="40% - Accent5 2 3" xfId="2039" xr:uid="{00000000-0005-0000-0000-0000C5030000}"/>
    <cellStyle name="40% - Accent5 2 3 2" xfId="2132" xr:uid="{00000000-0005-0000-0000-0000C6030000}"/>
    <cellStyle name="40% - Accent5 2 3 2 2" xfId="11697" xr:uid="{00000000-0005-0000-0000-0000C7030000}"/>
    <cellStyle name="40% - Accent5 2 3 2 2 2" xfId="28265" xr:uid="{00000000-0005-0000-0000-0000C8030000}"/>
    <cellStyle name="40% - Accent5 2 3 2 3" xfId="20157" xr:uid="{00000000-0005-0000-0000-0000C9030000}"/>
    <cellStyle name="40% - Accent5 2 3 3" xfId="11397" xr:uid="{00000000-0005-0000-0000-0000CA030000}"/>
    <cellStyle name="40% - Accent5 2 3 3 2" xfId="28191" xr:uid="{00000000-0005-0000-0000-0000CB030000}"/>
    <cellStyle name="40% - Accent5 2 3 4" xfId="19868" xr:uid="{00000000-0005-0000-0000-0000CC030000}"/>
    <cellStyle name="40% - Accent5 2 4" xfId="2038" xr:uid="{00000000-0005-0000-0000-0000CD030000}"/>
    <cellStyle name="40% - Accent5 2 4 2" xfId="11396" xr:uid="{00000000-0005-0000-0000-0000CE030000}"/>
    <cellStyle name="40% - Accent5 2 4 2 2" xfId="28190" xr:uid="{00000000-0005-0000-0000-0000CF030000}"/>
    <cellStyle name="40% - Accent5 2 4 3" xfId="19867" xr:uid="{00000000-0005-0000-0000-0000D0030000}"/>
    <cellStyle name="40% - Accent5 2 5" xfId="10901" xr:uid="{00000000-0005-0000-0000-0000D1030000}"/>
    <cellStyle name="40% - Accent5 2 5 2" xfId="28253" xr:uid="{00000000-0005-0000-0000-0000D2030000}"/>
    <cellStyle name="40% - Accent5 2 6" xfId="2110" xr:uid="{00000000-0005-0000-0000-0000D3030000}"/>
    <cellStyle name="40% - Accent5 3" xfId="137" xr:uid="{00000000-0005-0000-0000-0000D4030000}"/>
    <cellStyle name="40% - Accent5 3 2" xfId="138" xr:uid="{00000000-0005-0000-0000-0000D5030000}"/>
    <cellStyle name="40% - Accent5 3 2 2" xfId="2148" xr:uid="{00000000-0005-0000-0000-0000D6030000}"/>
    <cellStyle name="40% - Accent5 3 2 2 2" xfId="11757" xr:uid="{00000000-0005-0000-0000-0000D7030000}"/>
    <cellStyle name="40% - Accent5 3 2 2 2 2" xfId="28277" xr:uid="{00000000-0005-0000-0000-0000D8030000}"/>
    <cellStyle name="40% - Accent5 3 2 2 3" xfId="20217" xr:uid="{00000000-0005-0000-0000-0000D9030000}"/>
    <cellStyle name="40% - Accent5 3 2 3" xfId="11395" xr:uid="{00000000-0005-0000-0000-0000DA030000}"/>
    <cellStyle name="40% - Accent5 3 2 3 2" xfId="28189" xr:uid="{00000000-0005-0000-0000-0000DB030000}"/>
    <cellStyle name="40% - Accent5 3 2 4" xfId="19866" xr:uid="{00000000-0005-0000-0000-0000DC030000}"/>
    <cellStyle name="40% - Accent5 3 3" xfId="2037" xr:uid="{00000000-0005-0000-0000-0000DD030000}"/>
    <cellStyle name="40% - Accent5 3 3 2" xfId="11394" xr:uid="{00000000-0005-0000-0000-0000DE030000}"/>
    <cellStyle name="40% - Accent5 3 3 2 2" xfId="28188" xr:uid="{00000000-0005-0000-0000-0000DF030000}"/>
    <cellStyle name="40% - Accent5 3 3 3" xfId="19865" xr:uid="{00000000-0005-0000-0000-0000E0030000}"/>
    <cellStyle name="40% - Accent5 3 4" xfId="11727" xr:uid="{00000000-0005-0000-0000-0000E1030000}"/>
    <cellStyle name="40% - Accent5 3 4 2" xfId="28270" xr:uid="{00000000-0005-0000-0000-0000E2030000}"/>
    <cellStyle name="40% - Accent5 3 5" xfId="20186" xr:uid="{00000000-0005-0000-0000-0000E3030000}"/>
    <cellStyle name="40% - Accent5 4" xfId="139" xr:uid="{00000000-0005-0000-0000-0000E4030000}"/>
    <cellStyle name="40% - Accent5 4 2" xfId="2085" xr:uid="{00000000-0005-0000-0000-0000E5030000}"/>
    <cellStyle name="40% - Accent5 4 2 2" xfId="11472" xr:uid="{00000000-0005-0000-0000-0000E6030000}"/>
    <cellStyle name="40% - Accent5 4 2 2 2" xfId="28238" xr:uid="{00000000-0005-0000-0000-0000E7030000}"/>
    <cellStyle name="40% - Accent5 4 2 3" xfId="19943" xr:uid="{00000000-0005-0000-0000-0000E8030000}"/>
    <cellStyle name="40% - Accent5 4 3" xfId="11789" xr:uid="{00000000-0005-0000-0000-0000E9030000}"/>
    <cellStyle name="40% - Accent5 4 3 2" xfId="28285" xr:uid="{00000000-0005-0000-0000-0000EA030000}"/>
    <cellStyle name="40% - Accent5 4 4" xfId="20249" xr:uid="{00000000-0005-0000-0000-0000EB030000}"/>
    <cellStyle name="40% - Accent5 5" xfId="509" xr:uid="{00000000-0005-0000-0000-0000EC030000}"/>
    <cellStyle name="40% - Accent5 5 2" xfId="2101" xr:uid="{00000000-0005-0000-0000-0000ED030000}"/>
    <cellStyle name="40% - Accent5 5 2 2" xfId="11559" xr:uid="{00000000-0005-0000-0000-0000EE030000}"/>
    <cellStyle name="40% - Accent5 5 2 2 2" xfId="28247" xr:uid="{00000000-0005-0000-0000-0000EF030000}"/>
    <cellStyle name="40% - Accent5 5 2 3" xfId="20026" xr:uid="{00000000-0005-0000-0000-0000F0030000}"/>
    <cellStyle name="40% - Accent5 5 3" xfId="2095" xr:uid="{00000000-0005-0000-0000-0000F1030000}"/>
    <cellStyle name="40% - Accent5 5 3 2" xfId="28243" xr:uid="{00000000-0005-0000-0000-0000F2030000}"/>
    <cellStyle name="40% - Accent5 5 4" xfId="19994" xr:uid="{00000000-0005-0000-0000-0000F3030000}"/>
    <cellStyle name="40% - Accent5 6" xfId="2108" xr:uid="{00000000-0005-0000-0000-0000F4030000}"/>
    <cellStyle name="40% - Accent5 6 2" xfId="11591" xr:uid="{00000000-0005-0000-0000-0000F5030000}"/>
    <cellStyle name="40% - Accent5 6 2 2" xfId="28252" xr:uid="{00000000-0005-0000-0000-0000F6030000}"/>
    <cellStyle name="40% - Accent5 6 3" xfId="20057" xr:uid="{00000000-0005-0000-0000-0000F7030000}"/>
    <cellStyle name="40% - Accent5 7" xfId="2116" xr:uid="{00000000-0005-0000-0000-0000F8030000}"/>
    <cellStyle name="40% - Accent5 7 2" xfId="11622" xr:uid="{00000000-0005-0000-0000-0000F9030000}"/>
    <cellStyle name="40% - Accent5 7 2 2" xfId="28256" xr:uid="{00000000-0005-0000-0000-0000FA030000}"/>
    <cellStyle name="40% - Accent5 7 3" xfId="20086" xr:uid="{00000000-0005-0000-0000-0000FB030000}"/>
    <cellStyle name="40% - Accent5 8" xfId="2123" xr:uid="{00000000-0005-0000-0000-0000FC030000}"/>
    <cellStyle name="40% - Accent5 8 2" xfId="11654" xr:uid="{00000000-0005-0000-0000-0000FD030000}"/>
    <cellStyle name="40% - Accent5 8 2 2" xfId="28260" xr:uid="{00000000-0005-0000-0000-0000FE030000}"/>
    <cellStyle name="40% - Accent5 8 3" xfId="20116" xr:uid="{00000000-0005-0000-0000-0000FF030000}"/>
    <cellStyle name="40% - Accent5 9" xfId="11309" xr:uid="{00000000-0005-0000-0000-000000040000}"/>
    <cellStyle name="40% - Accent5 9 2" xfId="28170" xr:uid="{00000000-0005-0000-0000-000001040000}"/>
    <cellStyle name="40% - Accent6" xfId="428" builtinId="51" customBuiltin="1"/>
    <cellStyle name="40% - Accent6 10" xfId="19644" xr:uid="{00000000-0005-0000-0000-000003040000}"/>
    <cellStyle name="40% - Accent6 2" xfId="140" xr:uid="{00000000-0005-0000-0000-000004040000}"/>
    <cellStyle name="40% - Accent6 2 2" xfId="141" xr:uid="{00000000-0005-0000-0000-000005040000}"/>
    <cellStyle name="40% - Accent6 2 2 2" xfId="2146" xr:uid="{00000000-0005-0000-0000-000006040000}"/>
    <cellStyle name="40% - Accent6 2 2 2 2" xfId="2152" xr:uid="{00000000-0005-0000-0000-000007040000}"/>
    <cellStyle name="40% - Accent6 2 2 2 2 2" xfId="11775" xr:uid="{00000000-0005-0000-0000-000008040000}"/>
    <cellStyle name="40% - Accent6 2 2 2 2 2 2" xfId="28283" xr:uid="{00000000-0005-0000-0000-000009040000}"/>
    <cellStyle name="40% - Accent6 2 2 2 2 3" xfId="20235" xr:uid="{00000000-0005-0000-0000-00000A040000}"/>
    <cellStyle name="40% - Accent6 2 2 2 3" xfId="11744" xr:uid="{00000000-0005-0000-0000-00000B040000}"/>
    <cellStyle name="40% - Accent6 2 2 2 3 2" xfId="28275" xr:uid="{00000000-0005-0000-0000-00000C040000}"/>
    <cellStyle name="40% - Accent6 2 2 2 4" xfId="20203" xr:uid="{00000000-0005-0000-0000-00000D040000}"/>
    <cellStyle name="40% - Accent6 2 2 3" xfId="2036" xr:uid="{00000000-0005-0000-0000-00000E040000}"/>
    <cellStyle name="40% - Accent6 2 2 3 2" xfId="11393" xr:uid="{00000000-0005-0000-0000-00000F040000}"/>
    <cellStyle name="40% - Accent6 2 2 3 2 2" xfId="28187" xr:uid="{00000000-0005-0000-0000-000010040000}"/>
    <cellStyle name="40% - Accent6 2 2 3 3" xfId="19864" xr:uid="{00000000-0005-0000-0000-000011040000}"/>
    <cellStyle name="40% - Accent6 2 2 4" xfId="2139" xr:uid="{00000000-0005-0000-0000-000012040000}"/>
    <cellStyle name="40% - Accent6 2 2 4 2" xfId="28268" xr:uid="{00000000-0005-0000-0000-000013040000}"/>
    <cellStyle name="40% - Accent6 2 2 5" xfId="20172" xr:uid="{00000000-0005-0000-0000-000014040000}"/>
    <cellStyle name="40% - Accent6 2 3" xfId="2035" xr:uid="{00000000-0005-0000-0000-000015040000}"/>
    <cellStyle name="40% - Accent6 2 3 2" xfId="2034" xr:uid="{00000000-0005-0000-0000-000016040000}"/>
    <cellStyle name="40% - Accent6 2 3 2 2" xfId="11391" xr:uid="{00000000-0005-0000-0000-000017040000}"/>
    <cellStyle name="40% - Accent6 2 3 2 2 2" xfId="28185" xr:uid="{00000000-0005-0000-0000-000018040000}"/>
    <cellStyle name="40% - Accent6 2 3 2 3" xfId="19862" xr:uid="{00000000-0005-0000-0000-000019040000}"/>
    <cellStyle name="40% - Accent6 2 3 3" xfId="11392" xr:uid="{00000000-0005-0000-0000-00001A040000}"/>
    <cellStyle name="40% - Accent6 2 3 3 2" xfId="28186" xr:uid="{00000000-0005-0000-0000-00001B040000}"/>
    <cellStyle name="40% - Accent6 2 3 4" xfId="19863" xr:uid="{00000000-0005-0000-0000-00001C040000}"/>
    <cellStyle name="40% - Accent6 2 4" xfId="2155" xr:uid="{00000000-0005-0000-0000-00001D040000}"/>
    <cellStyle name="40% - Accent6 2 4 2" xfId="11790" xr:uid="{00000000-0005-0000-0000-00001E040000}"/>
    <cellStyle name="40% - Accent6 2 4 2 2" xfId="28286" xr:uid="{00000000-0005-0000-0000-00001F040000}"/>
    <cellStyle name="40% - Accent6 2 4 3" xfId="20250" xr:uid="{00000000-0005-0000-0000-000020040000}"/>
    <cellStyle name="40% - Accent6 2 5" xfId="10902" xr:uid="{00000000-0005-0000-0000-000021040000}"/>
    <cellStyle name="40% - Accent6 2 5 2" xfId="28263" xr:uid="{00000000-0005-0000-0000-000022040000}"/>
    <cellStyle name="40% - Accent6 2 6" xfId="2129" xr:uid="{00000000-0005-0000-0000-000023040000}"/>
    <cellStyle name="40% - Accent6 3" xfId="142" xr:uid="{00000000-0005-0000-0000-000024040000}"/>
    <cellStyle name="40% - Accent6 3 2" xfId="143" xr:uid="{00000000-0005-0000-0000-000025040000}"/>
    <cellStyle name="40% - Accent6 3 2 2" xfId="2134" xr:uid="{00000000-0005-0000-0000-000026040000}"/>
    <cellStyle name="40% - Accent6 3 2 2 2" xfId="11699" xr:uid="{00000000-0005-0000-0000-000027040000}"/>
    <cellStyle name="40% - Accent6 3 2 2 2 2" xfId="28266" xr:uid="{00000000-0005-0000-0000-000028040000}"/>
    <cellStyle name="40% - Accent6 3 2 2 3" xfId="20158" xr:uid="{00000000-0005-0000-0000-000029040000}"/>
    <cellStyle name="40% - Accent6 3 2 3" xfId="11729" xr:uid="{00000000-0005-0000-0000-00002A040000}"/>
    <cellStyle name="40% - Accent6 3 2 3 2" xfId="28271" xr:uid="{00000000-0005-0000-0000-00002B040000}"/>
    <cellStyle name="40% - Accent6 3 2 4" xfId="20187" xr:uid="{00000000-0005-0000-0000-00002C040000}"/>
    <cellStyle name="40% - Accent6 3 3" xfId="2126" xr:uid="{00000000-0005-0000-0000-00002D040000}"/>
    <cellStyle name="40% - Accent6 3 3 2" xfId="11670" xr:uid="{00000000-0005-0000-0000-00002E040000}"/>
    <cellStyle name="40% - Accent6 3 3 2 2" xfId="28262" xr:uid="{00000000-0005-0000-0000-00002F040000}"/>
    <cellStyle name="40% - Accent6 3 3 3" xfId="20131" xr:uid="{00000000-0005-0000-0000-000030040000}"/>
    <cellStyle name="40% - Accent6 3 4" xfId="11759" xr:uid="{00000000-0005-0000-0000-000031040000}"/>
    <cellStyle name="40% - Accent6 3 4 2" xfId="28279" xr:uid="{00000000-0005-0000-0000-000032040000}"/>
    <cellStyle name="40% - Accent6 3 5" xfId="20219" xr:uid="{00000000-0005-0000-0000-000033040000}"/>
    <cellStyle name="40% - Accent6 4" xfId="144" xr:uid="{00000000-0005-0000-0000-000034040000}"/>
    <cellStyle name="40% - Accent6 4 2" xfId="2112" xr:uid="{00000000-0005-0000-0000-000035040000}"/>
    <cellStyle name="40% - Accent6 4 2 2" xfId="11606" xr:uid="{00000000-0005-0000-0000-000036040000}"/>
    <cellStyle name="40% - Accent6 4 2 2 2" xfId="28254" xr:uid="{00000000-0005-0000-0000-000037040000}"/>
    <cellStyle name="40% - Accent6 4 2 3" xfId="20071" xr:uid="{00000000-0005-0000-0000-000038040000}"/>
    <cellStyle name="40% - Accent6 4 3" xfId="11638" xr:uid="{00000000-0005-0000-0000-000039040000}"/>
    <cellStyle name="40% - Accent6 4 3 2" xfId="28258" xr:uid="{00000000-0005-0000-0000-00003A040000}"/>
    <cellStyle name="40% - Accent6 4 4" xfId="20101" xr:uid="{00000000-0005-0000-0000-00003B040000}"/>
    <cellStyle name="40% - Accent6 5" xfId="510" xr:uid="{00000000-0005-0000-0000-00003C040000}"/>
    <cellStyle name="40% - Accent6 5 2" xfId="2098" xr:uid="{00000000-0005-0000-0000-00003D040000}"/>
    <cellStyle name="40% - Accent6 5 2 2" xfId="11542" xr:uid="{00000000-0005-0000-0000-00003E040000}"/>
    <cellStyle name="40% - Accent6 5 2 2 2" xfId="28245" xr:uid="{00000000-0005-0000-0000-00003F040000}"/>
    <cellStyle name="40% - Accent6 5 2 3" xfId="20010" xr:uid="{00000000-0005-0000-0000-000040040000}"/>
    <cellStyle name="40% - Accent6 5 3" xfId="2104" xr:uid="{00000000-0005-0000-0000-000041040000}"/>
    <cellStyle name="40% - Accent6 5 3 2" xfId="28249" xr:uid="{00000000-0005-0000-0000-000042040000}"/>
    <cellStyle name="40% - Accent6 5 4" xfId="20041" xr:uid="{00000000-0005-0000-0000-000043040000}"/>
    <cellStyle name="40% - Accent6 6" xfId="2092" xr:uid="{00000000-0005-0000-0000-000044040000}"/>
    <cellStyle name="40% - Accent6 6 2" xfId="11510" xr:uid="{00000000-0005-0000-0000-000045040000}"/>
    <cellStyle name="40% - Accent6 6 2 2" xfId="28242" xr:uid="{00000000-0005-0000-0000-000046040000}"/>
    <cellStyle name="40% - Accent6 6 3" xfId="19979" xr:uid="{00000000-0005-0000-0000-000047040000}"/>
    <cellStyle name="40% - Accent6 7" xfId="2033" xr:uid="{00000000-0005-0000-0000-000048040000}"/>
    <cellStyle name="40% - Accent6 7 2" xfId="11390" xr:uid="{00000000-0005-0000-0000-000049040000}"/>
    <cellStyle name="40% - Accent6 7 2 2" xfId="28184" xr:uid="{00000000-0005-0000-0000-00004A040000}"/>
    <cellStyle name="40% - Accent6 7 3" xfId="19861" xr:uid="{00000000-0005-0000-0000-00004B040000}"/>
    <cellStyle name="40% - Accent6 8" xfId="2150" xr:uid="{00000000-0005-0000-0000-00004C040000}"/>
    <cellStyle name="40% - Accent6 8 2" xfId="11772" xr:uid="{00000000-0005-0000-0000-00004D040000}"/>
    <cellStyle name="40% - Accent6 8 2 2" xfId="28280" xr:uid="{00000000-0005-0000-0000-00004E040000}"/>
    <cellStyle name="40% - Accent6 8 3" xfId="20232" xr:uid="{00000000-0005-0000-0000-00004F040000}"/>
    <cellStyle name="40% - Accent6 9" xfId="11311" xr:uid="{00000000-0005-0000-0000-000050040000}"/>
    <cellStyle name="40% - Accent6 9 2" xfId="28172" xr:uid="{00000000-0005-0000-0000-000051040000}"/>
    <cellStyle name="40% - Ênfase1" xfId="1820" xr:uid="{00000000-0005-0000-0000-000052040000}"/>
    <cellStyle name="40% - Ênfase2" xfId="1821" xr:uid="{00000000-0005-0000-0000-000053040000}"/>
    <cellStyle name="40% - Ênfase3" xfId="1822" xr:uid="{00000000-0005-0000-0000-000054040000}"/>
    <cellStyle name="40% - Ênfase4" xfId="1823" xr:uid="{00000000-0005-0000-0000-000055040000}"/>
    <cellStyle name="40% - Ênfase5" xfId="1824" xr:uid="{00000000-0005-0000-0000-000056040000}"/>
    <cellStyle name="40% - Ênfase6" xfId="1825" xr:uid="{00000000-0005-0000-0000-000057040000}"/>
    <cellStyle name="40% - Énfasis1" xfId="1826" xr:uid="{00000000-0005-0000-0000-000058040000}"/>
    <cellStyle name="40% - Énfasis2" xfId="1827" xr:uid="{00000000-0005-0000-0000-000059040000}"/>
    <cellStyle name="40% - Énfasis3" xfId="1828" xr:uid="{00000000-0005-0000-0000-00005A040000}"/>
    <cellStyle name="40% - Énfasis4" xfId="1829" xr:uid="{00000000-0005-0000-0000-00005B040000}"/>
    <cellStyle name="40% - Énfasis5" xfId="1830" xr:uid="{00000000-0005-0000-0000-00005C040000}"/>
    <cellStyle name="40% - Énfasis6" xfId="1831" xr:uid="{00000000-0005-0000-0000-00005D040000}"/>
    <cellStyle name="60% - Accent1" xfId="409" builtinId="32" customBuiltin="1"/>
    <cellStyle name="60% - Accent1 2" xfId="145" xr:uid="{00000000-0005-0000-0000-00005F040000}"/>
    <cellStyle name="60% - Accent1 2 2" xfId="146" xr:uid="{00000000-0005-0000-0000-000060040000}"/>
    <cellStyle name="60% - Accent1 3" xfId="511" xr:uid="{00000000-0005-0000-0000-000061040000}"/>
    <cellStyle name="60% - Accent2" xfId="413" builtinId="36" customBuiltin="1"/>
    <cellStyle name="60% - Accent2 2" xfId="147" xr:uid="{00000000-0005-0000-0000-000063040000}"/>
    <cellStyle name="60% - Accent2 3" xfId="512" xr:uid="{00000000-0005-0000-0000-000064040000}"/>
    <cellStyle name="60% - Accent3" xfId="417" builtinId="40" customBuiltin="1"/>
    <cellStyle name="60% - Accent3 2" xfId="148" xr:uid="{00000000-0005-0000-0000-000066040000}"/>
    <cellStyle name="60% - Accent3 2 2" xfId="149" xr:uid="{00000000-0005-0000-0000-000067040000}"/>
    <cellStyle name="60% - Accent3 3" xfId="513" xr:uid="{00000000-0005-0000-0000-000068040000}"/>
    <cellStyle name="60% - Accent4" xfId="421" builtinId="44" customBuiltin="1"/>
    <cellStyle name="60% - Accent4 2" xfId="150" xr:uid="{00000000-0005-0000-0000-00006A040000}"/>
    <cellStyle name="60% - Accent4 2 2" xfId="151" xr:uid="{00000000-0005-0000-0000-00006B040000}"/>
    <cellStyle name="60% - Accent4 3" xfId="514" xr:uid="{00000000-0005-0000-0000-00006C040000}"/>
    <cellStyle name="60% - Accent5" xfId="425" builtinId="48" customBuiltin="1"/>
    <cellStyle name="60% - Accent5 2" xfId="152" xr:uid="{00000000-0005-0000-0000-00006E040000}"/>
    <cellStyle name="60% - Accent5 2 2" xfId="153" xr:uid="{00000000-0005-0000-0000-00006F040000}"/>
    <cellStyle name="60% - Accent5 3" xfId="515" xr:uid="{00000000-0005-0000-0000-000070040000}"/>
    <cellStyle name="60% - Accent6" xfId="429" builtinId="52" customBuiltin="1"/>
    <cellStyle name="60% - Accent6 2" xfId="154" xr:uid="{00000000-0005-0000-0000-000072040000}"/>
    <cellStyle name="60% - Accent6 2 2" xfId="155" xr:uid="{00000000-0005-0000-0000-000073040000}"/>
    <cellStyle name="60% - Accent6 3" xfId="516" xr:uid="{00000000-0005-0000-0000-000074040000}"/>
    <cellStyle name="60% - Ênfase1" xfId="1832" xr:uid="{00000000-0005-0000-0000-000075040000}"/>
    <cellStyle name="60% - Ênfase2" xfId="1833" xr:uid="{00000000-0005-0000-0000-000076040000}"/>
    <cellStyle name="60% - Ênfase3" xfId="1834" xr:uid="{00000000-0005-0000-0000-000077040000}"/>
    <cellStyle name="60% - Ênfase4" xfId="1835" xr:uid="{00000000-0005-0000-0000-000078040000}"/>
    <cellStyle name="60% - Ênfase5" xfId="1836" xr:uid="{00000000-0005-0000-0000-000079040000}"/>
    <cellStyle name="60% - Ênfase6" xfId="1837" xr:uid="{00000000-0005-0000-0000-00007A040000}"/>
    <cellStyle name="60% - Énfasis1" xfId="1838" xr:uid="{00000000-0005-0000-0000-00007B040000}"/>
    <cellStyle name="60% - Énfasis2" xfId="1839" xr:uid="{00000000-0005-0000-0000-00007C040000}"/>
    <cellStyle name="60% - Énfasis3" xfId="1840" xr:uid="{00000000-0005-0000-0000-00007D040000}"/>
    <cellStyle name="60% - Énfasis4" xfId="1841" xr:uid="{00000000-0005-0000-0000-00007E040000}"/>
    <cellStyle name="60% - Énfasis5" xfId="1842" xr:uid="{00000000-0005-0000-0000-00007F040000}"/>
    <cellStyle name="60% - Énfasis6" xfId="1843" xr:uid="{00000000-0005-0000-0000-000080040000}"/>
    <cellStyle name="Accent1" xfId="406" builtinId="29" customBuiltin="1"/>
    <cellStyle name="Accent1 2" xfId="156" xr:uid="{00000000-0005-0000-0000-000082040000}"/>
    <cellStyle name="Accent1 2 2" xfId="157" xr:uid="{00000000-0005-0000-0000-000083040000}"/>
    <cellStyle name="Accent1 3" xfId="517" xr:uid="{00000000-0005-0000-0000-000084040000}"/>
    <cellStyle name="Accent2" xfId="410" builtinId="33" customBuiltin="1"/>
    <cellStyle name="Accent2 2" xfId="158" xr:uid="{00000000-0005-0000-0000-000086040000}"/>
    <cellStyle name="Accent2 3" xfId="518" xr:uid="{00000000-0005-0000-0000-000087040000}"/>
    <cellStyle name="Accent3" xfId="414" builtinId="37" customBuiltin="1"/>
    <cellStyle name="Accent3 2" xfId="159" xr:uid="{00000000-0005-0000-0000-000089040000}"/>
    <cellStyle name="Accent3 2 2" xfId="160" xr:uid="{00000000-0005-0000-0000-00008A040000}"/>
    <cellStyle name="Accent3 3" xfId="519" xr:uid="{00000000-0005-0000-0000-00008B040000}"/>
    <cellStyle name="Accent4" xfId="418" builtinId="41" customBuiltin="1"/>
    <cellStyle name="Accent4 2" xfId="161" xr:uid="{00000000-0005-0000-0000-00008D040000}"/>
    <cellStyle name="Accent4 2 2" xfId="162" xr:uid="{00000000-0005-0000-0000-00008E040000}"/>
    <cellStyle name="Accent4 3" xfId="520" xr:uid="{00000000-0005-0000-0000-00008F040000}"/>
    <cellStyle name="Accent5" xfId="422" builtinId="45" customBuiltin="1"/>
    <cellStyle name="Accent5 2" xfId="163" xr:uid="{00000000-0005-0000-0000-000091040000}"/>
    <cellStyle name="Accent5 2 2" xfId="164" xr:uid="{00000000-0005-0000-0000-000092040000}"/>
    <cellStyle name="Accent5 3" xfId="521" xr:uid="{00000000-0005-0000-0000-000093040000}"/>
    <cellStyle name="Accent6" xfId="426" builtinId="49" customBuiltin="1"/>
    <cellStyle name="Accent6 2" xfId="165" xr:uid="{00000000-0005-0000-0000-000095040000}"/>
    <cellStyle name="Accent6 2 2" xfId="166" xr:uid="{00000000-0005-0000-0000-000096040000}"/>
    <cellStyle name="Accent6 3" xfId="522" xr:uid="{00000000-0005-0000-0000-000097040000}"/>
    <cellStyle name="Accounting $" xfId="523" xr:uid="{00000000-0005-0000-0000-000098040000}"/>
    <cellStyle name="AFE" xfId="524" xr:uid="{00000000-0005-0000-0000-000099040000}"/>
    <cellStyle name="AFE 2" xfId="525" xr:uid="{00000000-0005-0000-0000-00009A040000}"/>
    <cellStyle name="AFE_COACH_Public_Comps_SOLUTION_v1 28_Hermes (3)" xfId="526" xr:uid="{00000000-0005-0000-0000-00009B040000}"/>
    <cellStyle name="Availability" xfId="1844" xr:uid="{00000000-0005-0000-0000-00009C040000}"/>
    <cellStyle name="Bad" xfId="395" builtinId="27" customBuiltin="1"/>
    <cellStyle name="Bad 10" xfId="11277" xr:uid="{00000000-0005-0000-0000-00009E040000}"/>
    <cellStyle name="Bad 11" xfId="11288" xr:uid="{00000000-0005-0000-0000-00009F040000}"/>
    <cellStyle name="Bad 12" xfId="11320" xr:uid="{00000000-0005-0000-0000-0000A0040000}"/>
    <cellStyle name="Bad 13" xfId="11461" xr:uid="{00000000-0005-0000-0000-0000A1040000}"/>
    <cellStyle name="Bad 14" xfId="11339" xr:uid="{00000000-0005-0000-0000-0000A2040000}"/>
    <cellStyle name="Bad 15" xfId="11501" xr:uid="{00000000-0005-0000-0000-0000A3040000}"/>
    <cellStyle name="Bad 16" xfId="11518" xr:uid="{00000000-0005-0000-0000-0000A4040000}"/>
    <cellStyle name="Bad 17" xfId="11533" xr:uid="{00000000-0005-0000-0000-0000A5040000}"/>
    <cellStyle name="Bad 18" xfId="11550" xr:uid="{00000000-0005-0000-0000-0000A6040000}"/>
    <cellStyle name="Bad 19" xfId="11566" xr:uid="{00000000-0005-0000-0000-0000A7040000}"/>
    <cellStyle name="Bad 2" xfId="167" xr:uid="{00000000-0005-0000-0000-0000A8040000}"/>
    <cellStyle name="Bad 20" xfId="11582" xr:uid="{00000000-0005-0000-0000-0000A9040000}"/>
    <cellStyle name="Bad 21" xfId="11598" xr:uid="{00000000-0005-0000-0000-0000AA040000}"/>
    <cellStyle name="Bad 22" xfId="11614" xr:uid="{00000000-0005-0000-0000-0000AB040000}"/>
    <cellStyle name="Bad 23" xfId="11629" xr:uid="{00000000-0005-0000-0000-0000AC040000}"/>
    <cellStyle name="Bad 24" xfId="11646" xr:uid="{00000000-0005-0000-0000-0000AD040000}"/>
    <cellStyle name="Bad 25" xfId="11661" xr:uid="{00000000-0005-0000-0000-0000AE040000}"/>
    <cellStyle name="Bad 26" xfId="11677" xr:uid="{00000000-0005-0000-0000-0000AF040000}"/>
    <cellStyle name="Bad 27" xfId="11691" xr:uid="{00000000-0005-0000-0000-0000B0040000}"/>
    <cellStyle name="Bad 28" xfId="11706" xr:uid="{00000000-0005-0000-0000-0000B1040000}"/>
    <cellStyle name="Bad 29" xfId="11721" xr:uid="{00000000-0005-0000-0000-0000B2040000}"/>
    <cellStyle name="Bad 3" xfId="527" xr:uid="{00000000-0005-0000-0000-0000B3040000}"/>
    <cellStyle name="Bad 3 2" xfId="11143" xr:uid="{00000000-0005-0000-0000-0000B4040000}"/>
    <cellStyle name="Bad 30" xfId="11736" xr:uid="{00000000-0005-0000-0000-0000B5040000}"/>
    <cellStyle name="Bad 31" xfId="11751" xr:uid="{00000000-0005-0000-0000-0000B6040000}"/>
    <cellStyle name="Bad 32" xfId="11766" xr:uid="{00000000-0005-0000-0000-0000B7040000}"/>
    <cellStyle name="Bad 33" xfId="11783" xr:uid="{00000000-0005-0000-0000-0000B8040000}"/>
    <cellStyle name="Bad 34" xfId="19654" xr:uid="{00000000-0005-0000-0000-0000B9040000}"/>
    <cellStyle name="Bad 35" xfId="19671" xr:uid="{00000000-0005-0000-0000-0000BA040000}"/>
    <cellStyle name="Bad 36" xfId="19692" xr:uid="{00000000-0005-0000-0000-0000BB040000}"/>
    <cellStyle name="Bad 37" xfId="19704" xr:uid="{00000000-0005-0000-0000-0000BC040000}"/>
    <cellStyle name="Bad 38" xfId="19734" xr:uid="{00000000-0005-0000-0000-0000BD040000}"/>
    <cellStyle name="Bad 39" xfId="19750" xr:uid="{00000000-0005-0000-0000-0000BE040000}"/>
    <cellStyle name="Bad 4" xfId="11159" xr:uid="{00000000-0005-0000-0000-0000BF040000}"/>
    <cellStyle name="Bad 40" xfId="19756" xr:uid="{00000000-0005-0000-0000-0000C0040000}"/>
    <cellStyle name="Bad 41" xfId="19772" xr:uid="{00000000-0005-0000-0000-0000C1040000}"/>
    <cellStyle name="Bad 42" xfId="19783" xr:uid="{00000000-0005-0000-0000-0000C2040000}"/>
    <cellStyle name="Bad 43" xfId="19802" xr:uid="{00000000-0005-0000-0000-0000C3040000}"/>
    <cellStyle name="Bad 44" xfId="19933" xr:uid="{00000000-0005-0000-0000-0000C4040000}"/>
    <cellStyle name="Bad 45" xfId="19817" xr:uid="{00000000-0005-0000-0000-0000C5040000}"/>
    <cellStyle name="Bad 46" xfId="19971" xr:uid="{00000000-0005-0000-0000-0000C6040000}"/>
    <cellStyle name="Bad 47" xfId="19987" xr:uid="{00000000-0005-0000-0000-0000C7040000}"/>
    <cellStyle name="Bad 48" xfId="20002" xr:uid="{00000000-0005-0000-0000-0000C8040000}"/>
    <cellStyle name="Bad 49" xfId="20018" xr:uid="{00000000-0005-0000-0000-0000C9040000}"/>
    <cellStyle name="Bad 5" xfId="11192" xr:uid="{00000000-0005-0000-0000-0000CA040000}"/>
    <cellStyle name="Bad 50" xfId="20033" xr:uid="{00000000-0005-0000-0000-0000CB040000}"/>
    <cellStyle name="Bad 51" xfId="20049" xr:uid="{00000000-0005-0000-0000-0000CC040000}"/>
    <cellStyle name="Bad 52" xfId="20064" xr:uid="{00000000-0005-0000-0000-0000CD040000}"/>
    <cellStyle name="Bad 53" xfId="20079" xr:uid="{00000000-0005-0000-0000-0000CE040000}"/>
    <cellStyle name="Bad 54" xfId="20093" xr:uid="{00000000-0005-0000-0000-0000CF040000}"/>
    <cellStyle name="Bad 55" xfId="20109" xr:uid="{00000000-0005-0000-0000-0000D0040000}"/>
    <cellStyle name="Bad 56" xfId="20123" xr:uid="{00000000-0005-0000-0000-0000D1040000}"/>
    <cellStyle name="Bad 57" xfId="20138" xr:uid="{00000000-0005-0000-0000-0000D2040000}"/>
    <cellStyle name="Bad 58" xfId="20151" xr:uid="{00000000-0005-0000-0000-0000D3040000}"/>
    <cellStyle name="Bad 59" xfId="20165" xr:uid="{00000000-0005-0000-0000-0000D4040000}"/>
    <cellStyle name="Bad 6" xfId="11204" xr:uid="{00000000-0005-0000-0000-0000D5040000}"/>
    <cellStyle name="Bad 60" xfId="20180" xr:uid="{00000000-0005-0000-0000-0000D6040000}"/>
    <cellStyle name="Bad 61" xfId="20195" xr:uid="{00000000-0005-0000-0000-0000D7040000}"/>
    <cellStyle name="Bad 62" xfId="20211" xr:uid="{00000000-0005-0000-0000-0000D8040000}"/>
    <cellStyle name="Bad 63" xfId="20226" xr:uid="{00000000-0005-0000-0000-0000D9040000}"/>
    <cellStyle name="Bad 64" xfId="20243" xr:uid="{00000000-0005-0000-0000-0000DA040000}"/>
    <cellStyle name="Bad 7" xfId="11239" xr:uid="{00000000-0005-0000-0000-0000DB040000}"/>
    <cellStyle name="Bad 8" xfId="11255" xr:uid="{00000000-0005-0000-0000-0000DC040000}"/>
    <cellStyle name="Bad 9" xfId="11261" xr:uid="{00000000-0005-0000-0000-0000DD040000}"/>
    <cellStyle name="bch" xfId="6646" xr:uid="{00000000-0005-0000-0000-0000DE040000}"/>
    <cellStyle name="B-CHeader" xfId="1845" xr:uid="{00000000-0005-0000-0000-0000DF040000}"/>
    <cellStyle name="bci" xfId="6647" xr:uid="{00000000-0005-0000-0000-0000E0040000}"/>
    <cellStyle name="Black" xfId="168" xr:uid="{00000000-0005-0000-0000-0000E1040000}"/>
    <cellStyle name="Black Text" xfId="1846" xr:uid="{00000000-0005-0000-0000-0000E2040000}"/>
    <cellStyle name="Black Text (No Wrap)" xfId="1847" xr:uid="{00000000-0005-0000-0000-0000E3040000}"/>
    <cellStyle name="Black Text_Argentina" xfId="1848" xr:uid="{00000000-0005-0000-0000-0000E4040000}"/>
    <cellStyle name="Blank" xfId="2089" xr:uid="{00000000-0005-0000-0000-0000E5040000}"/>
    <cellStyle name="Blue" xfId="169" xr:uid="{00000000-0005-0000-0000-0000E6040000}"/>
    <cellStyle name="Blue 2" xfId="528" xr:uid="{00000000-0005-0000-0000-0000E7040000}"/>
    <cellStyle name="Blue 3" xfId="1849" xr:uid="{00000000-0005-0000-0000-0000E8040000}"/>
    <cellStyle name="Blue Text" xfId="1850" xr:uid="{00000000-0005-0000-0000-0000E9040000}"/>
    <cellStyle name="Blue Text - Ariel 10" xfId="1851" xr:uid="{00000000-0005-0000-0000-0000EA040000}"/>
    <cellStyle name="Blue Text_Argentina" xfId="1852" xr:uid="{00000000-0005-0000-0000-0000EB040000}"/>
    <cellStyle name="Body_$Dollars" xfId="529" xr:uid="{00000000-0005-0000-0000-0000EC040000}"/>
    <cellStyle name="Bold/Border" xfId="530" xr:uid="{00000000-0005-0000-0000-0000ED040000}"/>
    <cellStyle name="Bol-Data" xfId="1853" xr:uid="{00000000-0005-0000-0000-0000EE040000}"/>
    <cellStyle name="bolet" xfId="1854" xr:uid="{00000000-0005-0000-0000-0000EF040000}"/>
    <cellStyle name="Boletim" xfId="1855" xr:uid="{00000000-0005-0000-0000-0000F0040000}"/>
    <cellStyle name="Bom" xfId="1856" xr:uid="{00000000-0005-0000-0000-0000F1040000}"/>
    <cellStyle name="Border, Bottom" xfId="1857" xr:uid="{00000000-0005-0000-0000-0000F2040000}"/>
    <cellStyle name="Border, Bottom 2" xfId="1991" xr:uid="{00000000-0005-0000-0000-0000F3040000}"/>
    <cellStyle name="Border, Bottom 2 2" xfId="11174" xr:uid="{00000000-0005-0000-0000-0000F4040000}"/>
    <cellStyle name="Border, Bottom 3" xfId="2020" xr:uid="{00000000-0005-0000-0000-0000F5040000}"/>
    <cellStyle name="Border, Bottom 3 2" xfId="11382" xr:uid="{00000000-0005-0000-0000-0000F6040000}"/>
    <cellStyle name="Border, Left" xfId="1858" xr:uid="{00000000-0005-0000-0000-0000F7040000}"/>
    <cellStyle name="Border, Left 2" xfId="1992" xr:uid="{00000000-0005-0000-0000-0000F8040000}"/>
    <cellStyle name="Border, Left 2 2" xfId="11175" xr:uid="{00000000-0005-0000-0000-0000F9040000}"/>
    <cellStyle name="Border, Left 3" xfId="2021" xr:uid="{00000000-0005-0000-0000-0000FA040000}"/>
    <cellStyle name="Border, Left 3 2" xfId="11383" xr:uid="{00000000-0005-0000-0000-0000FB040000}"/>
    <cellStyle name="Border, Right" xfId="1859" xr:uid="{00000000-0005-0000-0000-0000FC040000}"/>
    <cellStyle name="Border, Right 2" xfId="1993" xr:uid="{00000000-0005-0000-0000-0000FD040000}"/>
    <cellStyle name="Border, Right 2 2" xfId="11176" xr:uid="{00000000-0005-0000-0000-0000FE040000}"/>
    <cellStyle name="Border, Right 3" xfId="2022" xr:uid="{00000000-0005-0000-0000-0000FF040000}"/>
    <cellStyle name="Border, Right 3 2" xfId="11384" xr:uid="{00000000-0005-0000-0000-000000050000}"/>
    <cellStyle name="Border, Top" xfId="1860" xr:uid="{00000000-0005-0000-0000-000001050000}"/>
    <cellStyle name="Border, Top 2" xfId="1994" xr:uid="{00000000-0005-0000-0000-000002050000}"/>
    <cellStyle name="Border, Top 2 2" xfId="11106" xr:uid="{00000000-0005-0000-0000-000003050000}"/>
    <cellStyle name="Border, Top 2 2 2" xfId="11177" xr:uid="{00000000-0005-0000-0000-000004050000}"/>
    <cellStyle name="Border, Top 2 3" xfId="11109" xr:uid="{00000000-0005-0000-0000-000005050000}"/>
    <cellStyle name="Border, Top 3" xfId="2023" xr:uid="{00000000-0005-0000-0000-000006050000}"/>
    <cellStyle name="Border, Top 3 2" xfId="11108" xr:uid="{00000000-0005-0000-0000-000007050000}"/>
    <cellStyle name="Border, Top 3 2 2" xfId="11385" xr:uid="{00000000-0005-0000-0000-000008050000}"/>
    <cellStyle name="Border, Top 3 3" xfId="11107" xr:uid="{00000000-0005-0000-0000-000009050000}"/>
    <cellStyle name="Border, Top 4" xfId="11096" xr:uid="{00000000-0005-0000-0000-00000A050000}"/>
    <cellStyle name="Border, Top 5" xfId="11112" xr:uid="{00000000-0005-0000-0000-00000B050000}"/>
    <cellStyle name="Bottom Edge" xfId="531" xr:uid="{00000000-0005-0000-0000-00000C050000}"/>
    <cellStyle name="Bottom Edge 2" xfId="1659" xr:uid="{00000000-0005-0000-0000-00000D050000}"/>
    <cellStyle name="Bottom Edge 2 2" xfId="1701" xr:uid="{00000000-0005-0000-0000-00000E050000}"/>
    <cellStyle name="Bottom Edge 2 3" xfId="1720" xr:uid="{00000000-0005-0000-0000-00000F050000}"/>
    <cellStyle name="Bottom Edge 3" xfId="1676" xr:uid="{00000000-0005-0000-0000-000010050000}"/>
    <cellStyle name="Bottom Edge 4" xfId="1674" xr:uid="{00000000-0005-0000-0000-000011050000}"/>
    <cellStyle name="Bottom Edge 5" xfId="36211" xr:uid="{00000000-0005-0000-0000-000012050000}"/>
    <cellStyle name="Buena" xfId="1861" xr:uid="{00000000-0005-0000-0000-000013050000}"/>
    <cellStyle name="Bullet" xfId="532" xr:uid="{00000000-0005-0000-0000-000014050000}"/>
    <cellStyle name="Bullet 2" xfId="1862" xr:uid="{00000000-0005-0000-0000-000015050000}"/>
    <cellStyle name="c_HardInc " xfId="533" xr:uid="{00000000-0005-0000-0000-000016050000}"/>
    <cellStyle name="c_HardInc _1 Cadbury_&amp;_Kraft_Model_v11.0" xfId="534" xr:uid="{00000000-0005-0000-0000-000017050000}"/>
    <cellStyle name="c_HardInc _2 HNZ_CPB_v11.0" xfId="535" xr:uid="{00000000-0005-0000-0000-000018050000}"/>
    <cellStyle name="c_HardInc _2 HNZ_CPB_v11.0.2" xfId="536" xr:uid="{00000000-0005-0000-0000-000019050000}"/>
    <cellStyle name="c_HardInc _Book2" xfId="537" xr:uid="{00000000-0005-0000-0000-00001A050000}"/>
    <cellStyle name="c_HardInc _CBRY_Case_v2.0 DRAFT4.0_AL" xfId="538" xr:uid="{00000000-0005-0000-0000-00001B050000}"/>
    <cellStyle name="c_HardInc _CBRY_Case_v2.0 DRAFT4.0_AL_MBA_Val_101_CAD_2009_BACKUP_v1.0_Draft_10" xfId="539" xr:uid="{00000000-0005-0000-0000-00001C050000}"/>
    <cellStyle name="c_HardInc _CBRY_Case_v2.0 DRAFT4.0_AL_MBA_Val_101_CAD_2009_BACKUP_v1.0_Draft_15" xfId="540" xr:uid="{00000000-0005-0000-0000-00001D050000}"/>
    <cellStyle name="c_HardInc _COH_Merger_Model_Analysts_SOLUTION_v1.88" xfId="541" xr:uid="{00000000-0005-0000-0000-00001E050000}"/>
    <cellStyle name="c_HardInc _Copy of COH_2008_FM_SOLUTION_DCF_v1.05" xfId="542" xr:uid="{00000000-0005-0000-0000-00001F050000}"/>
    <cellStyle name="c_HardInc _MBA_Val_CAD_DCFv2.0" xfId="543" xr:uid="{00000000-0005-0000-0000-000020050000}"/>
    <cellStyle name="c_HardInc _MBA_Val_CAD_DCFv2.0_MBA_Val_101_CAD_2009_BACKUP_v1.0_Draft_10" xfId="544" xr:uid="{00000000-0005-0000-0000-000021050000}"/>
    <cellStyle name="c_HardInc _MBA_Val_CAD_DCFv2.0_MBA_Val_101_CAD_2009_BACKUP_v1.0_Draft_15" xfId="545" xr:uid="{00000000-0005-0000-0000-000022050000}"/>
    <cellStyle name="c_HardInc _MBA_Val_CAD_DCFv2.0_MBA_Val_101_CAD_2009_BACKUP_v1.0_Draft_9" xfId="546" xr:uid="{00000000-0005-0000-0000-000023050000}"/>
    <cellStyle name="Calculation" xfId="399" builtinId="22" customBuiltin="1"/>
    <cellStyle name="Calculation 10" xfId="11273" xr:uid="{00000000-0005-0000-0000-000025050000}"/>
    <cellStyle name="Calculation 11" xfId="11292" xr:uid="{00000000-0005-0000-0000-000026050000}"/>
    <cellStyle name="Calculation 12" xfId="11324" xr:uid="{00000000-0005-0000-0000-000027050000}"/>
    <cellStyle name="Calculation 13" xfId="11456" xr:uid="{00000000-0005-0000-0000-000028050000}"/>
    <cellStyle name="Calculation 14" xfId="11343" xr:uid="{00000000-0005-0000-0000-000029050000}"/>
    <cellStyle name="Calculation 15" xfId="11497" xr:uid="{00000000-0005-0000-0000-00002A050000}"/>
    <cellStyle name="Calculation 16" xfId="11514" xr:uid="{00000000-0005-0000-0000-00002B050000}"/>
    <cellStyle name="Calculation 17" xfId="11529" xr:uid="{00000000-0005-0000-0000-00002C050000}"/>
    <cellStyle name="Calculation 18" xfId="11546" xr:uid="{00000000-0005-0000-0000-00002D050000}"/>
    <cellStyle name="Calculation 19" xfId="11562" xr:uid="{00000000-0005-0000-0000-00002E050000}"/>
    <cellStyle name="Calculation 2" xfId="170" xr:uid="{00000000-0005-0000-0000-00002F050000}"/>
    <cellStyle name="Calculation 2 2" xfId="171" xr:uid="{00000000-0005-0000-0000-000030050000}"/>
    <cellStyle name="Calculation 2 2 2" xfId="1647" xr:uid="{00000000-0005-0000-0000-000031050000}"/>
    <cellStyle name="Calculation 2 2 2 2" xfId="1690" xr:uid="{00000000-0005-0000-0000-000032050000}"/>
    <cellStyle name="Calculation 2 2 2 3" xfId="1709" xr:uid="{00000000-0005-0000-0000-000033050000}"/>
    <cellStyle name="Calculation 2 2 3" xfId="1670" xr:uid="{00000000-0005-0000-0000-000034050000}"/>
    <cellStyle name="Calculation 2 2 4" xfId="11125" xr:uid="{00000000-0005-0000-0000-000035050000}"/>
    <cellStyle name="Calculation 2 2 5" xfId="36228" xr:uid="{00000000-0005-0000-0000-000036050000}"/>
    <cellStyle name="Calculation 2 2 6" xfId="36236" xr:uid="{00000000-0005-0000-0000-000037050000}"/>
    <cellStyle name="Calculation 2 3" xfId="1642" xr:uid="{00000000-0005-0000-0000-000038050000}"/>
    <cellStyle name="Calculation 2 3 2" xfId="1685" xr:uid="{00000000-0005-0000-0000-000039050000}"/>
    <cellStyle name="Calculation 2 3 3" xfId="1704" xr:uid="{00000000-0005-0000-0000-00003A050000}"/>
    <cellStyle name="Calculation 2 4" xfId="1665" xr:uid="{00000000-0005-0000-0000-00003B050000}"/>
    <cellStyle name="Calculation 2 5" xfId="11124" xr:uid="{00000000-0005-0000-0000-00003C050000}"/>
    <cellStyle name="Calculation 2 6" xfId="36227" xr:uid="{00000000-0005-0000-0000-00003D050000}"/>
    <cellStyle name="Calculation 2 7" xfId="36237" xr:uid="{00000000-0005-0000-0000-00003E050000}"/>
    <cellStyle name="Calculation 20" xfId="11578" xr:uid="{00000000-0005-0000-0000-00003F050000}"/>
    <cellStyle name="Calculation 21" xfId="11594" xr:uid="{00000000-0005-0000-0000-000040050000}"/>
    <cellStyle name="Calculation 22" xfId="11610" xr:uid="{00000000-0005-0000-0000-000041050000}"/>
    <cellStyle name="Calculation 23" xfId="11625" xr:uid="{00000000-0005-0000-0000-000042050000}"/>
    <cellStyle name="Calculation 24" xfId="11642" xr:uid="{00000000-0005-0000-0000-000043050000}"/>
    <cellStyle name="Calculation 25" xfId="11657" xr:uid="{00000000-0005-0000-0000-000044050000}"/>
    <cellStyle name="Calculation 26" xfId="11673" xr:uid="{00000000-0005-0000-0000-000045050000}"/>
    <cellStyle name="Calculation 27" xfId="11687" xr:uid="{00000000-0005-0000-0000-000046050000}"/>
    <cellStyle name="Calculation 28" xfId="11702" xr:uid="{00000000-0005-0000-0000-000047050000}"/>
    <cellStyle name="Calculation 29" xfId="11717" xr:uid="{00000000-0005-0000-0000-000048050000}"/>
    <cellStyle name="Calculation 3" xfId="547" xr:uid="{00000000-0005-0000-0000-000049050000}"/>
    <cellStyle name="Calculation 3 2" xfId="1660" xr:uid="{00000000-0005-0000-0000-00004A050000}"/>
    <cellStyle name="Calculation 3 2 2" xfId="1702" xr:uid="{00000000-0005-0000-0000-00004B050000}"/>
    <cellStyle name="Calculation 3 2 3" xfId="1721" xr:uid="{00000000-0005-0000-0000-00004C050000}"/>
    <cellStyle name="Calculation 3 3" xfId="1677" xr:uid="{00000000-0005-0000-0000-00004D050000}"/>
    <cellStyle name="Calculation 3 4" xfId="1672" xr:uid="{00000000-0005-0000-0000-00004E050000}"/>
    <cellStyle name="Calculation 3 5" xfId="11147" xr:uid="{00000000-0005-0000-0000-00004F050000}"/>
    <cellStyle name="Calculation 3 6" xfId="36212" xr:uid="{00000000-0005-0000-0000-000050050000}"/>
    <cellStyle name="Calculation 30" xfId="11732" xr:uid="{00000000-0005-0000-0000-000051050000}"/>
    <cellStyle name="Calculation 31" xfId="11747" xr:uid="{00000000-0005-0000-0000-000052050000}"/>
    <cellStyle name="Calculation 32" xfId="11762" xr:uid="{00000000-0005-0000-0000-000053050000}"/>
    <cellStyle name="Calculation 33" xfId="11779" xr:uid="{00000000-0005-0000-0000-000054050000}"/>
    <cellStyle name="Calculation 34" xfId="19658" xr:uid="{00000000-0005-0000-0000-000055050000}"/>
    <cellStyle name="Calculation 35" xfId="19675" xr:uid="{00000000-0005-0000-0000-000056050000}"/>
    <cellStyle name="Calculation 36" xfId="19688" xr:uid="{00000000-0005-0000-0000-000057050000}"/>
    <cellStyle name="Calculation 37" xfId="19708" xr:uid="{00000000-0005-0000-0000-000058050000}"/>
    <cellStyle name="Calculation 38" xfId="19730" xr:uid="{00000000-0005-0000-0000-000059050000}"/>
    <cellStyle name="Calculation 39" xfId="19746" xr:uid="{00000000-0005-0000-0000-00005A050000}"/>
    <cellStyle name="Calculation 4" xfId="11163" xr:uid="{00000000-0005-0000-0000-00005B050000}"/>
    <cellStyle name="Calculation 40" xfId="19721" xr:uid="{00000000-0005-0000-0000-00005C050000}"/>
    <cellStyle name="Calculation 41" xfId="19768" xr:uid="{00000000-0005-0000-0000-00005D050000}"/>
    <cellStyle name="Calculation 42" xfId="19787" xr:uid="{00000000-0005-0000-0000-00005E050000}"/>
    <cellStyle name="Calculation 43" xfId="19806" xr:uid="{00000000-0005-0000-0000-00005F050000}"/>
    <cellStyle name="Calculation 44" xfId="19929" xr:uid="{00000000-0005-0000-0000-000060050000}"/>
    <cellStyle name="Calculation 45" xfId="19821" xr:uid="{00000000-0005-0000-0000-000061050000}"/>
    <cellStyle name="Calculation 46" xfId="19967" xr:uid="{00000000-0005-0000-0000-000062050000}"/>
    <cellStyle name="Calculation 47" xfId="19983" xr:uid="{00000000-0005-0000-0000-000063050000}"/>
    <cellStyle name="Calculation 48" xfId="19998" xr:uid="{00000000-0005-0000-0000-000064050000}"/>
    <cellStyle name="Calculation 49" xfId="20014" xr:uid="{00000000-0005-0000-0000-000065050000}"/>
    <cellStyle name="Calculation 5" xfId="11187" xr:uid="{00000000-0005-0000-0000-000066050000}"/>
    <cellStyle name="Calculation 50" xfId="20029" xr:uid="{00000000-0005-0000-0000-000067050000}"/>
    <cellStyle name="Calculation 51" xfId="20045" xr:uid="{00000000-0005-0000-0000-000068050000}"/>
    <cellStyle name="Calculation 52" xfId="20060" xr:uid="{00000000-0005-0000-0000-000069050000}"/>
    <cellStyle name="Calculation 53" xfId="20075" xr:uid="{00000000-0005-0000-0000-00006A050000}"/>
    <cellStyle name="Calculation 54" xfId="20089" xr:uid="{00000000-0005-0000-0000-00006B050000}"/>
    <cellStyle name="Calculation 55" xfId="20105" xr:uid="{00000000-0005-0000-0000-00006C050000}"/>
    <cellStyle name="Calculation 56" xfId="20119" xr:uid="{00000000-0005-0000-0000-00006D050000}"/>
    <cellStyle name="Calculation 57" xfId="20134" xr:uid="{00000000-0005-0000-0000-00006E050000}"/>
    <cellStyle name="Calculation 58" xfId="20147" xr:uid="{00000000-0005-0000-0000-00006F050000}"/>
    <cellStyle name="Calculation 59" xfId="20161" xr:uid="{00000000-0005-0000-0000-000070050000}"/>
    <cellStyle name="Calculation 6" xfId="11208" xr:uid="{00000000-0005-0000-0000-000071050000}"/>
    <cellStyle name="Calculation 60" xfId="20176" xr:uid="{00000000-0005-0000-0000-000072050000}"/>
    <cellStyle name="Calculation 61" xfId="20191" xr:uid="{00000000-0005-0000-0000-000073050000}"/>
    <cellStyle name="Calculation 62" xfId="20207" xr:uid="{00000000-0005-0000-0000-000074050000}"/>
    <cellStyle name="Calculation 63" xfId="20222" xr:uid="{00000000-0005-0000-0000-000075050000}"/>
    <cellStyle name="Calculation 64" xfId="20239" xr:uid="{00000000-0005-0000-0000-000076050000}"/>
    <cellStyle name="Calculation 7" xfId="11235" xr:uid="{00000000-0005-0000-0000-000077050000}"/>
    <cellStyle name="Calculation 8" xfId="11251" xr:uid="{00000000-0005-0000-0000-000078050000}"/>
    <cellStyle name="Calculation 9" xfId="11225" xr:uid="{00000000-0005-0000-0000-000079050000}"/>
    <cellStyle name="Cálculo" xfId="1863" xr:uid="{00000000-0005-0000-0000-00007A050000}"/>
    <cellStyle name="Cálculo 2" xfId="11097" xr:uid="{00000000-0005-0000-0000-00007B050000}"/>
    <cellStyle name="Celda de comprobación" xfId="1864" xr:uid="{00000000-0005-0000-0000-00007C050000}"/>
    <cellStyle name="Celda vinculada" xfId="1865" xr:uid="{00000000-0005-0000-0000-00007D050000}"/>
    <cellStyle name="cell" xfId="6648" xr:uid="{00000000-0005-0000-0000-00007E050000}"/>
    <cellStyle name="Célula de Verificação" xfId="1866" xr:uid="{00000000-0005-0000-0000-00007F050000}"/>
    <cellStyle name="Célula Vinculada" xfId="1867" xr:uid="{00000000-0005-0000-0000-000080050000}"/>
    <cellStyle name="Centered Heading" xfId="2135" xr:uid="{00000000-0005-0000-0000-000081050000}"/>
    <cellStyle name="Centered Heading 5" xfId="6649" xr:uid="{00000000-0005-0000-0000-000082050000}"/>
    <cellStyle name="Cents" xfId="548" xr:uid="{00000000-0005-0000-0000-000083050000}"/>
    <cellStyle name="ch" xfId="6650" xr:uid="{00000000-0005-0000-0000-000084050000}"/>
    <cellStyle name="Changeable" xfId="1868" xr:uid="{00000000-0005-0000-0000-000085050000}"/>
    <cellStyle name="ChartingText" xfId="18" xr:uid="{00000000-0005-0000-0000-000086050000}"/>
    <cellStyle name="ChartingText 2" xfId="432" xr:uid="{00000000-0005-0000-0000-000087050000}"/>
    <cellStyle name="ChartingText 3" xfId="549" xr:uid="{00000000-0005-0000-0000-000088050000}"/>
    <cellStyle name="Check Cell" xfId="401" builtinId="23" customBuiltin="1"/>
    <cellStyle name="Check Cell 10" xfId="11271" xr:uid="{00000000-0005-0000-0000-00008A050000}"/>
    <cellStyle name="Check Cell 11" xfId="11294" xr:uid="{00000000-0005-0000-0000-00008B050000}"/>
    <cellStyle name="Check Cell 12" xfId="11326" xr:uid="{00000000-0005-0000-0000-00008C050000}"/>
    <cellStyle name="Check Cell 13" xfId="11454" xr:uid="{00000000-0005-0000-0000-00008D050000}"/>
    <cellStyle name="Check Cell 14" xfId="11345" xr:uid="{00000000-0005-0000-0000-00008E050000}"/>
    <cellStyle name="Check Cell 15" xfId="11495" xr:uid="{00000000-0005-0000-0000-00008F050000}"/>
    <cellStyle name="Check Cell 16" xfId="11512" xr:uid="{00000000-0005-0000-0000-000090050000}"/>
    <cellStyle name="Check Cell 17" xfId="11527" xr:uid="{00000000-0005-0000-0000-000091050000}"/>
    <cellStyle name="Check Cell 18" xfId="11544" xr:uid="{00000000-0005-0000-0000-000092050000}"/>
    <cellStyle name="Check Cell 19" xfId="11560" xr:uid="{00000000-0005-0000-0000-000093050000}"/>
    <cellStyle name="Check Cell 2" xfId="172" xr:uid="{00000000-0005-0000-0000-000094050000}"/>
    <cellStyle name="Check Cell 2 2" xfId="173" xr:uid="{00000000-0005-0000-0000-000095050000}"/>
    <cellStyle name="Check Cell 20" xfId="11576" xr:uid="{00000000-0005-0000-0000-000096050000}"/>
    <cellStyle name="Check Cell 21" xfId="11592" xr:uid="{00000000-0005-0000-0000-000097050000}"/>
    <cellStyle name="Check Cell 22" xfId="11608" xr:uid="{00000000-0005-0000-0000-000098050000}"/>
    <cellStyle name="Check Cell 23" xfId="11623" xr:uid="{00000000-0005-0000-0000-000099050000}"/>
    <cellStyle name="Check Cell 24" xfId="11640" xr:uid="{00000000-0005-0000-0000-00009A050000}"/>
    <cellStyle name="Check Cell 25" xfId="11655" xr:uid="{00000000-0005-0000-0000-00009B050000}"/>
    <cellStyle name="Check Cell 26" xfId="11671" xr:uid="{00000000-0005-0000-0000-00009C050000}"/>
    <cellStyle name="Check Cell 27" xfId="11685" xr:uid="{00000000-0005-0000-0000-00009D050000}"/>
    <cellStyle name="Check Cell 28" xfId="11700" xr:uid="{00000000-0005-0000-0000-00009E050000}"/>
    <cellStyle name="Check Cell 29" xfId="11715" xr:uid="{00000000-0005-0000-0000-00009F050000}"/>
    <cellStyle name="Check Cell 3" xfId="550" xr:uid="{00000000-0005-0000-0000-0000A0050000}"/>
    <cellStyle name="Check Cell 3 2" xfId="11149" xr:uid="{00000000-0005-0000-0000-0000A1050000}"/>
    <cellStyle name="Check Cell 30" xfId="11730" xr:uid="{00000000-0005-0000-0000-0000A2050000}"/>
    <cellStyle name="Check Cell 31" xfId="11745" xr:uid="{00000000-0005-0000-0000-0000A3050000}"/>
    <cellStyle name="Check Cell 32" xfId="11760" xr:uid="{00000000-0005-0000-0000-0000A4050000}"/>
    <cellStyle name="Check Cell 33" xfId="11777" xr:uid="{00000000-0005-0000-0000-0000A5050000}"/>
    <cellStyle name="Check Cell 34" xfId="19660" xr:uid="{00000000-0005-0000-0000-0000A6050000}"/>
    <cellStyle name="Check Cell 35" xfId="19677" xr:uid="{00000000-0005-0000-0000-0000A7050000}"/>
    <cellStyle name="Check Cell 36" xfId="19686" xr:uid="{00000000-0005-0000-0000-0000A8050000}"/>
    <cellStyle name="Check Cell 37" xfId="19710" xr:uid="{00000000-0005-0000-0000-0000A9050000}"/>
    <cellStyle name="Check Cell 38" xfId="19728" xr:uid="{00000000-0005-0000-0000-0000AA050000}"/>
    <cellStyle name="Check Cell 39" xfId="19744" xr:uid="{00000000-0005-0000-0000-0000AB050000}"/>
    <cellStyle name="Check Cell 4" xfId="11165" xr:uid="{00000000-0005-0000-0000-0000AC050000}"/>
    <cellStyle name="Check Cell 40" xfId="19720" xr:uid="{00000000-0005-0000-0000-0000AD050000}"/>
    <cellStyle name="Check Cell 41" xfId="19766" xr:uid="{00000000-0005-0000-0000-0000AE050000}"/>
    <cellStyle name="Check Cell 42" xfId="19789" xr:uid="{00000000-0005-0000-0000-0000AF050000}"/>
    <cellStyle name="Check Cell 43" xfId="19808" xr:uid="{00000000-0005-0000-0000-0000B0050000}"/>
    <cellStyle name="Check Cell 44" xfId="19927" xr:uid="{00000000-0005-0000-0000-0000B1050000}"/>
    <cellStyle name="Check Cell 45" xfId="19823" xr:uid="{00000000-0005-0000-0000-0000B2050000}"/>
    <cellStyle name="Check Cell 46" xfId="19965" xr:uid="{00000000-0005-0000-0000-0000B3050000}"/>
    <cellStyle name="Check Cell 47" xfId="19981" xr:uid="{00000000-0005-0000-0000-0000B4050000}"/>
    <cellStyle name="Check Cell 48" xfId="19996" xr:uid="{00000000-0005-0000-0000-0000B5050000}"/>
    <cellStyle name="Check Cell 49" xfId="20012" xr:uid="{00000000-0005-0000-0000-0000B6050000}"/>
    <cellStyle name="Check Cell 5" xfId="11185" xr:uid="{00000000-0005-0000-0000-0000B7050000}"/>
    <cellStyle name="Check Cell 50" xfId="20027" xr:uid="{00000000-0005-0000-0000-0000B8050000}"/>
    <cellStyle name="Check Cell 51" xfId="20043" xr:uid="{00000000-0005-0000-0000-0000B9050000}"/>
    <cellStyle name="Check Cell 52" xfId="20058" xr:uid="{00000000-0005-0000-0000-0000BA050000}"/>
    <cellStyle name="Check Cell 53" xfId="20073" xr:uid="{00000000-0005-0000-0000-0000BB050000}"/>
    <cellStyle name="Check Cell 54" xfId="20087" xr:uid="{00000000-0005-0000-0000-0000BC050000}"/>
    <cellStyle name="Check Cell 55" xfId="20103" xr:uid="{00000000-0005-0000-0000-0000BD050000}"/>
    <cellStyle name="Check Cell 56" xfId="20117" xr:uid="{00000000-0005-0000-0000-0000BE050000}"/>
    <cellStyle name="Check Cell 57" xfId="20132" xr:uid="{00000000-0005-0000-0000-0000BF050000}"/>
    <cellStyle name="Check Cell 58" xfId="20145" xr:uid="{00000000-0005-0000-0000-0000C0050000}"/>
    <cellStyle name="Check Cell 59" xfId="20159" xr:uid="{00000000-0005-0000-0000-0000C1050000}"/>
    <cellStyle name="Check Cell 6" xfId="11210" xr:uid="{00000000-0005-0000-0000-0000C2050000}"/>
    <cellStyle name="Check Cell 60" xfId="20174" xr:uid="{00000000-0005-0000-0000-0000C3050000}"/>
    <cellStyle name="Check Cell 61" xfId="20189" xr:uid="{00000000-0005-0000-0000-0000C4050000}"/>
    <cellStyle name="Check Cell 62" xfId="20205" xr:uid="{00000000-0005-0000-0000-0000C5050000}"/>
    <cellStyle name="Check Cell 63" xfId="20220" xr:uid="{00000000-0005-0000-0000-0000C6050000}"/>
    <cellStyle name="Check Cell 64" xfId="20237" xr:uid="{00000000-0005-0000-0000-0000C7050000}"/>
    <cellStyle name="Check Cell 7" xfId="11233" xr:uid="{00000000-0005-0000-0000-0000C8050000}"/>
    <cellStyle name="Check Cell 8" xfId="11249" xr:uid="{00000000-0005-0000-0000-0000C9050000}"/>
    <cellStyle name="Check Cell 9" xfId="11224" xr:uid="{00000000-0005-0000-0000-0000CA050000}"/>
    <cellStyle name="CLEAR" xfId="1869" xr:uid="{00000000-0005-0000-0000-0000CB050000}"/>
    <cellStyle name="ColHeading" xfId="1870" xr:uid="{00000000-0005-0000-0000-0000CC050000}"/>
    <cellStyle name="Column_Title" xfId="6651" xr:uid="{00000000-0005-0000-0000-0000CD050000}"/>
    <cellStyle name="ColumnHeaderNormal" xfId="19" xr:uid="{00000000-0005-0000-0000-0000CE050000}"/>
    <cellStyle name="ColumnHeaderNormal 2" xfId="551" xr:uid="{00000000-0005-0000-0000-0000CF050000}"/>
    <cellStyle name="Comma" xfId="1" builtinId="3"/>
    <cellStyle name="Comma  - Style1" xfId="1871" xr:uid="{00000000-0005-0000-0000-0000D1050000}"/>
    <cellStyle name="Comma  - Style2" xfId="1872" xr:uid="{00000000-0005-0000-0000-0000D2050000}"/>
    <cellStyle name="Comma  - Style3" xfId="1873" xr:uid="{00000000-0005-0000-0000-0000D3050000}"/>
    <cellStyle name="Comma  - Style4" xfId="1874" xr:uid="{00000000-0005-0000-0000-0000D4050000}"/>
    <cellStyle name="Comma  - Style5" xfId="1875" xr:uid="{00000000-0005-0000-0000-0000D5050000}"/>
    <cellStyle name="Comma  - Style6" xfId="1876" xr:uid="{00000000-0005-0000-0000-0000D6050000}"/>
    <cellStyle name="Comma  - Style7" xfId="1877" xr:uid="{00000000-0005-0000-0000-0000D7050000}"/>
    <cellStyle name="Comma  - Style8" xfId="1878" xr:uid="{00000000-0005-0000-0000-0000D8050000}"/>
    <cellStyle name="comma (0)" xfId="1879" xr:uid="{00000000-0005-0000-0000-0000D9050000}"/>
    <cellStyle name="Comma [1]" xfId="552" xr:uid="{00000000-0005-0000-0000-0000DA050000}"/>
    <cellStyle name="Comma 0.00" xfId="6640" xr:uid="{00000000-0005-0000-0000-0000DB050000}"/>
    <cellStyle name="Comma 10" xfId="75" xr:uid="{00000000-0005-0000-0000-0000DC050000}"/>
    <cellStyle name="Comma 10 2" xfId="384" xr:uid="{00000000-0005-0000-0000-0000DD050000}"/>
    <cellStyle name="Comma 10 2 2" xfId="6652" xr:uid="{00000000-0005-0000-0000-0000DE050000}"/>
    <cellStyle name="Comma 10 2 3" xfId="2143" xr:uid="{00000000-0005-0000-0000-0000DF050000}"/>
    <cellStyle name="Comma 10 2 3 2" xfId="28273" xr:uid="{00000000-0005-0000-0000-0000E0050000}"/>
    <cellStyle name="Comma 10 2 4" xfId="20201" xr:uid="{00000000-0005-0000-0000-0000E1050000}"/>
    <cellStyle name="Comma 10 3" xfId="433" xr:uid="{00000000-0005-0000-0000-0000E2050000}"/>
    <cellStyle name="Comma 10 3 2" xfId="2031" xr:uid="{00000000-0005-0000-0000-0000E3050000}"/>
    <cellStyle name="Comma 10 4" xfId="2032" xr:uid="{00000000-0005-0000-0000-0000E4050000}"/>
    <cellStyle name="Comma 100" xfId="10633" xr:uid="{00000000-0005-0000-0000-0000E5050000}"/>
    <cellStyle name="Comma 101" xfId="10636" xr:uid="{00000000-0005-0000-0000-0000E6050000}"/>
    <cellStyle name="Comma 102" xfId="10639" xr:uid="{00000000-0005-0000-0000-0000E7050000}"/>
    <cellStyle name="Comma 103" xfId="10642" xr:uid="{00000000-0005-0000-0000-0000E8050000}"/>
    <cellStyle name="Comma 104" xfId="10645" xr:uid="{00000000-0005-0000-0000-0000E9050000}"/>
    <cellStyle name="Comma 105" xfId="10648" xr:uid="{00000000-0005-0000-0000-0000EA050000}"/>
    <cellStyle name="Comma 106" xfId="10651" xr:uid="{00000000-0005-0000-0000-0000EB050000}"/>
    <cellStyle name="Comma 107" xfId="10654" xr:uid="{00000000-0005-0000-0000-0000EC050000}"/>
    <cellStyle name="Comma 108" xfId="10657" xr:uid="{00000000-0005-0000-0000-0000ED050000}"/>
    <cellStyle name="Comma 109" xfId="10660" xr:uid="{00000000-0005-0000-0000-0000EE050000}"/>
    <cellStyle name="Comma 11" xfId="434" xr:uid="{00000000-0005-0000-0000-0000EF050000}"/>
    <cellStyle name="Comma 11 2" xfId="435" xr:uid="{00000000-0005-0000-0000-0000F0050000}"/>
    <cellStyle name="Comma 11 2 2" xfId="2030" xr:uid="{00000000-0005-0000-0000-0000F1050000}"/>
    <cellStyle name="Comma 11 3" xfId="436" xr:uid="{00000000-0005-0000-0000-0000F2050000}"/>
    <cellStyle name="Comma 11 4" xfId="1749" xr:uid="{00000000-0005-0000-0000-0000F3050000}"/>
    <cellStyle name="Comma 11 5" xfId="2136" xr:uid="{00000000-0005-0000-0000-0000F4050000}"/>
    <cellStyle name="Comma 110" xfId="10663" xr:uid="{00000000-0005-0000-0000-0000F5050000}"/>
    <cellStyle name="Comma 111" xfId="10666" xr:uid="{00000000-0005-0000-0000-0000F6050000}"/>
    <cellStyle name="Comma 112" xfId="10669" xr:uid="{00000000-0005-0000-0000-0000F7050000}"/>
    <cellStyle name="Comma 113" xfId="10672" xr:uid="{00000000-0005-0000-0000-0000F8050000}"/>
    <cellStyle name="Comma 114" xfId="10675" xr:uid="{00000000-0005-0000-0000-0000F9050000}"/>
    <cellStyle name="Comma 115" xfId="10678" xr:uid="{00000000-0005-0000-0000-0000FA050000}"/>
    <cellStyle name="Comma 116" xfId="10681" xr:uid="{00000000-0005-0000-0000-0000FB050000}"/>
    <cellStyle name="Comma 117" xfId="10684" xr:uid="{00000000-0005-0000-0000-0000FC050000}"/>
    <cellStyle name="Comma 118" xfId="10687" xr:uid="{00000000-0005-0000-0000-0000FD050000}"/>
    <cellStyle name="Comma 119" xfId="10690" xr:uid="{00000000-0005-0000-0000-0000FE050000}"/>
    <cellStyle name="Comma 12" xfId="1637" xr:uid="{00000000-0005-0000-0000-0000FF050000}"/>
    <cellStyle name="Comma 12 10" xfId="2029" xr:uid="{00000000-0005-0000-0000-000000060000}"/>
    <cellStyle name="Comma 12 10 2" xfId="11389" xr:uid="{00000000-0005-0000-0000-000001060000}"/>
    <cellStyle name="Comma 12 10 2 2" xfId="28183" xr:uid="{00000000-0005-0000-0000-000002060000}"/>
    <cellStyle name="Comma 12 10 3" xfId="19860" xr:uid="{00000000-0005-0000-0000-000003060000}"/>
    <cellStyle name="Comma 12 11" xfId="6653" xr:uid="{00000000-0005-0000-0000-000004060000}"/>
    <cellStyle name="Comma 12 12" xfId="2127" xr:uid="{00000000-0005-0000-0000-000005060000}"/>
    <cellStyle name="Comma 12 2" xfId="2121" xr:uid="{00000000-0005-0000-0000-000006060000}"/>
    <cellStyle name="Comma 12 2 2" xfId="2028" xr:uid="{00000000-0005-0000-0000-000007060000}"/>
    <cellStyle name="Comma 12 2 2 2" xfId="6654" xr:uid="{00000000-0005-0000-0000-000008060000}"/>
    <cellStyle name="Comma 12 3" xfId="2114" xr:uid="{00000000-0005-0000-0000-000009060000}"/>
    <cellStyle name="Comma 12 3 2" xfId="2027" xr:uid="{00000000-0005-0000-0000-00000A060000}"/>
    <cellStyle name="Comma 12 3 2 2" xfId="2106" xr:uid="{00000000-0005-0000-0000-00000B060000}"/>
    <cellStyle name="Comma 12 3 2 2 2" xfId="6655" xr:uid="{00000000-0005-0000-0000-00000C060000}"/>
    <cellStyle name="Comma 12 3 2 2 2 2" xfId="15858" xr:uid="{00000000-0005-0000-0000-00000D060000}"/>
    <cellStyle name="Comma 12 3 2 2 2 2 2" xfId="32431" xr:uid="{00000000-0005-0000-0000-00000E060000}"/>
    <cellStyle name="Comma 12 3 2 2 2 3" xfId="24384" xr:uid="{00000000-0005-0000-0000-00000F060000}"/>
    <cellStyle name="Comma 12 3 2 2 3" xfId="11588" xr:uid="{00000000-0005-0000-0000-000010060000}"/>
    <cellStyle name="Comma 12 3 2 2 3 2" xfId="28251" xr:uid="{00000000-0005-0000-0000-000011060000}"/>
    <cellStyle name="Comma 12 3 2 2 4" xfId="20055" xr:uid="{00000000-0005-0000-0000-000012060000}"/>
    <cellStyle name="Comma 12 3 2 3" xfId="2026" xr:uid="{00000000-0005-0000-0000-000013060000}"/>
    <cellStyle name="Comma 12 3 2 3 2" xfId="11388" xr:uid="{00000000-0005-0000-0000-000014060000}"/>
    <cellStyle name="Comma 12 3 2 3 2 2" xfId="28182" xr:uid="{00000000-0005-0000-0000-000015060000}"/>
    <cellStyle name="Comma 12 3 2 3 3" xfId="19859" xr:uid="{00000000-0005-0000-0000-000016060000}"/>
    <cellStyle name="Comma 12 3 3" xfId="2099" xr:uid="{00000000-0005-0000-0000-000017060000}"/>
    <cellStyle name="Comma 12 3 3 2" xfId="6656" xr:uid="{00000000-0005-0000-0000-000018060000}"/>
    <cellStyle name="Comma 12 3 3 2 2" xfId="15859" xr:uid="{00000000-0005-0000-0000-000019060000}"/>
    <cellStyle name="Comma 12 3 3 2 2 2" xfId="32432" xr:uid="{00000000-0005-0000-0000-00001A060000}"/>
    <cellStyle name="Comma 12 3 3 2 3" xfId="24385" xr:uid="{00000000-0005-0000-0000-00001B060000}"/>
    <cellStyle name="Comma 12 3 3 3" xfId="11556" xr:uid="{00000000-0005-0000-0000-00001C060000}"/>
    <cellStyle name="Comma 12 3 3 3 2" xfId="28246" xr:uid="{00000000-0005-0000-0000-00001D060000}"/>
    <cellStyle name="Comma 12 3 3 4" xfId="20024" xr:uid="{00000000-0005-0000-0000-00001E060000}"/>
    <cellStyle name="Comma 12 3 4" xfId="2025" xr:uid="{00000000-0005-0000-0000-00001F060000}"/>
    <cellStyle name="Comma 12 3 4 2" xfId="11387" xr:uid="{00000000-0005-0000-0000-000020060000}"/>
    <cellStyle name="Comma 12 3 4 2 2" xfId="28181" xr:uid="{00000000-0005-0000-0000-000021060000}"/>
    <cellStyle name="Comma 12 3 4 3" xfId="19858" xr:uid="{00000000-0005-0000-0000-000022060000}"/>
    <cellStyle name="Comma 12 4" xfId="2266" xr:uid="{00000000-0005-0000-0000-000023060000}"/>
    <cellStyle name="Comma 12 4 2" xfId="2267" xr:uid="{00000000-0005-0000-0000-000024060000}"/>
    <cellStyle name="Comma 12 4 2 2" xfId="6657" xr:uid="{00000000-0005-0000-0000-000025060000}"/>
    <cellStyle name="Comma 12 4 2 2 2" xfId="15860" xr:uid="{00000000-0005-0000-0000-000026060000}"/>
    <cellStyle name="Comma 12 4 2 2 2 2" xfId="32433" xr:uid="{00000000-0005-0000-0000-000027060000}"/>
    <cellStyle name="Comma 12 4 2 2 3" xfId="24386" xr:uid="{00000000-0005-0000-0000-000028060000}"/>
    <cellStyle name="Comma 12 4 2 3" xfId="11900" xr:uid="{00000000-0005-0000-0000-000029060000}"/>
    <cellStyle name="Comma 12 4 2 3 2" xfId="28415" xr:uid="{00000000-0005-0000-0000-00002A060000}"/>
    <cellStyle name="Comma 12 4 2 4" xfId="20372" xr:uid="{00000000-0005-0000-0000-00002B060000}"/>
    <cellStyle name="Comma 12 4 3" xfId="2268" xr:uid="{00000000-0005-0000-0000-00002C060000}"/>
    <cellStyle name="Comma 12 4 3 2" xfId="11901" xr:uid="{00000000-0005-0000-0000-00002D060000}"/>
    <cellStyle name="Comma 12 4 3 2 2" xfId="28416" xr:uid="{00000000-0005-0000-0000-00002E060000}"/>
    <cellStyle name="Comma 12 4 3 3" xfId="20373" xr:uid="{00000000-0005-0000-0000-00002F060000}"/>
    <cellStyle name="Comma 12 5" xfId="2269" xr:uid="{00000000-0005-0000-0000-000030060000}"/>
    <cellStyle name="Comma 12 5 2" xfId="2270" xr:uid="{00000000-0005-0000-0000-000031060000}"/>
    <cellStyle name="Comma 12 5 2 2" xfId="11902" xr:uid="{00000000-0005-0000-0000-000032060000}"/>
    <cellStyle name="Comma 12 5 2 2 2" xfId="28417" xr:uid="{00000000-0005-0000-0000-000033060000}"/>
    <cellStyle name="Comma 12 5 2 3" xfId="20374" xr:uid="{00000000-0005-0000-0000-000034060000}"/>
    <cellStyle name="Comma 12 6" xfId="2271" xr:uid="{00000000-0005-0000-0000-000035060000}"/>
    <cellStyle name="Comma 12 6 2" xfId="6658" xr:uid="{00000000-0005-0000-0000-000036060000}"/>
    <cellStyle name="Comma 12 6 2 2" xfId="15861" xr:uid="{00000000-0005-0000-0000-000037060000}"/>
    <cellStyle name="Comma 12 6 2 2 2" xfId="32434" xr:uid="{00000000-0005-0000-0000-000038060000}"/>
    <cellStyle name="Comma 12 6 2 3" xfId="24387" xr:uid="{00000000-0005-0000-0000-000039060000}"/>
    <cellStyle name="Comma 12 7" xfId="2272" xr:uid="{00000000-0005-0000-0000-00003A060000}"/>
    <cellStyle name="Comma 12 8" xfId="2273" xr:uid="{00000000-0005-0000-0000-00003B060000}"/>
    <cellStyle name="Comma 12 9" xfId="2274" xr:uid="{00000000-0005-0000-0000-00003C060000}"/>
    <cellStyle name="Comma 120" xfId="10693" xr:uid="{00000000-0005-0000-0000-00003D060000}"/>
    <cellStyle name="Comma 121" xfId="10696" xr:uid="{00000000-0005-0000-0000-00003E060000}"/>
    <cellStyle name="Comma 122" xfId="10699" xr:uid="{00000000-0005-0000-0000-00003F060000}"/>
    <cellStyle name="Comma 123" xfId="10702" xr:uid="{00000000-0005-0000-0000-000040060000}"/>
    <cellStyle name="Comma 124" xfId="10705" xr:uid="{00000000-0005-0000-0000-000041060000}"/>
    <cellStyle name="Comma 125" xfId="10708" xr:uid="{00000000-0005-0000-0000-000042060000}"/>
    <cellStyle name="Comma 126" xfId="10711" xr:uid="{00000000-0005-0000-0000-000043060000}"/>
    <cellStyle name="Comma 127" xfId="10714" xr:uid="{00000000-0005-0000-0000-000044060000}"/>
    <cellStyle name="Comma 128" xfId="10717" xr:uid="{00000000-0005-0000-0000-000045060000}"/>
    <cellStyle name="Comma 129" xfId="10720" xr:uid="{00000000-0005-0000-0000-000046060000}"/>
    <cellStyle name="Comma 13" xfId="1639" xr:uid="{00000000-0005-0000-0000-000047060000}"/>
    <cellStyle name="Comma 13 2" xfId="2276" xr:uid="{00000000-0005-0000-0000-000048060000}"/>
    <cellStyle name="Comma 13 2 2" xfId="2277" xr:uid="{00000000-0005-0000-0000-000049060000}"/>
    <cellStyle name="Comma 13 2 2 2" xfId="2278" xr:uid="{00000000-0005-0000-0000-00004A060000}"/>
    <cellStyle name="Comma 13 2 2 2 2" xfId="6659" xr:uid="{00000000-0005-0000-0000-00004B060000}"/>
    <cellStyle name="Comma 13 2 2 2 2 2" xfId="15862" xr:uid="{00000000-0005-0000-0000-00004C060000}"/>
    <cellStyle name="Comma 13 2 2 2 2 2 2" xfId="32435" xr:uid="{00000000-0005-0000-0000-00004D060000}"/>
    <cellStyle name="Comma 13 2 2 2 2 3" xfId="24388" xr:uid="{00000000-0005-0000-0000-00004E060000}"/>
    <cellStyle name="Comma 13 2 2 2 3" xfId="11904" xr:uid="{00000000-0005-0000-0000-00004F060000}"/>
    <cellStyle name="Comma 13 2 2 2 3 2" xfId="28419" xr:uid="{00000000-0005-0000-0000-000050060000}"/>
    <cellStyle name="Comma 13 2 2 2 4" xfId="20376" xr:uid="{00000000-0005-0000-0000-000051060000}"/>
    <cellStyle name="Comma 13 2 2 3" xfId="6660" xr:uid="{00000000-0005-0000-0000-000052060000}"/>
    <cellStyle name="Comma 13 2 2 3 2" xfId="15863" xr:uid="{00000000-0005-0000-0000-000053060000}"/>
    <cellStyle name="Comma 13 2 2 3 2 2" xfId="32436" xr:uid="{00000000-0005-0000-0000-000054060000}"/>
    <cellStyle name="Comma 13 2 2 3 3" xfId="24389" xr:uid="{00000000-0005-0000-0000-000055060000}"/>
    <cellStyle name="Comma 13 2 2 4" xfId="11903" xr:uid="{00000000-0005-0000-0000-000056060000}"/>
    <cellStyle name="Comma 13 2 2 4 2" xfId="28418" xr:uid="{00000000-0005-0000-0000-000057060000}"/>
    <cellStyle name="Comma 13 2 2 5" xfId="20375" xr:uid="{00000000-0005-0000-0000-000058060000}"/>
    <cellStyle name="Comma 13 2 3" xfId="2279" xr:uid="{00000000-0005-0000-0000-000059060000}"/>
    <cellStyle name="Comma 13 2 3 2" xfId="6661" xr:uid="{00000000-0005-0000-0000-00005A060000}"/>
    <cellStyle name="Comma 13 2 3 2 2" xfId="15864" xr:uid="{00000000-0005-0000-0000-00005B060000}"/>
    <cellStyle name="Comma 13 2 3 2 2 2" xfId="32437" xr:uid="{00000000-0005-0000-0000-00005C060000}"/>
    <cellStyle name="Comma 13 2 3 2 3" xfId="24390" xr:uid="{00000000-0005-0000-0000-00005D060000}"/>
    <cellStyle name="Comma 13 2 3 3" xfId="11905" xr:uid="{00000000-0005-0000-0000-00005E060000}"/>
    <cellStyle name="Comma 13 2 3 3 2" xfId="28420" xr:uid="{00000000-0005-0000-0000-00005F060000}"/>
    <cellStyle name="Comma 13 2 3 4" xfId="20377" xr:uid="{00000000-0005-0000-0000-000060060000}"/>
    <cellStyle name="Comma 13 2 4" xfId="2280" xr:uid="{00000000-0005-0000-0000-000061060000}"/>
    <cellStyle name="Comma 13 2 4 2" xfId="11906" xr:uid="{00000000-0005-0000-0000-000062060000}"/>
    <cellStyle name="Comma 13 2 4 2 2" xfId="28421" xr:uid="{00000000-0005-0000-0000-000063060000}"/>
    <cellStyle name="Comma 13 2 4 3" xfId="20378" xr:uid="{00000000-0005-0000-0000-000064060000}"/>
    <cellStyle name="Comma 13 3" xfId="2281" xr:uid="{00000000-0005-0000-0000-000065060000}"/>
    <cellStyle name="Comma 13 3 2" xfId="2282" xr:uid="{00000000-0005-0000-0000-000066060000}"/>
    <cellStyle name="Comma 13 3 2 2" xfId="6662" xr:uid="{00000000-0005-0000-0000-000067060000}"/>
    <cellStyle name="Comma 13 3 2 2 2" xfId="15865" xr:uid="{00000000-0005-0000-0000-000068060000}"/>
    <cellStyle name="Comma 13 3 2 2 2 2" xfId="32438" xr:uid="{00000000-0005-0000-0000-000069060000}"/>
    <cellStyle name="Comma 13 3 2 2 3" xfId="24391" xr:uid="{00000000-0005-0000-0000-00006A060000}"/>
    <cellStyle name="Comma 13 3 2 3" xfId="11907" xr:uid="{00000000-0005-0000-0000-00006B060000}"/>
    <cellStyle name="Comma 13 3 2 3 2" xfId="28422" xr:uid="{00000000-0005-0000-0000-00006C060000}"/>
    <cellStyle name="Comma 13 3 2 4" xfId="20379" xr:uid="{00000000-0005-0000-0000-00006D060000}"/>
    <cellStyle name="Comma 13 3 3" xfId="2283" xr:uid="{00000000-0005-0000-0000-00006E060000}"/>
    <cellStyle name="Comma 13 3 3 2" xfId="11908" xr:uid="{00000000-0005-0000-0000-00006F060000}"/>
    <cellStyle name="Comma 13 3 3 2 2" xfId="28423" xr:uid="{00000000-0005-0000-0000-000070060000}"/>
    <cellStyle name="Comma 13 3 3 3" xfId="20380" xr:uid="{00000000-0005-0000-0000-000071060000}"/>
    <cellStyle name="Comma 13 4" xfId="2284" xr:uid="{00000000-0005-0000-0000-000072060000}"/>
    <cellStyle name="Comma 13 4 2" xfId="2285" xr:uid="{00000000-0005-0000-0000-000073060000}"/>
    <cellStyle name="Comma 13 4 2 2" xfId="11909" xr:uid="{00000000-0005-0000-0000-000074060000}"/>
    <cellStyle name="Comma 13 4 2 2 2" xfId="28424" xr:uid="{00000000-0005-0000-0000-000075060000}"/>
    <cellStyle name="Comma 13 4 2 3" xfId="20381" xr:uid="{00000000-0005-0000-0000-000076060000}"/>
    <cellStyle name="Comma 13 5" xfId="2286" xr:uid="{00000000-0005-0000-0000-000077060000}"/>
    <cellStyle name="Comma 13 5 2" xfId="6663" xr:uid="{00000000-0005-0000-0000-000078060000}"/>
    <cellStyle name="Comma 13 5 2 2" xfId="15866" xr:uid="{00000000-0005-0000-0000-000079060000}"/>
    <cellStyle name="Comma 13 5 2 2 2" xfId="32439" xr:uid="{00000000-0005-0000-0000-00007A060000}"/>
    <cellStyle name="Comma 13 5 2 3" xfId="24392" xr:uid="{00000000-0005-0000-0000-00007B060000}"/>
    <cellStyle name="Comma 13 6" xfId="2287" xr:uid="{00000000-0005-0000-0000-00007C060000}"/>
    <cellStyle name="Comma 13 7" xfId="2288" xr:uid="{00000000-0005-0000-0000-00007D060000}"/>
    <cellStyle name="Comma 13 8" xfId="2289" xr:uid="{00000000-0005-0000-0000-00007E060000}"/>
    <cellStyle name="Comma 13 8 2" xfId="11910" xr:uid="{00000000-0005-0000-0000-00007F060000}"/>
    <cellStyle name="Comma 13 8 2 2" xfId="28425" xr:uid="{00000000-0005-0000-0000-000080060000}"/>
    <cellStyle name="Comma 13 8 3" xfId="20382" xr:uid="{00000000-0005-0000-0000-000081060000}"/>
    <cellStyle name="Comma 13 9" xfId="2275" xr:uid="{00000000-0005-0000-0000-000082060000}"/>
    <cellStyle name="Comma 130" xfId="10723" xr:uid="{00000000-0005-0000-0000-000083060000}"/>
    <cellStyle name="Comma 131" xfId="10726" xr:uid="{00000000-0005-0000-0000-000084060000}"/>
    <cellStyle name="Comma 132" xfId="10729" xr:uid="{00000000-0005-0000-0000-000085060000}"/>
    <cellStyle name="Comma 133" xfId="10732" xr:uid="{00000000-0005-0000-0000-000086060000}"/>
    <cellStyle name="Comma 134" xfId="10735" xr:uid="{00000000-0005-0000-0000-000087060000}"/>
    <cellStyle name="Comma 135" xfId="10738" xr:uid="{00000000-0005-0000-0000-000088060000}"/>
    <cellStyle name="Comma 136" xfId="10741" xr:uid="{00000000-0005-0000-0000-000089060000}"/>
    <cellStyle name="Comma 137" xfId="10744" xr:uid="{00000000-0005-0000-0000-00008A060000}"/>
    <cellStyle name="Comma 138" xfId="10747" xr:uid="{00000000-0005-0000-0000-00008B060000}"/>
    <cellStyle name="Comma 139" xfId="10750" xr:uid="{00000000-0005-0000-0000-00008C060000}"/>
    <cellStyle name="Comma 14" xfId="1641" xr:uid="{00000000-0005-0000-0000-00008D060000}"/>
    <cellStyle name="Comma 14 2" xfId="2291" xr:uid="{00000000-0005-0000-0000-00008E060000}"/>
    <cellStyle name="Comma 14 2 2" xfId="2292" xr:uid="{00000000-0005-0000-0000-00008F060000}"/>
    <cellStyle name="Comma 14 2 2 2" xfId="2293" xr:uid="{00000000-0005-0000-0000-000090060000}"/>
    <cellStyle name="Comma 14 2 2 2 2" xfId="6665" xr:uid="{00000000-0005-0000-0000-000091060000}"/>
    <cellStyle name="Comma 14 2 2 2 2 2" xfId="15867" xr:uid="{00000000-0005-0000-0000-000092060000}"/>
    <cellStyle name="Comma 14 2 2 2 2 2 2" xfId="32440" xr:uid="{00000000-0005-0000-0000-000093060000}"/>
    <cellStyle name="Comma 14 2 2 2 2 3" xfId="24393" xr:uid="{00000000-0005-0000-0000-000094060000}"/>
    <cellStyle name="Comma 14 2 2 2 3" xfId="11913" xr:uid="{00000000-0005-0000-0000-000095060000}"/>
    <cellStyle name="Comma 14 2 2 2 3 2" xfId="28428" xr:uid="{00000000-0005-0000-0000-000096060000}"/>
    <cellStyle name="Comma 14 2 2 2 4" xfId="20385" xr:uid="{00000000-0005-0000-0000-000097060000}"/>
    <cellStyle name="Comma 14 2 2 3" xfId="6666" xr:uid="{00000000-0005-0000-0000-000098060000}"/>
    <cellStyle name="Comma 14 2 2 3 2" xfId="15868" xr:uid="{00000000-0005-0000-0000-000099060000}"/>
    <cellStyle name="Comma 14 2 2 3 2 2" xfId="32441" xr:uid="{00000000-0005-0000-0000-00009A060000}"/>
    <cellStyle name="Comma 14 2 2 3 3" xfId="24394" xr:uid="{00000000-0005-0000-0000-00009B060000}"/>
    <cellStyle name="Comma 14 2 2 4" xfId="11912" xr:uid="{00000000-0005-0000-0000-00009C060000}"/>
    <cellStyle name="Comma 14 2 2 4 2" xfId="28427" xr:uid="{00000000-0005-0000-0000-00009D060000}"/>
    <cellStyle name="Comma 14 2 2 5" xfId="20384" xr:uid="{00000000-0005-0000-0000-00009E060000}"/>
    <cellStyle name="Comma 14 2 3" xfId="2294" xr:uid="{00000000-0005-0000-0000-00009F060000}"/>
    <cellStyle name="Comma 14 2 3 2" xfId="6667" xr:uid="{00000000-0005-0000-0000-0000A0060000}"/>
    <cellStyle name="Comma 14 2 3 2 2" xfId="15869" xr:uid="{00000000-0005-0000-0000-0000A1060000}"/>
    <cellStyle name="Comma 14 2 3 2 2 2" xfId="32442" xr:uid="{00000000-0005-0000-0000-0000A2060000}"/>
    <cellStyle name="Comma 14 2 3 2 3" xfId="24395" xr:uid="{00000000-0005-0000-0000-0000A3060000}"/>
    <cellStyle name="Comma 14 2 3 3" xfId="11914" xr:uid="{00000000-0005-0000-0000-0000A4060000}"/>
    <cellStyle name="Comma 14 2 3 3 2" xfId="28429" xr:uid="{00000000-0005-0000-0000-0000A5060000}"/>
    <cellStyle name="Comma 14 2 3 4" xfId="20386" xr:uid="{00000000-0005-0000-0000-0000A6060000}"/>
    <cellStyle name="Comma 14 2 4" xfId="6668" xr:uid="{00000000-0005-0000-0000-0000A7060000}"/>
    <cellStyle name="Comma 14 2 4 2" xfId="15870" xr:uid="{00000000-0005-0000-0000-0000A8060000}"/>
    <cellStyle name="Comma 14 2 4 2 2" xfId="32443" xr:uid="{00000000-0005-0000-0000-0000A9060000}"/>
    <cellStyle name="Comma 14 2 4 3" xfId="24396" xr:uid="{00000000-0005-0000-0000-0000AA060000}"/>
    <cellStyle name="Comma 14 2 5" xfId="11911" xr:uid="{00000000-0005-0000-0000-0000AB060000}"/>
    <cellStyle name="Comma 14 2 5 2" xfId="28426" xr:uid="{00000000-0005-0000-0000-0000AC060000}"/>
    <cellStyle name="Comma 14 2 6" xfId="20383" xr:uid="{00000000-0005-0000-0000-0000AD060000}"/>
    <cellStyle name="Comma 14 3" xfId="2295" xr:uid="{00000000-0005-0000-0000-0000AE060000}"/>
    <cellStyle name="Comma 14 3 2" xfId="2296" xr:uid="{00000000-0005-0000-0000-0000AF060000}"/>
    <cellStyle name="Comma 14 3 2 2" xfId="6669" xr:uid="{00000000-0005-0000-0000-0000B0060000}"/>
    <cellStyle name="Comma 14 3 2 2 2" xfId="15871" xr:uid="{00000000-0005-0000-0000-0000B1060000}"/>
    <cellStyle name="Comma 14 3 2 2 2 2" xfId="32444" xr:uid="{00000000-0005-0000-0000-0000B2060000}"/>
    <cellStyle name="Comma 14 3 2 2 3" xfId="24397" xr:uid="{00000000-0005-0000-0000-0000B3060000}"/>
    <cellStyle name="Comma 14 3 2 3" xfId="11916" xr:uid="{00000000-0005-0000-0000-0000B4060000}"/>
    <cellStyle name="Comma 14 3 2 3 2" xfId="28431" xr:uid="{00000000-0005-0000-0000-0000B5060000}"/>
    <cellStyle name="Comma 14 3 2 4" xfId="20388" xr:uid="{00000000-0005-0000-0000-0000B6060000}"/>
    <cellStyle name="Comma 14 3 3" xfId="6670" xr:uid="{00000000-0005-0000-0000-0000B7060000}"/>
    <cellStyle name="Comma 14 3 3 2" xfId="15872" xr:uid="{00000000-0005-0000-0000-0000B8060000}"/>
    <cellStyle name="Comma 14 3 3 2 2" xfId="32445" xr:uid="{00000000-0005-0000-0000-0000B9060000}"/>
    <cellStyle name="Comma 14 3 3 3" xfId="24398" xr:uid="{00000000-0005-0000-0000-0000BA060000}"/>
    <cellStyle name="Comma 14 3 4" xfId="11915" xr:uid="{00000000-0005-0000-0000-0000BB060000}"/>
    <cellStyle name="Comma 14 3 4 2" xfId="28430" xr:uid="{00000000-0005-0000-0000-0000BC060000}"/>
    <cellStyle name="Comma 14 3 5" xfId="20387" xr:uid="{00000000-0005-0000-0000-0000BD060000}"/>
    <cellStyle name="Comma 14 4" xfId="2297" xr:uid="{00000000-0005-0000-0000-0000BE060000}"/>
    <cellStyle name="Comma 14 4 2" xfId="6671" xr:uid="{00000000-0005-0000-0000-0000BF060000}"/>
    <cellStyle name="Comma 14 4 2 2" xfId="15873" xr:uid="{00000000-0005-0000-0000-0000C0060000}"/>
    <cellStyle name="Comma 14 4 2 2 2" xfId="32446" xr:uid="{00000000-0005-0000-0000-0000C1060000}"/>
    <cellStyle name="Comma 14 4 2 3" xfId="24399" xr:uid="{00000000-0005-0000-0000-0000C2060000}"/>
    <cellStyle name="Comma 14 4 3" xfId="11917" xr:uid="{00000000-0005-0000-0000-0000C3060000}"/>
    <cellStyle name="Comma 14 4 3 2" xfId="28432" xr:uid="{00000000-0005-0000-0000-0000C4060000}"/>
    <cellStyle name="Comma 14 4 4" xfId="20389" xr:uid="{00000000-0005-0000-0000-0000C5060000}"/>
    <cellStyle name="Comma 14 5" xfId="6672" xr:uid="{00000000-0005-0000-0000-0000C6060000}"/>
    <cellStyle name="Comma 14 5 2" xfId="15874" xr:uid="{00000000-0005-0000-0000-0000C7060000}"/>
    <cellStyle name="Comma 14 5 2 2" xfId="32447" xr:uid="{00000000-0005-0000-0000-0000C8060000}"/>
    <cellStyle name="Comma 14 5 3" xfId="24400" xr:uid="{00000000-0005-0000-0000-0000C9060000}"/>
    <cellStyle name="Comma 14 6" xfId="6664" xr:uid="{00000000-0005-0000-0000-0000CA060000}"/>
    <cellStyle name="Comma 14 7" xfId="2290" xr:uid="{00000000-0005-0000-0000-0000CB060000}"/>
    <cellStyle name="Comma 140" xfId="10753" xr:uid="{00000000-0005-0000-0000-0000CC060000}"/>
    <cellStyle name="Comma 141" xfId="10756" xr:uid="{00000000-0005-0000-0000-0000CD060000}"/>
    <cellStyle name="Comma 142" xfId="10759" xr:uid="{00000000-0005-0000-0000-0000CE060000}"/>
    <cellStyle name="Comma 143" xfId="10762" xr:uid="{00000000-0005-0000-0000-0000CF060000}"/>
    <cellStyle name="Comma 144" xfId="10765" xr:uid="{00000000-0005-0000-0000-0000D0060000}"/>
    <cellStyle name="Comma 145" xfId="10768" xr:uid="{00000000-0005-0000-0000-0000D1060000}"/>
    <cellStyle name="Comma 146" xfId="10771" xr:uid="{00000000-0005-0000-0000-0000D2060000}"/>
    <cellStyle name="Comma 147" xfId="10774" xr:uid="{00000000-0005-0000-0000-0000D3060000}"/>
    <cellStyle name="Comma 148" xfId="10777" xr:uid="{00000000-0005-0000-0000-0000D4060000}"/>
    <cellStyle name="Comma 149" xfId="10780" xr:uid="{00000000-0005-0000-0000-0000D5060000}"/>
    <cellStyle name="Comma 15" xfId="1748" xr:uid="{00000000-0005-0000-0000-0000D6060000}"/>
    <cellStyle name="Comma 15 2" xfId="2299" xr:uid="{00000000-0005-0000-0000-0000D7060000}"/>
    <cellStyle name="Comma 15 2 2" xfId="2300" xr:uid="{00000000-0005-0000-0000-0000D8060000}"/>
    <cellStyle name="Comma 15 2 2 2" xfId="2301" xr:uid="{00000000-0005-0000-0000-0000D9060000}"/>
    <cellStyle name="Comma 15 2 2 2 2" xfId="6673" xr:uid="{00000000-0005-0000-0000-0000DA060000}"/>
    <cellStyle name="Comma 15 2 2 2 2 2" xfId="15875" xr:uid="{00000000-0005-0000-0000-0000DB060000}"/>
    <cellStyle name="Comma 15 2 2 2 2 2 2" xfId="32448" xr:uid="{00000000-0005-0000-0000-0000DC060000}"/>
    <cellStyle name="Comma 15 2 2 2 2 3" xfId="24401" xr:uid="{00000000-0005-0000-0000-0000DD060000}"/>
    <cellStyle name="Comma 15 2 2 2 3" xfId="11920" xr:uid="{00000000-0005-0000-0000-0000DE060000}"/>
    <cellStyle name="Comma 15 2 2 2 3 2" xfId="28435" xr:uid="{00000000-0005-0000-0000-0000DF060000}"/>
    <cellStyle name="Comma 15 2 2 2 4" xfId="20392" xr:uid="{00000000-0005-0000-0000-0000E0060000}"/>
    <cellStyle name="Comma 15 2 2 3" xfId="6674" xr:uid="{00000000-0005-0000-0000-0000E1060000}"/>
    <cellStyle name="Comma 15 2 2 3 2" xfId="15876" xr:uid="{00000000-0005-0000-0000-0000E2060000}"/>
    <cellStyle name="Comma 15 2 2 3 2 2" xfId="32449" xr:uid="{00000000-0005-0000-0000-0000E3060000}"/>
    <cellStyle name="Comma 15 2 2 3 3" xfId="24402" xr:uid="{00000000-0005-0000-0000-0000E4060000}"/>
    <cellStyle name="Comma 15 2 2 4" xfId="11919" xr:uid="{00000000-0005-0000-0000-0000E5060000}"/>
    <cellStyle name="Comma 15 2 2 4 2" xfId="28434" xr:uid="{00000000-0005-0000-0000-0000E6060000}"/>
    <cellStyle name="Comma 15 2 2 5" xfId="20391" xr:uid="{00000000-0005-0000-0000-0000E7060000}"/>
    <cellStyle name="Comma 15 2 3" xfId="2302" xr:uid="{00000000-0005-0000-0000-0000E8060000}"/>
    <cellStyle name="Comma 15 2 3 2" xfId="6675" xr:uid="{00000000-0005-0000-0000-0000E9060000}"/>
    <cellStyle name="Comma 15 2 3 2 2" xfId="15877" xr:uid="{00000000-0005-0000-0000-0000EA060000}"/>
    <cellStyle name="Comma 15 2 3 2 2 2" xfId="32450" xr:uid="{00000000-0005-0000-0000-0000EB060000}"/>
    <cellStyle name="Comma 15 2 3 2 3" xfId="24403" xr:uid="{00000000-0005-0000-0000-0000EC060000}"/>
    <cellStyle name="Comma 15 2 3 3" xfId="11921" xr:uid="{00000000-0005-0000-0000-0000ED060000}"/>
    <cellStyle name="Comma 15 2 3 3 2" xfId="28436" xr:uid="{00000000-0005-0000-0000-0000EE060000}"/>
    <cellStyle name="Comma 15 2 3 4" xfId="20393" xr:uid="{00000000-0005-0000-0000-0000EF060000}"/>
    <cellStyle name="Comma 15 2 4" xfId="6676" xr:uid="{00000000-0005-0000-0000-0000F0060000}"/>
    <cellStyle name="Comma 15 2 4 2" xfId="15878" xr:uid="{00000000-0005-0000-0000-0000F1060000}"/>
    <cellStyle name="Comma 15 2 4 2 2" xfId="32451" xr:uid="{00000000-0005-0000-0000-0000F2060000}"/>
    <cellStyle name="Comma 15 2 4 3" xfId="24404" xr:uid="{00000000-0005-0000-0000-0000F3060000}"/>
    <cellStyle name="Comma 15 2 5" xfId="11918" xr:uid="{00000000-0005-0000-0000-0000F4060000}"/>
    <cellStyle name="Comma 15 2 5 2" xfId="28433" xr:uid="{00000000-0005-0000-0000-0000F5060000}"/>
    <cellStyle name="Comma 15 2 6" xfId="20390" xr:uid="{00000000-0005-0000-0000-0000F6060000}"/>
    <cellStyle name="Comma 15 3" xfId="2303" xr:uid="{00000000-0005-0000-0000-0000F7060000}"/>
    <cellStyle name="Comma 15 3 2" xfId="2304" xr:uid="{00000000-0005-0000-0000-0000F8060000}"/>
    <cellStyle name="Comma 15 3 2 2" xfId="2305" xr:uid="{00000000-0005-0000-0000-0000F9060000}"/>
    <cellStyle name="Comma 15 3 2 2 2" xfId="2306" xr:uid="{00000000-0005-0000-0000-0000FA060000}"/>
    <cellStyle name="Comma 15 3 2 2 2 2" xfId="11925" xr:uid="{00000000-0005-0000-0000-0000FB060000}"/>
    <cellStyle name="Comma 15 3 2 2 2 2 2" xfId="28440" xr:uid="{00000000-0005-0000-0000-0000FC060000}"/>
    <cellStyle name="Comma 15 3 2 2 2 3" xfId="20397" xr:uid="{00000000-0005-0000-0000-0000FD060000}"/>
    <cellStyle name="Comma 15 3 2 2 3" xfId="11924" xr:uid="{00000000-0005-0000-0000-0000FE060000}"/>
    <cellStyle name="Comma 15 3 2 2 3 2" xfId="28439" xr:uid="{00000000-0005-0000-0000-0000FF060000}"/>
    <cellStyle name="Comma 15 3 2 2 4" xfId="20396" xr:uid="{00000000-0005-0000-0000-000000070000}"/>
    <cellStyle name="Comma 15 3 2 3" xfId="11923" xr:uid="{00000000-0005-0000-0000-000001070000}"/>
    <cellStyle name="Comma 15 3 2 3 2" xfId="28438" xr:uid="{00000000-0005-0000-0000-000002070000}"/>
    <cellStyle name="Comma 15 3 2 4" xfId="20395" xr:uid="{00000000-0005-0000-0000-000003070000}"/>
    <cellStyle name="Comma 15 3 3" xfId="6677" xr:uid="{00000000-0005-0000-0000-000004070000}"/>
    <cellStyle name="Comma 15 3 3 2" xfId="15879" xr:uid="{00000000-0005-0000-0000-000005070000}"/>
    <cellStyle name="Comma 15 3 3 2 2" xfId="32452" xr:uid="{00000000-0005-0000-0000-000006070000}"/>
    <cellStyle name="Comma 15 3 3 3" xfId="24405" xr:uid="{00000000-0005-0000-0000-000007070000}"/>
    <cellStyle name="Comma 15 3 4" xfId="11922" xr:uid="{00000000-0005-0000-0000-000008070000}"/>
    <cellStyle name="Comma 15 3 4 2" xfId="28437" xr:uid="{00000000-0005-0000-0000-000009070000}"/>
    <cellStyle name="Comma 15 3 5" xfId="20394" xr:uid="{00000000-0005-0000-0000-00000A070000}"/>
    <cellStyle name="Comma 15 4" xfId="2307" xr:uid="{00000000-0005-0000-0000-00000B070000}"/>
    <cellStyle name="Comma 15 4 2" xfId="6678" xr:uid="{00000000-0005-0000-0000-00000C070000}"/>
    <cellStyle name="Comma 15 4 2 2" xfId="15880" xr:uid="{00000000-0005-0000-0000-00000D070000}"/>
    <cellStyle name="Comma 15 4 2 2 2" xfId="32453" xr:uid="{00000000-0005-0000-0000-00000E070000}"/>
    <cellStyle name="Comma 15 4 2 3" xfId="24406" xr:uid="{00000000-0005-0000-0000-00000F070000}"/>
    <cellStyle name="Comma 15 4 3" xfId="11926" xr:uid="{00000000-0005-0000-0000-000010070000}"/>
    <cellStyle name="Comma 15 4 3 2" xfId="28441" xr:uid="{00000000-0005-0000-0000-000011070000}"/>
    <cellStyle name="Comma 15 4 4" xfId="20398" xr:uid="{00000000-0005-0000-0000-000012070000}"/>
    <cellStyle name="Comma 15 5" xfId="6679" xr:uid="{00000000-0005-0000-0000-000013070000}"/>
    <cellStyle name="Comma 15 5 2" xfId="15881" xr:uid="{00000000-0005-0000-0000-000014070000}"/>
    <cellStyle name="Comma 15 5 2 2" xfId="32454" xr:uid="{00000000-0005-0000-0000-000015070000}"/>
    <cellStyle name="Comma 15 5 3" xfId="24407" xr:uid="{00000000-0005-0000-0000-000016070000}"/>
    <cellStyle name="Comma 15 6" xfId="2298" xr:uid="{00000000-0005-0000-0000-000017070000}"/>
    <cellStyle name="Comma 150" xfId="10783" xr:uid="{00000000-0005-0000-0000-000018070000}"/>
    <cellStyle name="Comma 151" xfId="10786" xr:uid="{00000000-0005-0000-0000-000019070000}"/>
    <cellStyle name="Comma 152" xfId="10789" xr:uid="{00000000-0005-0000-0000-00001A070000}"/>
    <cellStyle name="Comma 153" xfId="10792" xr:uid="{00000000-0005-0000-0000-00001B070000}"/>
    <cellStyle name="Comma 154" xfId="10795" xr:uid="{00000000-0005-0000-0000-00001C070000}"/>
    <cellStyle name="Comma 155" xfId="10798" xr:uid="{00000000-0005-0000-0000-00001D070000}"/>
    <cellStyle name="Comma 156" xfId="10801" xr:uid="{00000000-0005-0000-0000-00001E070000}"/>
    <cellStyle name="Comma 157" xfId="10804" xr:uid="{00000000-0005-0000-0000-00001F070000}"/>
    <cellStyle name="Comma 158" xfId="10807" xr:uid="{00000000-0005-0000-0000-000020070000}"/>
    <cellStyle name="Comma 159" xfId="10810" xr:uid="{00000000-0005-0000-0000-000021070000}"/>
    <cellStyle name="Comma 16" xfId="1785" xr:uid="{00000000-0005-0000-0000-000022070000}"/>
    <cellStyle name="Comma 16 2" xfId="2308" xr:uid="{00000000-0005-0000-0000-000023070000}"/>
    <cellStyle name="Comma 16 2 2" xfId="6680" xr:uid="{00000000-0005-0000-0000-000024070000}"/>
    <cellStyle name="Comma 160" xfId="10813" xr:uid="{00000000-0005-0000-0000-000025070000}"/>
    <cellStyle name="Comma 161" xfId="10816" xr:uid="{00000000-0005-0000-0000-000026070000}"/>
    <cellStyle name="Comma 162" xfId="10819" xr:uid="{00000000-0005-0000-0000-000027070000}"/>
    <cellStyle name="Comma 163" xfId="10822" xr:uid="{00000000-0005-0000-0000-000028070000}"/>
    <cellStyle name="Comma 164" xfId="10825" xr:uid="{00000000-0005-0000-0000-000029070000}"/>
    <cellStyle name="Comma 165" xfId="10828" xr:uid="{00000000-0005-0000-0000-00002A070000}"/>
    <cellStyle name="Comma 166" xfId="10831" xr:uid="{00000000-0005-0000-0000-00002B070000}"/>
    <cellStyle name="Comma 167" xfId="10834" xr:uid="{00000000-0005-0000-0000-00002C070000}"/>
    <cellStyle name="Comma 168" xfId="10837" xr:uid="{00000000-0005-0000-0000-00002D070000}"/>
    <cellStyle name="Comma 169" xfId="10840" xr:uid="{00000000-0005-0000-0000-00002E070000}"/>
    <cellStyle name="Comma 17" xfId="1724" xr:uid="{00000000-0005-0000-0000-00002F070000}"/>
    <cellStyle name="Comma 17 2" xfId="2310" xr:uid="{00000000-0005-0000-0000-000030070000}"/>
    <cellStyle name="Comma 17 2 2" xfId="2311" xr:uid="{00000000-0005-0000-0000-000031070000}"/>
    <cellStyle name="Comma 17 2 2 2" xfId="11928" xr:uid="{00000000-0005-0000-0000-000032070000}"/>
    <cellStyle name="Comma 17 2 2 2 2" xfId="28443" xr:uid="{00000000-0005-0000-0000-000033070000}"/>
    <cellStyle name="Comma 17 2 2 3" xfId="20400" xr:uid="{00000000-0005-0000-0000-000034070000}"/>
    <cellStyle name="Comma 17 2 3" xfId="2312" xr:uid="{00000000-0005-0000-0000-000035070000}"/>
    <cellStyle name="Comma 17 2 3 2" xfId="11929" xr:uid="{00000000-0005-0000-0000-000036070000}"/>
    <cellStyle name="Comma 17 2 3 2 2" xfId="28444" xr:uid="{00000000-0005-0000-0000-000037070000}"/>
    <cellStyle name="Comma 17 2 3 3" xfId="20401" xr:uid="{00000000-0005-0000-0000-000038070000}"/>
    <cellStyle name="Comma 17 2 4" xfId="11927" xr:uid="{00000000-0005-0000-0000-000039070000}"/>
    <cellStyle name="Comma 17 2 4 2" xfId="28442" xr:uid="{00000000-0005-0000-0000-00003A070000}"/>
    <cellStyle name="Comma 17 2 5" xfId="20399" xr:uid="{00000000-0005-0000-0000-00003B070000}"/>
    <cellStyle name="Comma 17 3" xfId="2313" xr:uid="{00000000-0005-0000-0000-00003C070000}"/>
    <cellStyle name="Comma 17 3 2" xfId="11930" xr:uid="{00000000-0005-0000-0000-00003D070000}"/>
    <cellStyle name="Comma 17 3 2 2" xfId="28445" xr:uid="{00000000-0005-0000-0000-00003E070000}"/>
    <cellStyle name="Comma 17 3 3" xfId="20402" xr:uid="{00000000-0005-0000-0000-00003F070000}"/>
    <cellStyle name="Comma 17 4" xfId="2309" xr:uid="{00000000-0005-0000-0000-000040070000}"/>
    <cellStyle name="Comma 170" xfId="10843" xr:uid="{00000000-0005-0000-0000-000041070000}"/>
    <cellStyle name="Comma 171" xfId="10846" xr:uid="{00000000-0005-0000-0000-000042070000}"/>
    <cellStyle name="Comma 172" xfId="10849" xr:uid="{00000000-0005-0000-0000-000043070000}"/>
    <cellStyle name="Comma 173" xfId="10852" xr:uid="{00000000-0005-0000-0000-000044070000}"/>
    <cellStyle name="Comma 174" xfId="10855" xr:uid="{00000000-0005-0000-0000-000045070000}"/>
    <cellStyle name="Comma 175" xfId="10858" xr:uid="{00000000-0005-0000-0000-000046070000}"/>
    <cellStyle name="Comma 176" xfId="10861" xr:uid="{00000000-0005-0000-0000-000047070000}"/>
    <cellStyle name="Comma 177" xfId="10864" xr:uid="{00000000-0005-0000-0000-000048070000}"/>
    <cellStyle name="Comma 178" xfId="10867" xr:uid="{00000000-0005-0000-0000-000049070000}"/>
    <cellStyle name="Comma 179" xfId="10870" xr:uid="{00000000-0005-0000-0000-00004A070000}"/>
    <cellStyle name="Comma 18" xfId="1746" xr:uid="{00000000-0005-0000-0000-00004B070000}"/>
    <cellStyle name="Comma 18 2" xfId="2315" xr:uid="{00000000-0005-0000-0000-00004C070000}"/>
    <cellStyle name="Comma 18 2 2" xfId="2316" xr:uid="{00000000-0005-0000-0000-00004D070000}"/>
    <cellStyle name="Comma 18 2 2 2" xfId="11932" xr:uid="{00000000-0005-0000-0000-00004E070000}"/>
    <cellStyle name="Comma 18 2 2 2 2" xfId="28447" xr:uid="{00000000-0005-0000-0000-00004F070000}"/>
    <cellStyle name="Comma 18 2 2 3" xfId="20404" xr:uid="{00000000-0005-0000-0000-000050070000}"/>
    <cellStyle name="Comma 18 2 3" xfId="6681" xr:uid="{00000000-0005-0000-0000-000051070000}"/>
    <cellStyle name="Comma 18 2 4" xfId="11931" xr:uid="{00000000-0005-0000-0000-000052070000}"/>
    <cellStyle name="Comma 18 2 4 2" xfId="28446" xr:uid="{00000000-0005-0000-0000-000053070000}"/>
    <cellStyle name="Comma 18 2 5" xfId="20403" xr:uid="{00000000-0005-0000-0000-000054070000}"/>
    <cellStyle name="Comma 18 3" xfId="2317" xr:uid="{00000000-0005-0000-0000-000055070000}"/>
    <cellStyle name="Comma 18 3 2" xfId="11933" xr:uid="{00000000-0005-0000-0000-000056070000}"/>
    <cellStyle name="Comma 18 3 2 2" xfId="28448" xr:uid="{00000000-0005-0000-0000-000057070000}"/>
    <cellStyle name="Comma 18 3 3" xfId="20405" xr:uid="{00000000-0005-0000-0000-000058070000}"/>
    <cellStyle name="Comma 18 4" xfId="2318" xr:uid="{00000000-0005-0000-0000-000059070000}"/>
    <cellStyle name="Comma 18 5" xfId="2314" xr:uid="{00000000-0005-0000-0000-00005A070000}"/>
    <cellStyle name="Comma 180" xfId="10873" xr:uid="{00000000-0005-0000-0000-00005B070000}"/>
    <cellStyle name="Comma 181" xfId="10876" xr:uid="{00000000-0005-0000-0000-00005C070000}"/>
    <cellStyle name="Comma 182" xfId="10879" xr:uid="{00000000-0005-0000-0000-00005D070000}"/>
    <cellStyle name="Comma 183" xfId="10882" xr:uid="{00000000-0005-0000-0000-00005E070000}"/>
    <cellStyle name="Comma 184" xfId="10885" xr:uid="{00000000-0005-0000-0000-00005F070000}"/>
    <cellStyle name="Comma 185" xfId="10888" xr:uid="{00000000-0005-0000-0000-000060070000}"/>
    <cellStyle name="Comma 186" xfId="10957" xr:uid="{00000000-0005-0000-0000-000061070000}"/>
    <cellStyle name="Comma 187" xfId="10960" xr:uid="{00000000-0005-0000-0000-000062070000}"/>
    <cellStyle name="Comma 188" xfId="10963" xr:uid="{00000000-0005-0000-0000-000063070000}"/>
    <cellStyle name="Comma 189" xfId="10966" xr:uid="{00000000-0005-0000-0000-000064070000}"/>
    <cellStyle name="Comma 19" xfId="1788" xr:uid="{00000000-0005-0000-0000-000065070000}"/>
    <cellStyle name="Comma 19 2" xfId="2320" xr:uid="{00000000-0005-0000-0000-000066070000}"/>
    <cellStyle name="Comma 19 2 2" xfId="11934" xr:uid="{00000000-0005-0000-0000-000067070000}"/>
    <cellStyle name="Comma 19 2 2 2" xfId="28449" xr:uid="{00000000-0005-0000-0000-000068070000}"/>
    <cellStyle name="Comma 19 2 3" xfId="20406" xr:uid="{00000000-0005-0000-0000-000069070000}"/>
    <cellStyle name="Comma 19 3" xfId="2319" xr:uid="{00000000-0005-0000-0000-00006A070000}"/>
    <cellStyle name="Comma 190" xfId="10969" xr:uid="{00000000-0005-0000-0000-00006B070000}"/>
    <cellStyle name="Comma 191" xfId="10972" xr:uid="{00000000-0005-0000-0000-00006C070000}"/>
    <cellStyle name="Comma 192" xfId="10975" xr:uid="{00000000-0005-0000-0000-00006D070000}"/>
    <cellStyle name="Comma 193" xfId="10978" xr:uid="{00000000-0005-0000-0000-00006E070000}"/>
    <cellStyle name="Comma 194" xfId="10981" xr:uid="{00000000-0005-0000-0000-00006F070000}"/>
    <cellStyle name="Comma 195" xfId="10984" xr:uid="{00000000-0005-0000-0000-000070070000}"/>
    <cellStyle name="Comma 196" xfId="10987" xr:uid="{00000000-0005-0000-0000-000071070000}"/>
    <cellStyle name="Comma 197" xfId="10990" xr:uid="{00000000-0005-0000-0000-000072070000}"/>
    <cellStyle name="Comma 198" xfId="10993" xr:uid="{00000000-0005-0000-0000-000073070000}"/>
    <cellStyle name="Comma 199" xfId="10996" xr:uid="{00000000-0005-0000-0000-000074070000}"/>
    <cellStyle name="Comma 2" xfId="13" xr:uid="{00000000-0005-0000-0000-000075070000}"/>
    <cellStyle name="Comma 2 2" xfId="20" xr:uid="{00000000-0005-0000-0000-000076070000}"/>
    <cellStyle name="Comma 2 2 2" xfId="174" xr:uid="{00000000-0005-0000-0000-000077070000}"/>
    <cellStyle name="Comma 2 2 2 2" xfId="175" xr:uid="{00000000-0005-0000-0000-000078070000}"/>
    <cellStyle name="Comma 2 2 2 2 2" xfId="176" xr:uid="{00000000-0005-0000-0000-000079070000}"/>
    <cellStyle name="Comma 2 2 2 2 3" xfId="2324" xr:uid="{00000000-0005-0000-0000-00007A070000}"/>
    <cellStyle name="Comma 2 2 2 2 3 2" xfId="28450" xr:uid="{00000000-0005-0000-0000-00007B070000}"/>
    <cellStyle name="Comma 2 2 2 2 4" xfId="20407" xr:uid="{00000000-0005-0000-0000-00007C070000}"/>
    <cellStyle name="Comma 2 2 2 3" xfId="177" xr:uid="{00000000-0005-0000-0000-00007D070000}"/>
    <cellStyle name="Comma 2 2 2 3 2" xfId="2325" xr:uid="{00000000-0005-0000-0000-00007E070000}"/>
    <cellStyle name="Comma 2 2 2 3 2 2" xfId="28451" xr:uid="{00000000-0005-0000-0000-00007F070000}"/>
    <cellStyle name="Comma 2 2 2 3 3" xfId="20408" xr:uid="{00000000-0005-0000-0000-000080070000}"/>
    <cellStyle name="Comma 2 2 2 4" xfId="10905" xr:uid="{00000000-0005-0000-0000-000081070000}"/>
    <cellStyle name="Comma 2 2 2 5" xfId="2323" xr:uid="{00000000-0005-0000-0000-000082070000}"/>
    <cellStyle name="Comma 2 2 3" xfId="178" xr:uid="{00000000-0005-0000-0000-000083070000}"/>
    <cellStyle name="Comma 2 2 3 2" xfId="179" xr:uid="{00000000-0005-0000-0000-000084070000}"/>
    <cellStyle name="Comma 2 2 3 3" xfId="2326" xr:uid="{00000000-0005-0000-0000-000085070000}"/>
    <cellStyle name="Comma 2 2 3 3 2" xfId="28452" xr:uid="{00000000-0005-0000-0000-000086070000}"/>
    <cellStyle name="Comma 2 2 3 4" xfId="20409" xr:uid="{00000000-0005-0000-0000-000087070000}"/>
    <cellStyle name="Comma 2 2 4" xfId="180" xr:uid="{00000000-0005-0000-0000-000088070000}"/>
    <cellStyle name="Comma 2 2 4 2" xfId="2327" xr:uid="{00000000-0005-0000-0000-000089070000}"/>
    <cellStyle name="Comma 2 2 5" xfId="437" xr:uid="{00000000-0005-0000-0000-00008A070000}"/>
    <cellStyle name="Comma 2 2 6" xfId="1725" xr:uid="{00000000-0005-0000-0000-00008B070000}"/>
    <cellStyle name="Comma 2 2 7" xfId="2322" xr:uid="{00000000-0005-0000-0000-00008C070000}"/>
    <cellStyle name="Comma 2 3" xfId="181" xr:uid="{00000000-0005-0000-0000-00008D070000}"/>
    <cellStyle name="Comma 2 3 2" xfId="182" xr:uid="{00000000-0005-0000-0000-00008E070000}"/>
    <cellStyle name="Comma 2 3 2 2" xfId="6682" xr:uid="{00000000-0005-0000-0000-00008F070000}"/>
    <cellStyle name="Comma 2 3 2 3" xfId="2329" xr:uid="{00000000-0005-0000-0000-000090070000}"/>
    <cellStyle name="Comma 2 3 2 3 2" xfId="28453" xr:uid="{00000000-0005-0000-0000-000091070000}"/>
    <cellStyle name="Comma 2 3 2 4" xfId="20410" xr:uid="{00000000-0005-0000-0000-000092070000}"/>
    <cellStyle name="Comma 2 3 3" xfId="2330" xr:uid="{00000000-0005-0000-0000-000093070000}"/>
    <cellStyle name="Comma 2 3 4" xfId="2328" xr:uid="{00000000-0005-0000-0000-000094070000}"/>
    <cellStyle name="Comma 2 4" xfId="183" xr:uid="{00000000-0005-0000-0000-000095070000}"/>
    <cellStyle name="Comma 2 4 2" xfId="2332" xr:uid="{00000000-0005-0000-0000-000096070000}"/>
    <cellStyle name="Comma 2 4 2 2" xfId="11935" xr:uid="{00000000-0005-0000-0000-000097070000}"/>
    <cellStyle name="Comma 2 4 2 2 2" xfId="28454" xr:uid="{00000000-0005-0000-0000-000098070000}"/>
    <cellStyle name="Comma 2 4 2 3" xfId="20411" xr:uid="{00000000-0005-0000-0000-000099070000}"/>
    <cellStyle name="Comma 2 4 3" xfId="6683" xr:uid="{00000000-0005-0000-0000-00009A070000}"/>
    <cellStyle name="Comma 2 4 4" xfId="2331" xr:uid="{00000000-0005-0000-0000-00009B070000}"/>
    <cellStyle name="Comma 2 5" xfId="378" xr:uid="{00000000-0005-0000-0000-00009C070000}"/>
    <cellStyle name="Comma 2 5 2" xfId="2333" xr:uid="{00000000-0005-0000-0000-00009D070000}"/>
    <cellStyle name="Comma 2 6" xfId="2321" xr:uid="{00000000-0005-0000-0000-00009E070000}"/>
    <cellStyle name="Comma 2 7" xfId="6637" xr:uid="{00000000-0005-0000-0000-00009F070000}"/>
    <cellStyle name="Comma 2 8" xfId="10903" xr:uid="{00000000-0005-0000-0000-0000A0070000}"/>
    <cellStyle name="Comma 2 8 2" xfId="28240" xr:uid="{00000000-0005-0000-0000-0000A1070000}"/>
    <cellStyle name="Comma 2 9" xfId="2088" xr:uid="{00000000-0005-0000-0000-0000A2070000}"/>
    <cellStyle name="Comma 20" xfId="2334" xr:uid="{00000000-0005-0000-0000-0000A3070000}"/>
    <cellStyle name="Comma 20 2" xfId="6684" xr:uid="{00000000-0005-0000-0000-0000A4070000}"/>
    <cellStyle name="Comma 20 2 2" xfId="15882" xr:uid="{00000000-0005-0000-0000-0000A5070000}"/>
    <cellStyle name="Comma 20 2 2 2" xfId="32455" xr:uid="{00000000-0005-0000-0000-0000A6070000}"/>
    <cellStyle name="Comma 20 2 3" xfId="24408" xr:uid="{00000000-0005-0000-0000-0000A7070000}"/>
    <cellStyle name="Comma 200" xfId="10999" xr:uid="{00000000-0005-0000-0000-0000A8070000}"/>
    <cellStyle name="Comma 201" xfId="11002" xr:uid="{00000000-0005-0000-0000-0000A9070000}"/>
    <cellStyle name="Comma 202" xfId="11005" xr:uid="{00000000-0005-0000-0000-0000AA070000}"/>
    <cellStyle name="Comma 203" xfId="11008" xr:uid="{00000000-0005-0000-0000-0000AB070000}"/>
    <cellStyle name="Comma 204" xfId="11011" xr:uid="{00000000-0005-0000-0000-0000AC070000}"/>
    <cellStyle name="Comma 205" xfId="11014" xr:uid="{00000000-0005-0000-0000-0000AD070000}"/>
    <cellStyle name="Comma 206" xfId="11017" xr:uid="{00000000-0005-0000-0000-0000AE070000}"/>
    <cellStyle name="Comma 207" xfId="11020" xr:uid="{00000000-0005-0000-0000-0000AF070000}"/>
    <cellStyle name="Comma 208" xfId="11023" xr:uid="{00000000-0005-0000-0000-0000B0070000}"/>
    <cellStyle name="Comma 209" xfId="11026" xr:uid="{00000000-0005-0000-0000-0000B1070000}"/>
    <cellStyle name="Comma 21" xfId="2335" xr:uid="{00000000-0005-0000-0000-0000B2070000}"/>
    <cellStyle name="Comma 21 2" xfId="6685" xr:uid="{00000000-0005-0000-0000-0000B3070000}"/>
    <cellStyle name="Comma 21 2 2" xfId="15883" xr:uid="{00000000-0005-0000-0000-0000B4070000}"/>
    <cellStyle name="Comma 21 2 2 2" xfId="32456" xr:uid="{00000000-0005-0000-0000-0000B5070000}"/>
    <cellStyle name="Comma 21 2 3" xfId="24409" xr:uid="{00000000-0005-0000-0000-0000B6070000}"/>
    <cellStyle name="Comma 210" xfId="11029" xr:uid="{00000000-0005-0000-0000-0000B7070000}"/>
    <cellStyle name="Comma 211" xfId="11032" xr:uid="{00000000-0005-0000-0000-0000B8070000}"/>
    <cellStyle name="Comma 212" xfId="11035" xr:uid="{00000000-0005-0000-0000-0000B9070000}"/>
    <cellStyle name="Comma 213" xfId="11038" xr:uid="{00000000-0005-0000-0000-0000BA070000}"/>
    <cellStyle name="Comma 214" xfId="11041" xr:uid="{00000000-0005-0000-0000-0000BB070000}"/>
    <cellStyle name="Comma 215" xfId="11044" xr:uid="{00000000-0005-0000-0000-0000BC070000}"/>
    <cellStyle name="Comma 216" xfId="11047" xr:uid="{00000000-0005-0000-0000-0000BD070000}"/>
    <cellStyle name="Comma 217" xfId="11050" xr:uid="{00000000-0005-0000-0000-0000BE070000}"/>
    <cellStyle name="Comma 218" xfId="11053" xr:uid="{00000000-0005-0000-0000-0000BF070000}"/>
    <cellStyle name="Comma 219" xfId="11056" xr:uid="{00000000-0005-0000-0000-0000C0070000}"/>
    <cellStyle name="Comma 22" xfId="2336" xr:uid="{00000000-0005-0000-0000-0000C1070000}"/>
    <cellStyle name="Comma 22 2" xfId="6686" xr:uid="{00000000-0005-0000-0000-0000C2070000}"/>
    <cellStyle name="Comma 220" xfId="11059" xr:uid="{00000000-0005-0000-0000-0000C3070000}"/>
    <cellStyle name="Comma 221" xfId="11062" xr:uid="{00000000-0005-0000-0000-0000C4070000}"/>
    <cellStyle name="Comma 222" xfId="11064" xr:uid="{00000000-0005-0000-0000-0000C5070000}"/>
    <cellStyle name="Comma 223" xfId="1795" xr:uid="{00000000-0005-0000-0000-0000C6070000}"/>
    <cellStyle name="Comma 224" xfId="10951" xr:uid="{00000000-0005-0000-0000-0000C7070000}"/>
    <cellStyle name="Comma 225" xfId="11093" xr:uid="{00000000-0005-0000-0000-0000C8070000}"/>
    <cellStyle name="Comma 226" xfId="11116" xr:uid="{00000000-0005-0000-0000-0000C9070000}"/>
    <cellStyle name="Comma 227" xfId="36204" xr:uid="{00000000-0005-0000-0000-0000CA070000}"/>
    <cellStyle name="Comma 23" xfId="2337" xr:uid="{00000000-0005-0000-0000-0000CB070000}"/>
    <cellStyle name="Comma 23 2" xfId="6634" xr:uid="{00000000-0005-0000-0000-0000CC070000}"/>
    <cellStyle name="Comma 24" xfId="2338" xr:uid="{00000000-0005-0000-0000-0000CD070000}"/>
    <cellStyle name="Comma 24 2" xfId="10412" xr:uid="{00000000-0005-0000-0000-0000CE070000}"/>
    <cellStyle name="Comma 24 3" xfId="11936" xr:uid="{00000000-0005-0000-0000-0000CF070000}"/>
    <cellStyle name="Comma 24 3 2" xfId="28455" xr:uid="{00000000-0005-0000-0000-0000D0070000}"/>
    <cellStyle name="Comma 24 4" xfId="20412" xr:uid="{00000000-0005-0000-0000-0000D1070000}"/>
    <cellStyle name="Comma 25" xfId="2339" xr:uid="{00000000-0005-0000-0000-0000D2070000}"/>
    <cellStyle name="Comma 25 2" xfId="2340" xr:uid="{00000000-0005-0000-0000-0000D3070000}"/>
    <cellStyle name="Comma 25 3" xfId="6630" xr:uid="{00000000-0005-0000-0000-0000D4070000}"/>
    <cellStyle name="Comma 26" xfId="2341" xr:uid="{00000000-0005-0000-0000-0000D5070000}"/>
    <cellStyle name="Comma 27" xfId="2342" xr:uid="{00000000-0005-0000-0000-0000D6070000}"/>
    <cellStyle name="Comma 28" xfId="2343" xr:uid="{00000000-0005-0000-0000-0000D7070000}"/>
    <cellStyle name="Comma 29" xfId="2344" xr:uid="{00000000-0005-0000-0000-0000D8070000}"/>
    <cellStyle name="Comma 29 2" xfId="11937" xr:uid="{00000000-0005-0000-0000-0000D9070000}"/>
    <cellStyle name="Comma 29 2 2" xfId="28456" xr:uid="{00000000-0005-0000-0000-0000DA070000}"/>
    <cellStyle name="Comma 29 3" xfId="20413" xr:uid="{00000000-0005-0000-0000-0000DB070000}"/>
    <cellStyle name="Comma 3" xfId="21" xr:uid="{00000000-0005-0000-0000-0000DC070000}"/>
    <cellStyle name="Comma 3 2" xfId="78" xr:uid="{00000000-0005-0000-0000-0000DD070000}"/>
    <cellStyle name="Comma 3 2 2" xfId="184" xr:uid="{00000000-0005-0000-0000-0000DE070000}"/>
    <cellStyle name="Comma 3 2 2 2" xfId="185" xr:uid="{00000000-0005-0000-0000-0000DF070000}"/>
    <cellStyle name="Comma 3 2 2 3" xfId="2347" xr:uid="{00000000-0005-0000-0000-0000E0070000}"/>
    <cellStyle name="Comma 3 2 3" xfId="186" xr:uid="{00000000-0005-0000-0000-0000E1070000}"/>
    <cellStyle name="Comma 3 2 3 2" xfId="6688" xr:uid="{00000000-0005-0000-0000-0000E2070000}"/>
    <cellStyle name="Comma 3 2 4" xfId="6687" xr:uid="{00000000-0005-0000-0000-0000E3070000}"/>
    <cellStyle name="Comma 3 2 5" xfId="2346" xr:uid="{00000000-0005-0000-0000-0000E4070000}"/>
    <cellStyle name="Comma 3 3" xfId="187" xr:uid="{00000000-0005-0000-0000-0000E5070000}"/>
    <cellStyle name="Comma 3 3 2" xfId="6689" xr:uid="{00000000-0005-0000-0000-0000E6070000}"/>
    <cellStyle name="Comma 3 3 3" xfId="2348" xr:uid="{00000000-0005-0000-0000-0000E7070000}"/>
    <cellStyle name="Comma 3 4" xfId="2349" xr:uid="{00000000-0005-0000-0000-0000E8070000}"/>
    <cellStyle name="Comma 3 5" xfId="2350" xr:uid="{00000000-0005-0000-0000-0000E9070000}"/>
    <cellStyle name="Comma 3 6" xfId="2351" xr:uid="{00000000-0005-0000-0000-0000EA070000}"/>
    <cellStyle name="Comma 3 7" xfId="2345" xr:uid="{00000000-0005-0000-0000-0000EB070000}"/>
    <cellStyle name="Comma 3 8" xfId="6639" xr:uid="{00000000-0005-0000-0000-0000EC070000}"/>
    <cellStyle name="Comma 3 8 2" xfId="15856" xr:uid="{00000000-0005-0000-0000-0000ED070000}"/>
    <cellStyle name="Comma 3 8 2 2" xfId="32428" xr:uid="{00000000-0005-0000-0000-0000EE070000}"/>
    <cellStyle name="Comma 3 8 3" xfId="24381" xr:uid="{00000000-0005-0000-0000-0000EF070000}"/>
    <cellStyle name="Comma 3 9" xfId="2117" xr:uid="{00000000-0005-0000-0000-0000F0070000}"/>
    <cellStyle name="Comma 30" xfId="2086" xr:uid="{00000000-0005-0000-0000-0000F1070000}"/>
    <cellStyle name="Comma 30 2" xfId="11484" xr:uid="{00000000-0005-0000-0000-0000F2070000}"/>
    <cellStyle name="Comma 30 2 2" xfId="28239" xr:uid="{00000000-0005-0000-0000-0000F3070000}"/>
    <cellStyle name="Comma 30 3" xfId="19955" xr:uid="{00000000-0005-0000-0000-0000F4070000}"/>
    <cellStyle name="Comma 31" xfId="10426" xr:uid="{00000000-0005-0000-0000-0000F5070000}"/>
    <cellStyle name="Comma 31 2" xfId="28158" xr:uid="{00000000-0005-0000-0000-0000F6070000}"/>
    <cellStyle name="Comma 32" xfId="10429" xr:uid="{00000000-0005-0000-0000-0000F7070000}"/>
    <cellStyle name="Comma 33" xfId="10432" xr:uid="{00000000-0005-0000-0000-0000F8070000}"/>
    <cellStyle name="Comma 34" xfId="10435" xr:uid="{00000000-0005-0000-0000-0000F9070000}"/>
    <cellStyle name="Comma 35" xfId="10438" xr:uid="{00000000-0005-0000-0000-0000FA070000}"/>
    <cellStyle name="Comma 36" xfId="10441" xr:uid="{00000000-0005-0000-0000-0000FB070000}"/>
    <cellStyle name="Comma 36 2" xfId="19648" xr:uid="{00000000-0005-0000-0000-0000FC070000}"/>
    <cellStyle name="Comma 37" xfId="10444" xr:uid="{00000000-0005-0000-0000-0000FD070000}"/>
    <cellStyle name="Comma 38" xfId="10447" xr:uid="{00000000-0005-0000-0000-0000FE070000}"/>
    <cellStyle name="Comma 39" xfId="10450" xr:uid="{00000000-0005-0000-0000-0000FF070000}"/>
    <cellStyle name="Comma 4" xfId="22" xr:uid="{00000000-0005-0000-0000-000000080000}"/>
    <cellStyle name="Comma 4 2" xfId="188" xr:uid="{00000000-0005-0000-0000-000001080000}"/>
    <cellStyle name="Comma 4 2 2" xfId="6690" xr:uid="{00000000-0005-0000-0000-000002080000}"/>
    <cellStyle name="Comma 4 2 3" xfId="2353" xr:uid="{00000000-0005-0000-0000-000003080000}"/>
    <cellStyle name="Comma 4 3" xfId="2354" xr:uid="{00000000-0005-0000-0000-000004080000}"/>
    <cellStyle name="Comma 4 3 2" xfId="6691" xr:uid="{00000000-0005-0000-0000-000005080000}"/>
    <cellStyle name="Comma 4 4" xfId="2355" xr:uid="{00000000-0005-0000-0000-000006080000}"/>
    <cellStyle name="Comma 4 5" xfId="2356" xr:uid="{00000000-0005-0000-0000-000007080000}"/>
    <cellStyle name="Comma 4 6" xfId="2352" xr:uid="{00000000-0005-0000-0000-000008080000}"/>
    <cellStyle name="Comma 4 7" xfId="6635" xr:uid="{00000000-0005-0000-0000-000009080000}"/>
    <cellStyle name="Comma 4 8" xfId="2024" xr:uid="{00000000-0005-0000-0000-00000A080000}"/>
    <cellStyle name="Comma 40" xfId="10453" xr:uid="{00000000-0005-0000-0000-00000B080000}"/>
    <cellStyle name="Comma 41" xfId="10456" xr:uid="{00000000-0005-0000-0000-00000C080000}"/>
    <cellStyle name="Comma 42" xfId="10459" xr:uid="{00000000-0005-0000-0000-00000D080000}"/>
    <cellStyle name="Comma 43" xfId="10462" xr:uid="{00000000-0005-0000-0000-00000E080000}"/>
    <cellStyle name="Comma 44" xfId="10465" xr:uid="{00000000-0005-0000-0000-00000F080000}"/>
    <cellStyle name="Comma 45" xfId="10468" xr:uid="{00000000-0005-0000-0000-000010080000}"/>
    <cellStyle name="Comma 46" xfId="10471" xr:uid="{00000000-0005-0000-0000-000011080000}"/>
    <cellStyle name="Comma 47" xfId="10474" xr:uid="{00000000-0005-0000-0000-000012080000}"/>
    <cellStyle name="Comma 48" xfId="10477" xr:uid="{00000000-0005-0000-0000-000013080000}"/>
    <cellStyle name="Comma 49" xfId="10480" xr:uid="{00000000-0005-0000-0000-000014080000}"/>
    <cellStyle name="Comma 5" xfId="23" xr:uid="{00000000-0005-0000-0000-000015080000}"/>
    <cellStyle name="Comma 5 2" xfId="189" xr:uid="{00000000-0005-0000-0000-000016080000}"/>
    <cellStyle name="Comma 5 2 2" xfId="190" xr:uid="{00000000-0005-0000-0000-000017080000}"/>
    <cellStyle name="Comma 5 2 2 2" xfId="11938" xr:uid="{00000000-0005-0000-0000-000018080000}"/>
    <cellStyle name="Comma 5 2 2 2 2" xfId="28457" xr:uid="{00000000-0005-0000-0000-000019080000}"/>
    <cellStyle name="Comma 5 2 2 3" xfId="20414" xr:uid="{00000000-0005-0000-0000-00001A080000}"/>
    <cellStyle name="Comma 5 2 3" xfId="2359" xr:uid="{00000000-0005-0000-0000-00001B080000}"/>
    <cellStyle name="Comma 5 2 3 2" xfId="11939" xr:uid="{00000000-0005-0000-0000-00001C080000}"/>
    <cellStyle name="Comma 5 2 3 2 2" xfId="28458" xr:uid="{00000000-0005-0000-0000-00001D080000}"/>
    <cellStyle name="Comma 5 2 3 3" xfId="20415" xr:uid="{00000000-0005-0000-0000-00001E080000}"/>
    <cellStyle name="Comma 5 2 4" xfId="6692" xr:uid="{00000000-0005-0000-0000-00001F080000}"/>
    <cellStyle name="Comma 5 2 5" xfId="2358" xr:uid="{00000000-0005-0000-0000-000020080000}"/>
    <cellStyle name="Comma 5 3" xfId="191" xr:uid="{00000000-0005-0000-0000-000021080000}"/>
    <cellStyle name="Comma 5 3 2" xfId="2361" xr:uid="{00000000-0005-0000-0000-000022080000}"/>
    <cellStyle name="Comma 5 3 2 2" xfId="11940" xr:uid="{00000000-0005-0000-0000-000023080000}"/>
    <cellStyle name="Comma 5 3 2 2 2" xfId="28459" xr:uid="{00000000-0005-0000-0000-000024080000}"/>
    <cellStyle name="Comma 5 3 2 3" xfId="20416" xr:uid="{00000000-0005-0000-0000-000025080000}"/>
    <cellStyle name="Comma 5 3 3" xfId="2360" xr:uid="{00000000-0005-0000-0000-000026080000}"/>
    <cellStyle name="Comma 5 4" xfId="438" xr:uid="{00000000-0005-0000-0000-000027080000}"/>
    <cellStyle name="Comma 5 4 2" xfId="2362" xr:uid="{00000000-0005-0000-0000-000028080000}"/>
    <cellStyle name="Comma 5 5" xfId="1750" xr:uid="{00000000-0005-0000-0000-000029080000}"/>
    <cellStyle name="Comma 5 5 2" xfId="2363" xr:uid="{00000000-0005-0000-0000-00002A080000}"/>
    <cellStyle name="Comma 5 6" xfId="1726" xr:uid="{00000000-0005-0000-0000-00002B080000}"/>
    <cellStyle name="Comma 5 7" xfId="6628" xr:uid="{00000000-0005-0000-0000-00002C080000}"/>
    <cellStyle name="Comma 5 8" xfId="2357" xr:uid="{00000000-0005-0000-0000-00002D080000}"/>
    <cellStyle name="Comma 50" xfId="10483" xr:uid="{00000000-0005-0000-0000-00002E080000}"/>
    <cellStyle name="Comma 51" xfId="10486" xr:uid="{00000000-0005-0000-0000-00002F080000}"/>
    <cellStyle name="Comma 52" xfId="10489" xr:uid="{00000000-0005-0000-0000-000030080000}"/>
    <cellStyle name="Comma 53" xfId="10492" xr:uid="{00000000-0005-0000-0000-000031080000}"/>
    <cellStyle name="Comma 54" xfId="10495" xr:uid="{00000000-0005-0000-0000-000032080000}"/>
    <cellStyle name="Comma 55" xfId="10498" xr:uid="{00000000-0005-0000-0000-000033080000}"/>
    <cellStyle name="Comma 56" xfId="10501" xr:uid="{00000000-0005-0000-0000-000034080000}"/>
    <cellStyle name="Comma 57" xfId="10504" xr:uid="{00000000-0005-0000-0000-000035080000}"/>
    <cellStyle name="Comma 58" xfId="10507" xr:uid="{00000000-0005-0000-0000-000036080000}"/>
    <cellStyle name="Comma 59" xfId="10510" xr:uid="{00000000-0005-0000-0000-000037080000}"/>
    <cellStyle name="Comma 6" xfId="24" xr:uid="{00000000-0005-0000-0000-000038080000}"/>
    <cellStyle name="Comma 6 2" xfId="1751" xr:uid="{00000000-0005-0000-0000-000039080000}"/>
    <cellStyle name="Comma 6 2 2" xfId="2365" xr:uid="{00000000-0005-0000-0000-00003A080000}"/>
    <cellStyle name="Comma 6 2 3" xfId="2364" xr:uid="{00000000-0005-0000-0000-00003B080000}"/>
    <cellStyle name="Comma 6 3" xfId="2366" xr:uid="{00000000-0005-0000-0000-00003C080000}"/>
    <cellStyle name="Comma 6 4" xfId="2367" xr:uid="{00000000-0005-0000-0000-00003D080000}"/>
    <cellStyle name="Comma 60" xfId="10513" xr:uid="{00000000-0005-0000-0000-00003E080000}"/>
    <cellStyle name="Comma 61" xfId="10516" xr:uid="{00000000-0005-0000-0000-00003F080000}"/>
    <cellStyle name="Comma 62" xfId="10519" xr:uid="{00000000-0005-0000-0000-000040080000}"/>
    <cellStyle name="Comma 63" xfId="10522" xr:uid="{00000000-0005-0000-0000-000041080000}"/>
    <cellStyle name="Comma 64" xfId="10525" xr:uid="{00000000-0005-0000-0000-000042080000}"/>
    <cellStyle name="Comma 65" xfId="10528" xr:uid="{00000000-0005-0000-0000-000043080000}"/>
    <cellStyle name="Comma 66" xfId="10531" xr:uid="{00000000-0005-0000-0000-000044080000}"/>
    <cellStyle name="Comma 67" xfId="10534" xr:uid="{00000000-0005-0000-0000-000045080000}"/>
    <cellStyle name="Comma 68" xfId="10537" xr:uid="{00000000-0005-0000-0000-000046080000}"/>
    <cellStyle name="Comma 69" xfId="10540" xr:uid="{00000000-0005-0000-0000-000047080000}"/>
    <cellStyle name="Comma 7" xfId="25" xr:uid="{00000000-0005-0000-0000-000048080000}"/>
    <cellStyle name="Comma 7 10" xfId="2369" xr:uid="{00000000-0005-0000-0000-000049080000}"/>
    <cellStyle name="Comma 7 11" xfId="2370" xr:uid="{00000000-0005-0000-0000-00004A080000}"/>
    <cellStyle name="Comma 7 12" xfId="2371" xr:uid="{00000000-0005-0000-0000-00004B080000}"/>
    <cellStyle name="Comma 7 13" xfId="2372" xr:uid="{00000000-0005-0000-0000-00004C080000}"/>
    <cellStyle name="Comma 7 14" xfId="2373" xr:uid="{00000000-0005-0000-0000-00004D080000}"/>
    <cellStyle name="Comma 7 15" xfId="2374" xr:uid="{00000000-0005-0000-0000-00004E080000}"/>
    <cellStyle name="Comma 7 16" xfId="2375" xr:uid="{00000000-0005-0000-0000-00004F080000}"/>
    <cellStyle name="Comma 7 17" xfId="2376" xr:uid="{00000000-0005-0000-0000-000050080000}"/>
    <cellStyle name="Comma 7 18" xfId="2368" xr:uid="{00000000-0005-0000-0000-000051080000}"/>
    <cellStyle name="Comma 7 2" xfId="1752" xr:uid="{00000000-0005-0000-0000-000052080000}"/>
    <cellStyle name="Comma 7 2 2" xfId="2378" xr:uid="{00000000-0005-0000-0000-000053080000}"/>
    <cellStyle name="Comma 7 2 2 2" xfId="2379" xr:uid="{00000000-0005-0000-0000-000054080000}"/>
    <cellStyle name="Comma 7 2 3" xfId="2380" xr:uid="{00000000-0005-0000-0000-000055080000}"/>
    <cellStyle name="Comma 7 2 4" xfId="2381" xr:uid="{00000000-0005-0000-0000-000056080000}"/>
    <cellStyle name="Comma 7 2 5" xfId="2377" xr:uid="{00000000-0005-0000-0000-000057080000}"/>
    <cellStyle name="Comma 7 3" xfId="2382" xr:uid="{00000000-0005-0000-0000-000058080000}"/>
    <cellStyle name="Comma 7 3 2" xfId="2383" xr:uid="{00000000-0005-0000-0000-000059080000}"/>
    <cellStyle name="Comma 7 3 3" xfId="2384" xr:uid="{00000000-0005-0000-0000-00005A080000}"/>
    <cellStyle name="Comma 7 4" xfId="2385" xr:uid="{00000000-0005-0000-0000-00005B080000}"/>
    <cellStyle name="Comma 7 5" xfId="2386" xr:uid="{00000000-0005-0000-0000-00005C080000}"/>
    <cellStyle name="Comma 7 6" xfId="2387" xr:uid="{00000000-0005-0000-0000-00005D080000}"/>
    <cellStyle name="Comma 7 7" xfId="2388" xr:uid="{00000000-0005-0000-0000-00005E080000}"/>
    <cellStyle name="Comma 7 8" xfId="2389" xr:uid="{00000000-0005-0000-0000-00005F080000}"/>
    <cellStyle name="Comma 7 9" xfId="2390" xr:uid="{00000000-0005-0000-0000-000060080000}"/>
    <cellStyle name="Comma 70" xfId="10543" xr:uid="{00000000-0005-0000-0000-000061080000}"/>
    <cellStyle name="Comma 71" xfId="10546" xr:uid="{00000000-0005-0000-0000-000062080000}"/>
    <cellStyle name="Comma 72" xfId="10549" xr:uid="{00000000-0005-0000-0000-000063080000}"/>
    <cellStyle name="Comma 73" xfId="10552" xr:uid="{00000000-0005-0000-0000-000064080000}"/>
    <cellStyle name="Comma 74" xfId="10555" xr:uid="{00000000-0005-0000-0000-000065080000}"/>
    <cellStyle name="Comma 75" xfId="10558" xr:uid="{00000000-0005-0000-0000-000066080000}"/>
    <cellStyle name="Comma 76" xfId="10561" xr:uid="{00000000-0005-0000-0000-000067080000}"/>
    <cellStyle name="Comma 77" xfId="10564" xr:uid="{00000000-0005-0000-0000-000068080000}"/>
    <cellStyle name="Comma 78" xfId="10567" xr:uid="{00000000-0005-0000-0000-000069080000}"/>
    <cellStyle name="Comma 79" xfId="10570" xr:uid="{00000000-0005-0000-0000-00006A080000}"/>
    <cellStyle name="Comma 8" xfId="26" xr:uid="{00000000-0005-0000-0000-00006B080000}"/>
    <cellStyle name="Comma 8 2" xfId="1753" xr:uid="{00000000-0005-0000-0000-00006C080000}"/>
    <cellStyle name="Comma 8 2 2" xfId="2393" xr:uid="{00000000-0005-0000-0000-00006D080000}"/>
    <cellStyle name="Comma 8 2 3" xfId="2392" xr:uid="{00000000-0005-0000-0000-00006E080000}"/>
    <cellStyle name="Comma 8 3" xfId="2394" xr:uid="{00000000-0005-0000-0000-00006F080000}"/>
    <cellStyle name="Comma 8 3 2" xfId="2395" xr:uid="{00000000-0005-0000-0000-000070080000}"/>
    <cellStyle name="Comma 8 3 2 2" xfId="2396" xr:uid="{00000000-0005-0000-0000-000071080000}"/>
    <cellStyle name="Comma 8 3 2 2 2" xfId="11942" xr:uid="{00000000-0005-0000-0000-000072080000}"/>
    <cellStyle name="Comma 8 3 2 2 2 2" xfId="28461" xr:uid="{00000000-0005-0000-0000-000073080000}"/>
    <cellStyle name="Comma 8 3 2 2 3" xfId="20418" xr:uid="{00000000-0005-0000-0000-000074080000}"/>
    <cellStyle name="Comma 8 3 2 3" xfId="2397" xr:uid="{00000000-0005-0000-0000-000075080000}"/>
    <cellStyle name="Comma 8 3 2 3 2" xfId="11943" xr:uid="{00000000-0005-0000-0000-000076080000}"/>
    <cellStyle name="Comma 8 3 2 3 2 2" xfId="28462" xr:uid="{00000000-0005-0000-0000-000077080000}"/>
    <cellStyle name="Comma 8 3 2 3 3" xfId="20419" xr:uid="{00000000-0005-0000-0000-000078080000}"/>
    <cellStyle name="Comma 8 3 2 4" xfId="11941" xr:uid="{00000000-0005-0000-0000-000079080000}"/>
    <cellStyle name="Comma 8 3 2 4 2" xfId="28460" xr:uid="{00000000-0005-0000-0000-00007A080000}"/>
    <cellStyle name="Comma 8 3 2 5" xfId="20417" xr:uid="{00000000-0005-0000-0000-00007B080000}"/>
    <cellStyle name="Comma 8 3 3" xfId="2398" xr:uid="{00000000-0005-0000-0000-00007C080000}"/>
    <cellStyle name="Comma 8 3 3 2" xfId="11944" xr:uid="{00000000-0005-0000-0000-00007D080000}"/>
    <cellStyle name="Comma 8 3 3 2 2" xfId="28463" xr:uid="{00000000-0005-0000-0000-00007E080000}"/>
    <cellStyle name="Comma 8 3 3 3" xfId="20420" xr:uid="{00000000-0005-0000-0000-00007F080000}"/>
    <cellStyle name="Comma 8 4" xfId="2399" xr:uid="{00000000-0005-0000-0000-000080080000}"/>
    <cellStyle name="Comma 8 4 2" xfId="2400" xr:uid="{00000000-0005-0000-0000-000081080000}"/>
    <cellStyle name="Comma 8 4 2 2" xfId="2401" xr:uid="{00000000-0005-0000-0000-000082080000}"/>
    <cellStyle name="Comma 8 4 2 2 2" xfId="2402" xr:uid="{00000000-0005-0000-0000-000083080000}"/>
    <cellStyle name="Comma 8 4 2 2 2 2" xfId="2403" xr:uid="{00000000-0005-0000-0000-000084080000}"/>
    <cellStyle name="Comma 8 4 2 2 2 2 2" xfId="11949" xr:uid="{00000000-0005-0000-0000-000085080000}"/>
    <cellStyle name="Comma 8 4 2 2 2 2 2 2" xfId="28468" xr:uid="{00000000-0005-0000-0000-000086080000}"/>
    <cellStyle name="Comma 8 4 2 2 2 2 3" xfId="20425" xr:uid="{00000000-0005-0000-0000-000087080000}"/>
    <cellStyle name="Comma 8 4 2 2 2 3" xfId="11948" xr:uid="{00000000-0005-0000-0000-000088080000}"/>
    <cellStyle name="Comma 8 4 2 2 2 3 2" xfId="28467" xr:uid="{00000000-0005-0000-0000-000089080000}"/>
    <cellStyle name="Comma 8 4 2 2 2 4" xfId="20424" xr:uid="{00000000-0005-0000-0000-00008A080000}"/>
    <cellStyle name="Comma 8 4 2 2 3" xfId="11947" xr:uid="{00000000-0005-0000-0000-00008B080000}"/>
    <cellStyle name="Comma 8 4 2 2 3 2" xfId="28466" xr:uid="{00000000-0005-0000-0000-00008C080000}"/>
    <cellStyle name="Comma 8 4 2 2 4" xfId="20423" xr:uid="{00000000-0005-0000-0000-00008D080000}"/>
    <cellStyle name="Comma 8 4 2 3" xfId="11946" xr:uid="{00000000-0005-0000-0000-00008E080000}"/>
    <cellStyle name="Comma 8 4 2 3 2" xfId="28465" xr:uid="{00000000-0005-0000-0000-00008F080000}"/>
    <cellStyle name="Comma 8 4 2 4" xfId="20422" xr:uid="{00000000-0005-0000-0000-000090080000}"/>
    <cellStyle name="Comma 8 4 3" xfId="11945" xr:uid="{00000000-0005-0000-0000-000091080000}"/>
    <cellStyle name="Comma 8 4 3 2" xfId="28464" xr:uid="{00000000-0005-0000-0000-000092080000}"/>
    <cellStyle name="Comma 8 4 4" xfId="20421" xr:uid="{00000000-0005-0000-0000-000093080000}"/>
    <cellStyle name="Comma 8 5" xfId="2404" xr:uid="{00000000-0005-0000-0000-000094080000}"/>
    <cellStyle name="Comma 8 6" xfId="2391" xr:uid="{00000000-0005-0000-0000-000095080000}"/>
    <cellStyle name="Comma 80" xfId="10573" xr:uid="{00000000-0005-0000-0000-000096080000}"/>
    <cellStyle name="Comma 81" xfId="10576" xr:uid="{00000000-0005-0000-0000-000097080000}"/>
    <cellStyle name="Comma 82" xfId="10579" xr:uid="{00000000-0005-0000-0000-000098080000}"/>
    <cellStyle name="Comma 83" xfId="10582" xr:uid="{00000000-0005-0000-0000-000099080000}"/>
    <cellStyle name="Comma 84" xfId="10585" xr:uid="{00000000-0005-0000-0000-00009A080000}"/>
    <cellStyle name="Comma 85" xfId="10588" xr:uid="{00000000-0005-0000-0000-00009B080000}"/>
    <cellStyle name="Comma 86" xfId="10591" xr:uid="{00000000-0005-0000-0000-00009C080000}"/>
    <cellStyle name="Comma 87" xfId="10594" xr:uid="{00000000-0005-0000-0000-00009D080000}"/>
    <cellStyle name="Comma 88" xfId="10597" xr:uid="{00000000-0005-0000-0000-00009E080000}"/>
    <cellStyle name="Comma 89" xfId="10600" xr:uid="{00000000-0005-0000-0000-00009F080000}"/>
    <cellStyle name="Comma 9" xfId="27" xr:uid="{00000000-0005-0000-0000-0000A0080000}"/>
    <cellStyle name="Comma 9 2" xfId="1754" xr:uid="{00000000-0005-0000-0000-0000A1080000}"/>
    <cellStyle name="Comma 9 2 2" xfId="2407" xr:uid="{00000000-0005-0000-0000-0000A2080000}"/>
    <cellStyle name="Comma 9 2 3" xfId="2406" xr:uid="{00000000-0005-0000-0000-0000A3080000}"/>
    <cellStyle name="Comma 9 3" xfId="2408" xr:uid="{00000000-0005-0000-0000-0000A4080000}"/>
    <cellStyle name="Comma 9 4" xfId="2409" xr:uid="{00000000-0005-0000-0000-0000A5080000}"/>
    <cellStyle name="Comma 9 5" xfId="6693" xr:uid="{00000000-0005-0000-0000-0000A6080000}"/>
    <cellStyle name="Comma 9 6" xfId="2405" xr:uid="{00000000-0005-0000-0000-0000A7080000}"/>
    <cellStyle name="Comma 90" xfId="10603" xr:uid="{00000000-0005-0000-0000-0000A8080000}"/>
    <cellStyle name="Comma 91" xfId="10606" xr:uid="{00000000-0005-0000-0000-0000A9080000}"/>
    <cellStyle name="Comma 92" xfId="10609" xr:uid="{00000000-0005-0000-0000-0000AA080000}"/>
    <cellStyle name="Comma 93" xfId="10612" xr:uid="{00000000-0005-0000-0000-0000AB080000}"/>
    <cellStyle name="Comma 94" xfId="10615" xr:uid="{00000000-0005-0000-0000-0000AC080000}"/>
    <cellStyle name="Comma 95" xfId="10618" xr:uid="{00000000-0005-0000-0000-0000AD080000}"/>
    <cellStyle name="Comma 96" xfId="10621" xr:uid="{00000000-0005-0000-0000-0000AE080000}"/>
    <cellStyle name="Comma 97" xfId="10624" xr:uid="{00000000-0005-0000-0000-0000AF080000}"/>
    <cellStyle name="Comma 98" xfId="10627" xr:uid="{00000000-0005-0000-0000-0000B0080000}"/>
    <cellStyle name="Comma 99" xfId="10630" xr:uid="{00000000-0005-0000-0000-0000B1080000}"/>
    <cellStyle name="Comma Cents" xfId="553" xr:uid="{00000000-0005-0000-0000-0000B2080000}"/>
    <cellStyle name="comma[0]" xfId="28" xr:uid="{00000000-0005-0000-0000-0000B3080000}"/>
    <cellStyle name="comma[0] 2" xfId="554" xr:uid="{00000000-0005-0000-0000-0000B4080000}"/>
    <cellStyle name="comma[1]" xfId="29" xr:uid="{00000000-0005-0000-0000-0000B5080000}"/>
    <cellStyle name="comma[1] 2" xfId="30" xr:uid="{00000000-0005-0000-0000-0000B6080000}"/>
    <cellStyle name="comma[1] 2 2" xfId="1755" xr:uid="{00000000-0005-0000-0000-0000B7080000}"/>
    <cellStyle name="comma[1] 3" xfId="31" xr:uid="{00000000-0005-0000-0000-0000B8080000}"/>
    <cellStyle name="comma[1] 3 2" xfId="1756" xr:uid="{00000000-0005-0000-0000-0000B9080000}"/>
    <cellStyle name="comma[1] 4" xfId="32" xr:uid="{00000000-0005-0000-0000-0000BA080000}"/>
    <cellStyle name="comma[1] 4 2" xfId="33" xr:uid="{00000000-0005-0000-0000-0000BB080000}"/>
    <cellStyle name="comma[1] 4 2 2" xfId="1758" xr:uid="{00000000-0005-0000-0000-0000BC080000}"/>
    <cellStyle name="comma[1] 4 3" xfId="1757" xr:uid="{00000000-0005-0000-0000-0000BD080000}"/>
    <cellStyle name="comma[2]" xfId="34" xr:uid="{00000000-0005-0000-0000-0000BE080000}"/>
    <cellStyle name="Comma_EMC072000" xfId="83" xr:uid="{00000000-0005-0000-0000-0000BF080000}"/>
    <cellStyle name="Comma0" xfId="1880" xr:uid="{00000000-0005-0000-0000-0000C0080000}"/>
    <cellStyle name="Company" xfId="1881" xr:uid="{00000000-0005-0000-0000-0000C1080000}"/>
    <cellStyle name="Company Name" xfId="2016" xr:uid="{00000000-0005-0000-0000-0000C2080000}"/>
    <cellStyle name="CompanyName" xfId="1882" xr:uid="{00000000-0005-0000-0000-0000C3080000}"/>
    <cellStyle name="CompanyTitle" xfId="555" xr:uid="{00000000-0005-0000-0000-0000C4080000}"/>
    <cellStyle name="CR Comma" xfId="6694" xr:uid="{00000000-0005-0000-0000-0000C5080000}"/>
    <cellStyle name="CR Currency" xfId="6695" xr:uid="{00000000-0005-0000-0000-0000C6080000}"/>
    <cellStyle name="CurRatio" xfId="1883" xr:uid="{00000000-0005-0000-0000-0000C7080000}"/>
    <cellStyle name="Currency" xfId="2" builtinId="4"/>
    <cellStyle name="Currency $" xfId="556" xr:uid="{00000000-0005-0000-0000-0000C9080000}"/>
    <cellStyle name="Currency [1]" xfId="35" xr:uid="{00000000-0005-0000-0000-0000CA080000}"/>
    <cellStyle name="Currency [1] 2" xfId="557" xr:uid="{00000000-0005-0000-0000-0000CB080000}"/>
    <cellStyle name="Currency [1] 3" xfId="1654" xr:uid="{00000000-0005-0000-0000-0000CC080000}"/>
    <cellStyle name="Currency [1] 3 2" xfId="1697" xr:uid="{00000000-0005-0000-0000-0000CD080000}"/>
    <cellStyle name="Currency [1] 3 3" xfId="1716" xr:uid="{00000000-0005-0000-0000-0000CE080000}"/>
    <cellStyle name="Currency [1] 4" xfId="36206" xr:uid="{00000000-0005-0000-0000-0000CF080000}"/>
    <cellStyle name="Currency [1] 5" xfId="36219" xr:uid="{00000000-0005-0000-0000-0000D0080000}"/>
    <cellStyle name="Currency [1] 6" xfId="36242" xr:uid="{00000000-0005-0000-0000-0000D1080000}"/>
    <cellStyle name="Currency [2]" xfId="36" xr:uid="{00000000-0005-0000-0000-0000D2080000}"/>
    <cellStyle name="Currency [2] 2" xfId="37" xr:uid="{00000000-0005-0000-0000-0000D3080000}"/>
    <cellStyle name="Currency [2] 2 2" xfId="1760" xr:uid="{00000000-0005-0000-0000-0000D4080000}"/>
    <cellStyle name="Currency [2] 3" xfId="38" xr:uid="{00000000-0005-0000-0000-0000D5080000}"/>
    <cellStyle name="Currency [2] 3 2" xfId="1761" xr:uid="{00000000-0005-0000-0000-0000D6080000}"/>
    <cellStyle name="Currency [2] 4" xfId="39" xr:uid="{00000000-0005-0000-0000-0000D7080000}"/>
    <cellStyle name="Currency [2] 4 2" xfId="40" xr:uid="{00000000-0005-0000-0000-0000D8080000}"/>
    <cellStyle name="Currency [2] 4 2 2" xfId="1763" xr:uid="{00000000-0005-0000-0000-0000D9080000}"/>
    <cellStyle name="Currency [2] 4 3" xfId="1762" xr:uid="{00000000-0005-0000-0000-0000DA080000}"/>
    <cellStyle name="Currency [2] 5" xfId="558" xr:uid="{00000000-0005-0000-0000-0000DB080000}"/>
    <cellStyle name="Currency [2] 6" xfId="1884" xr:uid="{00000000-0005-0000-0000-0000DC080000}"/>
    <cellStyle name="Currency [2]_BBBB 2 4 09" xfId="41" xr:uid="{00000000-0005-0000-0000-0000DD080000}"/>
    <cellStyle name="Currency 0.00" xfId="6641" xr:uid="{00000000-0005-0000-0000-0000DE080000}"/>
    <cellStyle name="Currency 10" xfId="1759" xr:uid="{00000000-0005-0000-0000-0000DF080000}"/>
    <cellStyle name="Currency 10 2" xfId="2410" xr:uid="{00000000-0005-0000-0000-0000E0080000}"/>
    <cellStyle name="Currency 10 3" xfId="6696" xr:uid="{00000000-0005-0000-0000-0000E1080000}"/>
    <cellStyle name="Currency 10 3 2" xfId="15884" xr:uid="{00000000-0005-0000-0000-0000E2080000}"/>
    <cellStyle name="Currency 10 3 2 2" xfId="32457" xr:uid="{00000000-0005-0000-0000-0000E3080000}"/>
    <cellStyle name="Currency 10 3 3" xfId="24410" xr:uid="{00000000-0005-0000-0000-0000E4080000}"/>
    <cellStyle name="Currency 11" xfId="1767" xr:uid="{00000000-0005-0000-0000-0000E5080000}"/>
    <cellStyle name="Currency 11 2" xfId="6697" xr:uid="{00000000-0005-0000-0000-0000E6080000}"/>
    <cellStyle name="Currency 11 2 2" xfId="32458" xr:uid="{00000000-0005-0000-0000-0000E7080000}"/>
    <cellStyle name="Currency 11 3" xfId="24411" xr:uid="{00000000-0005-0000-0000-0000E8080000}"/>
    <cellStyle name="Currency 12" xfId="1727" xr:uid="{00000000-0005-0000-0000-0000E9080000}"/>
    <cellStyle name="Currency 13" xfId="1745" xr:uid="{00000000-0005-0000-0000-0000EA080000}"/>
    <cellStyle name="Currency 14" xfId="1789" xr:uid="{00000000-0005-0000-0000-0000EB080000}"/>
    <cellStyle name="Currency 14 2" xfId="6631" xr:uid="{00000000-0005-0000-0000-0000EC080000}"/>
    <cellStyle name="Currency 15" xfId="1793" xr:uid="{00000000-0005-0000-0000-0000ED080000}"/>
    <cellStyle name="Currency 15 2" xfId="11133" xr:uid="{00000000-0005-0000-0000-0000EE080000}"/>
    <cellStyle name="Currency 16" xfId="10953" xr:uid="{00000000-0005-0000-0000-0000EF080000}"/>
    <cellStyle name="Currency 16 2" xfId="19627" xr:uid="{00000000-0005-0000-0000-0000F0080000}"/>
    <cellStyle name="Currency 17" xfId="11091" xr:uid="{00000000-0005-0000-0000-0000F1080000}"/>
    <cellStyle name="Currency 17 2" xfId="19628" xr:uid="{00000000-0005-0000-0000-0000F2080000}"/>
    <cellStyle name="Currency 18" xfId="19629" xr:uid="{00000000-0005-0000-0000-0000F3080000}"/>
    <cellStyle name="Currency 19" xfId="19630" xr:uid="{00000000-0005-0000-0000-0000F4080000}"/>
    <cellStyle name="Currency 2" xfId="14" xr:uid="{00000000-0005-0000-0000-0000F5080000}"/>
    <cellStyle name="Currency 2 2" xfId="192" xr:uid="{00000000-0005-0000-0000-0000F6080000}"/>
    <cellStyle name="Currency 2 2 2" xfId="193" xr:uid="{00000000-0005-0000-0000-0000F7080000}"/>
    <cellStyle name="Currency 2 2 2 2" xfId="194" xr:uid="{00000000-0005-0000-0000-0000F8080000}"/>
    <cellStyle name="Currency 2 2 3" xfId="195" xr:uid="{00000000-0005-0000-0000-0000F9080000}"/>
    <cellStyle name="Currency 2 2 3 2" xfId="6645" xr:uid="{00000000-0005-0000-0000-0000FA080000}"/>
    <cellStyle name="Currency 2 2 3 2 2" xfId="32430" xr:uid="{00000000-0005-0000-0000-0000FB080000}"/>
    <cellStyle name="Currency 2 2 3 3" xfId="24383" xr:uid="{00000000-0005-0000-0000-0000FC080000}"/>
    <cellStyle name="Currency 2 3" xfId="196" xr:uid="{00000000-0005-0000-0000-0000FD080000}"/>
    <cellStyle name="Currency 2 3 2" xfId="197" xr:uid="{00000000-0005-0000-0000-0000FE080000}"/>
    <cellStyle name="Currency 2 3 3" xfId="2412" xr:uid="{00000000-0005-0000-0000-0000FF080000}"/>
    <cellStyle name="Currency 2 4" xfId="198" xr:uid="{00000000-0005-0000-0000-000000090000}"/>
    <cellStyle name="Currency 2 4 2" xfId="2413" xr:uid="{00000000-0005-0000-0000-000001090000}"/>
    <cellStyle name="Currency 2 5" xfId="380" xr:uid="{00000000-0005-0000-0000-000002090000}"/>
    <cellStyle name="Currency 2 5 2" xfId="2411" xr:uid="{00000000-0005-0000-0000-000003090000}"/>
    <cellStyle name="Currency 2 6" xfId="6638" xr:uid="{00000000-0005-0000-0000-000004090000}"/>
    <cellStyle name="Currency 2 7" xfId="10907" xr:uid="{00000000-0005-0000-0000-000005090000}"/>
    <cellStyle name="Currency 2 7 2" xfId="28179" xr:uid="{00000000-0005-0000-0000-000006090000}"/>
    <cellStyle name="Currency 2 8" xfId="2017" xr:uid="{00000000-0005-0000-0000-000007090000}"/>
    <cellStyle name="Currency 20" xfId="19646" xr:uid="{00000000-0005-0000-0000-000008090000}"/>
    <cellStyle name="Currency 21" xfId="19631" xr:uid="{00000000-0005-0000-0000-000009090000}"/>
    <cellStyle name="Currency 22" xfId="11118" xr:uid="{00000000-0005-0000-0000-00000A090000}"/>
    <cellStyle name="Currency 23" xfId="36205" xr:uid="{00000000-0005-0000-0000-00000B090000}"/>
    <cellStyle name="Currency 3" xfId="4" xr:uid="{00000000-0005-0000-0000-00000C090000}"/>
    <cellStyle name="Currency 3 10" xfId="2019" xr:uid="{00000000-0005-0000-0000-00000D090000}"/>
    <cellStyle name="Currency 3 2" xfId="79" xr:uid="{00000000-0005-0000-0000-00000E090000}"/>
    <cellStyle name="Currency 3 2 2" xfId="199" xr:uid="{00000000-0005-0000-0000-00000F090000}"/>
    <cellStyle name="Currency 3 2 2 2" xfId="6699" xr:uid="{00000000-0005-0000-0000-000010090000}"/>
    <cellStyle name="Currency 3 2 3" xfId="6698" xr:uid="{00000000-0005-0000-0000-000011090000}"/>
    <cellStyle name="Currency 3 2 3 2" xfId="15885" xr:uid="{00000000-0005-0000-0000-000012090000}"/>
    <cellStyle name="Currency 3 2 3 2 2" xfId="32459" xr:uid="{00000000-0005-0000-0000-000013090000}"/>
    <cellStyle name="Currency 3 2 3 3" xfId="24412" xr:uid="{00000000-0005-0000-0000-000014090000}"/>
    <cellStyle name="Currency 3 2 4" xfId="2415" xr:uid="{00000000-0005-0000-0000-000015090000}"/>
    <cellStyle name="Currency 3 3" xfId="200" xr:uid="{00000000-0005-0000-0000-000016090000}"/>
    <cellStyle name="Currency 3 3 2" xfId="6701" xr:uid="{00000000-0005-0000-0000-000017090000}"/>
    <cellStyle name="Currency 3 3 3" xfId="6700" xr:uid="{00000000-0005-0000-0000-000018090000}"/>
    <cellStyle name="Currency 3 3 4" xfId="2416" xr:uid="{00000000-0005-0000-0000-000019090000}"/>
    <cellStyle name="Currency 3 4" xfId="2417" xr:uid="{00000000-0005-0000-0000-00001A090000}"/>
    <cellStyle name="Currency 3 4 2" xfId="2418" xr:uid="{00000000-0005-0000-0000-00001B090000}"/>
    <cellStyle name="Currency 3 4 2 2" xfId="2419" xr:uid="{00000000-0005-0000-0000-00001C090000}"/>
    <cellStyle name="Currency 3 4 2 2 2" xfId="6702" xr:uid="{00000000-0005-0000-0000-00001D090000}"/>
    <cellStyle name="Currency 3 4 2 2 2 2" xfId="15886" xr:uid="{00000000-0005-0000-0000-00001E090000}"/>
    <cellStyle name="Currency 3 4 2 2 2 2 2" xfId="32460" xr:uid="{00000000-0005-0000-0000-00001F090000}"/>
    <cellStyle name="Currency 3 4 2 2 2 3" xfId="24413" xr:uid="{00000000-0005-0000-0000-000020090000}"/>
    <cellStyle name="Currency 3 4 2 2 3" xfId="11951" xr:uid="{00000000-0005-0000-0000-000021090000}"/>
    <cellStyle name="Currency 3 4 2 2 3 2" xfId="28470" xr:uid="{00000000-0005-0000-0000-000022090000}"/>
    <cellStyle name="Currency 3 4 2 2 4" xfId="20427" xr:uid="{00000000-0005-0000-0000-000023090000}"/>
    <cellStyle name="Currency 3 4 2 3" xfId="2420" xr:uid="{00000000-0005-0000-0000-000024090000}"/>
    <cellStyle name="Currency 3 4 2 3 2" xfId="11952" xr:uid="{00000000-0005-0000-0000-000025090000}"/>
    <cellStyle name="Currency 3 4 2 3 2 2" xfId="28471" xr:uid="{00000000-0005-0000-0000-000026090000}"/>
    <cellStyle name="Currency 3 4 2 3 3" xfId="20428" xr:uid="{00000000-0005-0000-0000-000027090000}"/>
    <cellStyle name="Currency 3 4 2 4" xfId="11950" xr:uid="{00000000-0005-0000-0000-000028090000}"/>
    <cellStyle name="Currency 3 4 2 4 2" xfId="28469" xr:uid="{00000000-0005-0000-0000-000029090000}"/>
    <cellStyle name="Currency 3 4 2 5" xfId="20426" xr:uid="{00000000-0005-0000-0000-00002A090000}"/>
    <cellStyle name="Currency 3 4 3" xfId="2421" xr:uid="{00000000-0005-0000-0000-00002B090000}"/>
    <cellStyle name="Currency 3 4 3 2" xfId="6703" xr:uid="{00000000-0005-0000-0000-00002C090000}"/>
    <cellStyle name="Currency 3 4 3 2 2" xfId="15887" xr:uid="{00000000-0005-0000-0000-00002D090000}"/>
    <cellStyle name="Currency 3 4 3 2 2 2" xfId="32461" xr:uid="{00000000-0005-0000-0000-00002E090000}"/>
    <cellStyle name="Currency 3 4 3 2 3" xfId="24414" xr:uid="{00000000-0005-0000-0000-00002F090000}"/>
    <cellStyle name="Currency 3 4 3 3" xfId="11953" xr:uid="{00000000-0005-0000-0000-000030090000}"/>
    <cellStyle name="Currency 3 4 3 3 2" xfId="28472" xr:uid="{00000000-0005-0000-0000-000031090000}"/>
    <cellStyle name="Currency 3 4 3 4" xfId="20429" xr:uid="{00000000-0005-0000-0000-000032090000}"/>
    <cellStyle name="Currency 3 4 4" xfId="2422" xr:uid="{00000000-0005-0000-0000-000033090000}"/>
    <cellStyle name="Currency 3 4 4 2" xfId="11954" xr:uid="{00000000-0005-0000-0000-000034090000}"/>
    <cellStyle name="Currency 3 4 4 2 2" xfId="28473" xr:uid="{00000000-0005-0000-0000-000035090000}"/>
    <cellStyle name="Currency 3 4 4 3" xfId="20430" xr:uid="{00000000-0005-0000-0000-000036090000}"/>
    <cellStyle name="Currency 3 5" xfId="2423" xr:uid="{00000000-0005-0000-0000-000037090000}"/>
    <cellStyle name="Currency 3 5 2" xfId="2424" xr:uid="{00000000-0005-0000-0000-000038090000}"/>
    <cellStyle name="Currency 3 5 2 2" xfId="6704" xr:uid="{00000000-0005-0000-0000-000039090000}"/>
    <cellStyle name="Currency 3 5 2 2 2" xfId="15888" xr:uid="{00000000-0005-0000-0000-00003A090000}"/>
    <cellStyle name="Currency 3 5 2 2 2 2" xfId="32462" xr:uid="{00000000-0005-0000-0000-00003B090000}"/>
    <cellStyle name="Currency 3 5 2 2 3" xfId="24415" xr:uid="{00000000-0005-0000-0000-00003C090000}"/>
    <cellStyle name="Currency 3 5 2 3" xfId="11955" xr:uid="{00000000-0005-0000-0000-00003D090000}"/>
    <cellStyle name="Currency 3 5 2 3 2" xfId="28474" xr:uid="{00000000-0005-0000-0000-00003E090000}"/>
    <cellStyle name="Currency 3 5 2 4" xfId="20431" xr:uid="{00000000-0005-0000-0000-00003F090000}"/>
    <cellStyle name="Currency 3 5 3" xfId="2425" xr:uid="{00000000-0005-0000-0000-000040090000}"/>
    <cellStyle name="Currency 3 5 3 2" xfId="11956" xr:uid="{00000000-0005-0000-0000-000041090000}"/>
    <cellStyle name="Currency 3 5 3 2 2" xfId="28475" xr:uid="{00000000-0005-0000-0000-000042090000}"/>
    <cellStyle name="Currency 3 5 3 3" xfId="20432" xr:uid="{00000000-0005-0000-0000-000043090000}"/>
    <cellStyle name="Currency 3 6" xfId="2426" xr:uid="{00000000-0005-0000-0000-000044090000}"/>
    <cellStyle name="Currency 3 6 2" xfId="6705" xr:uid="{00000000-0005-0000-0000-000045090000}"/>
    <cellStyle name="Currency 3 6 2 2" xfId="15889" xr:uid="{00000000-0005-0000-0000-000046090000}"/>
    <cellStyle name="Currency 3 6 2 2 2" xfId="32463" xr:uid="{00000000-0005-0000-0000-000047090000}"/>
    <cellStyle name="Currency 3 6 2 3" xfId="24416" xr:uid="{00000000-0005-0000-0000-000048090000}"/>
    <cellStyle name="Currency 3 6 3" xfId="11957" xr:uid="{00000000-0005-0000-0000-000049090000}"/>
    <cellStyle name="Currency 3 6 3 2" xfId="28476" xr:uid="{00000000-0005-0000-0000-00004A090000}"/>
    <cellStyle name="Currency 3 6 4" xfId="20433" xr:uid="{00000000-0005-0000-0000-00004B090000}"/>
    <cellStyle name="Currency 3 7" xfId="2427" xr:uid="{00000000-0005-0000-0000-00004C090000}"/>
    <cellStyle name="Currency 3 7 2" xfId="11958" xr:uid="{00000000-0005-0000-0000-00004D090000}"/>
    <cellStyle name="Currency 3 7 2 2" xfId="28477" xr:uid="{00000000-0005-0000-0000-00004E090000}"/>
    <cellStyle name="Currency 3 7 3" xfId="20434" xr:uid="{00000000-0005-0000-0000-00004F090000}"/>
    <cellStyle name="Currency 3 8" xfId="2414" xr:uid="{00000000-0005-0000-0000-000050090000}"/>
    <cellStyle name="Currency 3 8 2" xfId="6706" xr:uid="{00000000-0005-0000-0000-000051090000}"/>
    <cellStyle name="Currency 3 8 2 2" xfId="15890" xr:uid="{00000000-0005-0000-0000-000052090000}"/>
    <cellStyle name="Currency 3 8 2 2 2" xfId="32464" xr:uid="{00000000-0005-0000-0000-000053090000}"/>
    <cellStyle name="Currency 3 8 2 3" xfId="24417" xr:uid="{00000000-0005-0000-0000-000054090000}"/>
    <cellStyle name="Currency 3 9" xfId="10908" xr:uid="{00000000-0005-0000-0000-000055090000}"/>
    <cellStyle name="Currency 4" xfId="201" xr:uid="{00000000-0005-0000-0000-000056090000}"/>
    <cellStyle name="Currency 4 2" xfId="202" xr:uid="{00000000-0005-0000-0000-000057090000}"/>
    <cellStyle name="Currency 4 2 2" xfId="2430" xr:uid="{00000000-0005-0000-0000-000058090000}"/>
    <cellStyle name="Currency 4 2 2 2" xfId="2431" xr:uid="{00000000-0005-0000-0000-000059090000}"/>
    <cellStyle name="Currency 4 2 2 2 2" xfId="6707" xr:uid="{00000000-0005-0000-0000-00005A090000}"/>
    <cellStyle name="Currency 4 2 2 2 2 2" xfId="15891" xr:uid="{00000000-0005-0000-0000-00005B090000}"/>
    <cellStyle name="Currency 4 2 2 2 2 2 2" xfId="32465" xr:uid="{00000000-0005-0000-0000-00005C090000}"/>
    <cellStyle name="Currency 4 2 2 2 2 3" xfId="24418" xr:uid="{00000000-0005-0000-0000-00005D090000}"/>
    <cellStyle name="Currency 4 2 2 2 3" xfId="11960" xr:uid="{00000000-0005-0000-0000-00005E090000}"/>
    <cellStyle name="Currency 4 2 2 2 3 2" xfId="28479" xr:uid="{00000000-0005-0000-0000-00005F090000}"/>
    <cellStyle name="Currency 4 2 2 2 4" xfId="20436" xr:uid="{00000000-0005-0000-0000-000060090000}"/>
    <cellStyle name="Currency 4 2 2 3" xfId="6708" xr:uid="{00000000-0005-0000-0000-000061090000}"/>
    <cellStyle name="Currency 4 2 2 3 2" xfId="15892" xr:uid="{00000000-0005-0000-0000-000062090000}"/>
    <cellStyle name="Currency 4 2 2 3 2 2" xfId="32466" xr:uid="{00000000-0005-0000-0000-000063090000}"/>
    <cellStyle name="Currency 4 2 2 3 3" xfId="24419" xr:uid="{00000000-0005-0000-0000-000064090000}"/>
    <cellStyle name="Currency 4 2 2 4" xfId="11959" xr:uid="{00000000-0005-0000-0000-000065090000}"/>
    <cellStyle name="Currency 4 2 2 4 2" xfId="28478" xr:uid="{00000000-0005-0000-0000-000066090000}"/>
    <cellStyle name="Currency 4 2 2 5" xfId="20435" xr:uid="{00000000-0005-0000-0000-000067090000}"/>
    <cellStyle name="Currency 4 2 3" xfId="2432" xr:uid="{00000000-0005-0000-0000-000068090000}"/>
    <cellStyle name="Currency 4 2 3 2" xfId="6709" xr:uid="{00000000-0005-0000-0000-000069090000}"/>
    <cellStyle name="Currency 4 2 3 2 2" xfId="15893" xr:uid="{00000000-0005-0000-0000-00006A090000}"/>
    <cellStyle name="Currency 4 2 3 2 2 2" xfId="32467" xr:uid="{00000000-0005-0000-0000-00006B090000}"/>
    <cellStyle name="Currency 4 2 3 2 3" xfId="24420" xr:uid="{00000000-0005-0000-0000-00006C090000}"/>
    <cellStyle name="Currency 4 2 3 3" xfId="11961" xr:uid="{00000000-0005-0000-0000-00006D090000}"/>
    <cellStyle name="Currency 4 2 3 3 2" xfId="28480" xr:uid="{00000000-0005-0000-0000-00006E090000}"/>
    <cellStyle name="Currency 4 2 3 4" xfId="20437" xr:uid="{00000000-0005-0000-0000-00006F090000}"/>
    <cellStyle name="Currency 4 2 4" xfId="2433" xr:uid="{00000000-0005-0000-0000-000070090000}"/>
    <cellStyle name="Currency 4 2 4 2" xfId="11962" xr:uid="{00000000-0005-0000-0000-000071090000}"/>
    <cellStyle name="Currency 4 2 4 2 2" xfId="28481" xr:uid="{00000000-0005-0000-0000-000072090000}"/>
    <cellStyle name="Currency 4 2 4 3" xfId="20438" xr:uid="{00000000-0005-0000-0000-000073090000}"/>
    <cellStyle name="Currency 4 2 5" xfId="2429" xr:uid="{00000000-0005-0000-0000-000074090000}"/>
    <cellStyle name="Currency 4 3" xfId="385" xr:uid="{00000000-0005-0000-0000-000075090000}"/>
    <cellStyle name="Currency 4 3 2" xfId="2435" xr:uid="{00000000-0005-0000-0000-000076090000}"/>
    <cellStyle name="Currency 4 3 2 2" xfId="6710" xr:uid="{00000000-0005-0000-0000-000077090000}"/>
    <cellStyle name="Currency 4 3 2 2 2" xfId="15894" xr:uid="{00000000-0005-0000-0000-000078090000}"/>
    <cellStyle name="Currency 4 3 2 2 2 2" xfId="32468" xr:uid="{00000000-0005-0000-0000-000079090000}"/>
    <cellStyle name="Currency 4 3 2 2 3" xfId="24421" xr:uid="{00000000-0005-0000-0000-00007A090000}"/>
    <cellStyle name="Currency 4 3 2 3" xfId="11963" xr:uid="{00000000-0005-0000-0000-00007B090000}"/>
    <cellStyle name="Currency 4 3 2 3 2" xfId="28483" xr:uid="{00000000-0005-0000-0000-00007C090000}"/>
    <cellStyle name="Currency 4 3 2 4" xfId="20440" xr:uid="{00000000-0005-0000-0000-00007D090000}"/>
    <cellStyle name="Currency 4 3 3" xfId="6711" xr:uid="{00000000-0005-0000-0000-00007E090000}"/>
    <cellStyle name="Currency 4 3 3 2" xfId="15895" xr:uid="{00000000-0005-0000-0000-00007F090000}"/>
    <cellStyle name="Currency 4 3 3 2 2" xfId="32469" xr:uid="{00000000-0005-0000-0000-000080090000}"/>
    <cellStyle name="Currency 4 3 3 3" xfId="24422" xr:uid="{00000000-0005-0000-0000-000081090000}"/>
    <cellStyle name="Currency 4 3 4" xfId="2434" xr:uid="{00000000-0005-0000-0000-000082090000}"/>
    <cellStyle name="Currency 4 3 4 2" xfId="28482" xr:uid="{00000000-0005-0000-0000-000083090000}"/>
    <cellStyle name="Currency 4 3 5" xfId="20439" xr:uid="{00000000-0005-0000-0000-000084090000}"/>
    <cellStyle name="Currency 4 3 6" xfId="439" xr:uid="{00000000-0005-0000-0000-000085090000}"/>
    <cellStyle name="Currency 4 4" xfId="1738" xr:uid="{00000000-0005-0000-0000-000086090000}"/>
    <cellStyle name="Currency 4 4 2" xfId="6712" xr:uid="{00000000-0005-0000-0000-000087090000}"/>
    <cellStyle name="Currency 4 4 2 2" xfId="15896" xr:uid="{00000000-0005-0000-0000-000088090000}"/>
    <cellStyle name="Currency 4 4 2 2 2" xfId="32470" xr:uid="{00000000-0005-0000-0000-000089090000}"/>
    <cellStyle name="Currency 4 4 2 3" xfId="24423" xr:uid="{00000000-0005-0000-0000-00008A090000}"/>
    <cellStyle name="Currency 4 4 3" xfId="11964" xr:uid="{00000000-0005-0000-0000-00008B090000}"/>
    <cellStyle name="Currency 4 4 3 2" xfId="28484" xr:uid="{00000000-0005-0000-0000-00008C090000}"/>
    <cellStyle name="Currency 4 4 4" xfId="20441" xr:uid="{00000000-0005-0000-0000-00008D090000}"/>
    <cellStyle name="Currency 4 5" xfId="2436" xr:uid="{00000000-0005-0000-0000-00008E090000}"/>
    <cellStyle name="Currency 4 5 2" xfId="11965" xr:uid="{00000000-0005-0000-0000-00008F090000}"/>
    <cellStyle name="Currency 4 5 2 2" xfId="28485" xr:uid="{00000000-0005-0000-0000-000090090000}"/>
    <cellStyle name="Currency 4 5 3" xfId="20442" xr:uid="{00000000-0005-0000-0000-000091090000}"/>
    <cellStyle name="Currency 4 6" xfId="2437" xr:uid="{00000000-0005-0000-0000-000092090000}"/>
    <cellStyle name="Currency 4 6 2" xfId="6636" xr:uid="{00000000-0005-0000-0000-000093090000}"/>
    <cellStyle name="Currency 4 6 3" xfId="11966" xr:uid="{00000000-0005-0000-0000-000094090000}"/>
    <cellStyle name="Currency 4 6 3 2" xfId="28486" xr:uid="{00000000-0005-0000-0000-000095090000}"/>
    <cellStyle name="Currency 4 6 4" xfId="20443" xr:uid="{00000000-0005-0000-0000-000096090000}"/>
    <cellStyle name="Currency 4 7" xfId="2428" xr:uid="{00000000-0005-0000-0000-000097090000}"/>
    <cellStyle name="Currency 4 8" xfId="10909" xr:uid="{00000000-0005-0000-0000-000098090000}"/>
    <cellStyle name="Currency 4 9" xfId="2093" xr:uid="{00000000-0005-0000-0000-000099090000}"/>
    <cellStyle name="Currency 5" xfId="203" xr:uid="{00000000-0005-0000-0000-00009A090000}"/>
    <cellStyle name="Currency 5 2" xfId="204" xr:uid="{00000000-0005-0000-0000-00009B090000}"/>
    <cellStyle name="Currency 5 2 2" xfId="2438" xr:uid="{00000000-0005-0000-0000-00009C090000}"/>
    <cellStyle name="Currency 5 2 2 2" xfId="2439" xr:uid="{00000000-0005-0000-0000-00009D090000}"/>
    <cellStyle name="Currency 5 2 2 2 2" xfId="6713" xr:uid="{00000000-0005-0000-0000-00009E090000}"/>
    <cellStyle name="Currency 5 2 2 2 2 2" xfId="15897" xr:uid="{00000000-0005-0000-0000-00009F090000}"/>
    <cellStyle name="Currency 5 2 2 2 2 2 2" xfId="32471" xr:uid="{00000000-0005-0000-0000-0000A0090000}"/>
    <cellStyle name="Currency 5 2 2 2 2 3" xfId="24424" xr:uid="{00000000-0005-0000-0000-0000A1090000}"/>
    <cellStyle name="Currency 5 2 2 2 3" xfId="11968" xr:uid="{00000000-0005-0000-0000-0000A2090000}"/>
    <cellStyle name="Currency 5 2 2 2 3 2" xfId="28488" xr:uid="{00000000-0005-0000-0000-0000A3090000}"/>
    <cellStyle name="Currency 5 2 2 2 4" xfId="20445" xr:uid="{00000000-0005-0000-0000-0000A4090000}"/>
    <cellStyle name="Currency 5 2 2 3" xfId="6714" xr:uid="{00000000-0005-0000-0000-0000A5090000}"/>
    <cellStyle name="Currency 5 2 2 3 2" xfId="15898" xr:uid="{00000000-0005-0000-0000-0000A6090000}"/>
    <cellStyle name="Currency 5 2 2 3 2 2" xfId="32472" xr:uid="{00000000-0005-0000-0000-0000A7090000}"/>
    <cellStyle name="Currency 5 2 2 3 3" xfId="24425" xr:uid="{00000000-0005-0000-0000-0000A8090000}"/>
    <cellStyle name="Currency 5 2 2 4" xfId="11967" xr:uid="{00000000-0005-0000-0000-0000A9090000}"/>
    <cellStyle name="Currency 5 2 2 4 2" xfId="28487" xr:uid="{00000000-0005-0000-0000-0000AA090000}"/>
    <cellStyle name="Currency 5 2 2 5" xfId="20444" xr:uid="{00000000-0005-0000-0000-0000AB090000}"/>
    <cellStyle name="Currency 5 2 3" xfId="2440" xr:uid="{00000000-0005-0000-0000-0000AC090000}"/>
    <cellStyle name="Currency 5 2 3 2" xfId="6715" xr:uid="{00000000-0005-0000-0000-0000AD090000}"/>
    <cellStyle name="Currency 5 2 3 2 2" xfId="15899" xr:uid="{00000000-0005-0000-0000-0000AE090000}"/>
    <cellStyle name="Currency 5 2 3 2 2 2" xfId="32473" xr:uid="{00000000-0005-0000-0000-0000AF090000}"/>
    <cellStyle name="Currency 5 2 3 2 3" xfId="24426" xr:uid="{00000000-0005-0000-0000-0000B0090000}"/>
    <cellStyle name="Currency 5 2 3 3" xfId="11969" xr:uid="{00000000-0005-0000-0000-0000B1090000}"/>
    <cellStyle name="Currency 5 2 3 3 2" xfId="28489" xr:uid="{00000000-0005-0000-0000-0000B2090000}"/>
    <cellStyle name="Currency 5 2 3 4" xfId="20446" xr:uid="{00000000-0005-0000-0000-0000B3090000}"/>
    <cellStyle name="Currency 5 2 4" xfId="2441" xr:uid="{00000000-0005-0000-0000-0000B4090000}"/>
    <cellStyle name="Currency 5 2 4 2" xfId="11970" xr:uid="{00000000-0005-0000-0000-0000B5090000}"/>
    <cellStyle name="Currency 5 2 4 2 2" xfId="28490" xr:uid="{00000000-0005-0000-0000-0000B6090000}"/>
    <cellStyle name="Currency 5 2 4 3" xfId="20447" xr:uid="{00000000-0005-0000-0000-0000B7090000}"/>
    <cellStyle name="Currency 5 3" xfId="2442" xr:uid="{00000000-0005-0000-0000-0000B8090000}"/>
    <cellStyle name="Currency 5 3 2" xfId="2443" xr:uid="{00000000-0005-0000-0000-0000B9090000}"/>
    <cellStyle name="Currency 5 3 2 2" xfId="6716" xr:uid="{00000000-0005-0000-0000-0000BA090000}"/>
    <cellStyle name="Currency 5 3 2 2 2" xfId="15900" xr:uid="{00000000-0005-0000-0000-0000BB090000}"/>
    <cellStyle name="Currency 5 3 2 2 2 2" xfId="32474" xr:uid="{00000000-0005-0000-0000-0000BC090000}"/>
    <cellStyle name="Currency 5 3 2 2 3" xfId="24427" xr:uid="{00000000-0005-0000-0000-0000BD090000}"/>
    <cellStyle name="Currency 5 3 2 3" xfId="11972" xr:uid="{00000000-0005-0000-0000-0000BE090000}"/>
    <cellStyle name="Currency 5 3 2 3 2" xfId="28492" xr:uid="{00000000-0005-0000-0000-0000BF090000}"/>
    <cellStyle name="Currency 5 3 2 4" xfId="20449" xr:uid="{00000000-0005-0000-0000-0000C0090000}"/>
    <cellStyle name="Currency 5 3 3" xfId="6717" xr:uid="{00000000-0005-0000-0000-0000C1090000}"/>
    <cellStyle name="Currency 5 3 3 2" xfId="15901" xr:uid="{00000000-0005-0000-0000-0000C2090000}"/>
    <cellStyle name="Currency 5 3 3 2 2" xfId="32475" xr:uid="{00000000-0005-0000-0000-0000C3090000}"/>
    <cellStyle name="Currency 5 3 3 3" xfId="24428" xr:uid="{00000000-0005-0000-0000-0000C4090000}"/>
    <cellStyle name="Currency 5 3 4" xfId="11971" xr:uid="{00000000-0005-0000-0000-0000C5090000}"/>
    <cellStyle name="Currency 5 3 4 2" xfId="28491" xr:uid="{00000000-0005-0000-0000-0000C6090000}"/>
    <cellStyle name="Currency 5 3 5" xfId="20448" xr:uid="{00000000-0005-0000-0000-0000C7090000}"/>
    <cellStyle name="Currency 5 4" xfId="2444" xr:uid="{00000000-0005-0000-0000-0000C8090000}"/>
    <cellStyle name="Currency 5 4 2" xfId="6718" xr:uid="{00000000-0005-0000-0000-0000C9090000}"/>
    <cellStyle name="Currency 5 4 2 2" xfId="15902" xr:uid="{00000000-0005-0000-0000-0000CA090000}"/>
    <cellStyle name="Currency 5 4 2 2 2" xfId="32476" xr:uid="{00000000-0005-0000-0000-0000CB090000}"/>
    <cellStyle name="Currency 5 4 2 3" xfId="24429" xr:uid="{00000000-0005-0000-0000-0000CC090000}"/>
    <cellStyle name="Currency 5 4 3" xfId="11973" xr:uid="{00000000-0005-0000-0000-0000CD090000}"/>
    <cellStyle name="Currency 5 4 3 2" xfId="28493" xr:uid="{00000000-0005-0000-0000-0000CE090000}"/>
    <cellStyle name="Currency 5 4 4" xfId="20450" xr:uid="{00000000-0005-0000-0000-0000CF090000}"/>
    <cellStyle name="Currency 5 5" xfId="6719" xr:uid="{00000000-0005-0000-0000-0000D0090000}"/>
    <cellStyle name="Currency 5 5 2" xfId="15903" xr:uid="{00000000-0005-0000-0000-0000D1090000}"/>
    <cellStyle name="Currency 5 5 2 2" xfId="32477" xr:uid="{00000000-0005-0000-0000-0000D2090000}"/>
    <cellStyle name="Currency 5 5 3" xfId="24430" xr:uid="{00000000-0005-0000-0000-0000D3090000}"/>
    <cellStyle name="Currency 6" xfId="379" xr:uid="{00000000-0005-0000-0000-0000D4090000}"/>
    <cellStyle name="Currency 6 2" xfId="2446" xr:uid="{00000000-0005-0000-0000-0000D5090000}"/>
    <cellStyle name="Currency 6 2 2" xfId="2447" xr:uid="{00000000-0005-0000-0000-0000D6090000}"/>
    <cellStyle name="Currency 6 2 2 2" xfId="2448" xr:uid="{00000000-0005-0000-0000-0000D7090000}"/>
    <cellStyle name="Currency 6 2 2 2 2" xfId="6720" xr:uid="{00000000-0005-0000-0000-0000D8090000}"/>
    <cellStyle name="Currency 6 2 2 2 2 2" xfId="15904" xr:uid="{00000000-0005-0000-0000-0000D9090000}"/>
    <cellStyle name="Currency 6 2 2 2 2 2 2" xfId="32478" xr:uid="{00000000-0005-0000-0000-0000DA090000}"/>
    <cellStyle name="Currency 6 2 2 2 2 3" xfId="24431" xr:uid="{00000000-0005-0000-0000-0000DB090000}"/>
    <cellStyle name="Currency 6 2 2 2 3" xfId="11976" xr:uid="{00000000-0005-0000-0000-0000DC090000}"/>
    <cellStyle name="Currency 6 2 2 2 3 2" xfId="28497" xr:uid="{00000000-0005-0000-0000-0000DD090000}"/>
    <cellStyle name="Currency 6 2 2 2 4" xfId="20454" xr:uid="{00000000-0005-0000-0000-0000DE090000}"/>
    <cellStyle name="Currency 6 2 2 3" xfId="6721" xr:uid="{00000000-0005-0000-0000-0000DF090000}"/>
    <cellStyle name="Currency 6 2 2 3 2" xfId="15905" xr:uid="{00000000-0005-0000-0000-0000E0090000}"/>
    <cellStyle name="Currency 6 2 2 3 2 2" xfId="32479" xr:uid="{00000000-0005-0000-0000-0000E1090000}"/>
    <cellStyle name="Currency 6 2 2 3 3" xfId="24432" xr:uid="{00000000-0005-0000-0000-0000E2090000}"/>
    <cellStyle name="Currency 6 2 2 4" xfId="11975" xr:uid="{00000000-0005-0000-0000-0000E3090000}"/>
    <cellStyle name="Currency 6 2 2 4 2" xfId="28496" xr:uid="{00000000-0005-0000-0000-0000E4090000}"/>
    <cellStyle name="Currency 6 2 2 5" xfId="20453" xr:uid="{00000000-0005-0000-0000-0000E5090000}"/>
    <cellStyle name="Currency 6 2 3" xfId="2449" xr:uid="{00000000-0005-0000-0000-0000E6090000}"/>
    <cellStyle name="Currency 6 2 3 2" xfId="6722" xr:uid="{00000000-0005-0000-0000-0000E7090000}"/>
    <cellStyle name="Currency 6 2 3 2 2" xfId="15906" xr:uid="{00000000-0005-0000-0000-0000E8090000}"/>
    <cellStyle name="Currency 6 2 3 2 2 2" xfId="32480" xr:uid="{00000000-0005-0000-0000-0000E9090000}"/>
    <cellStyle name="Currency 6 2 3 2 3" xfId="24433" xr:uid="{00000000-0005-0000-0000-0000EA090000}"/>
    <cellStyle name="Currency 6 2 3 3" xfId="11977" xr:uid="{00000000-0005-0000-0000-0000EB090000}"/>
    <cellStyle name="Currency 6 2 3 3 2" xfId="28498" xr:uid="{00000000-0005-0000-0000-0000EC090000}"/>
    <cellStyle name="Currency 6 2 3 4" xfId="20455" xr:uid="{00000000-0005-0000-0000-0000ED090000}"/>
    <cellStyle name="Currency 6 2 4" xfId="6723" xr:uid="{00000000-0005-0000-0000-0000EE090000}"/>
    <cellStyle name="Currency 6 2 4 2" xfId="15907" xr:uid="{00000000-0005-0000-0000-0000EF090000}"/>
    <cellStyle name="Currency 6 2 4 2 2" xfId="32481" xr:uid="{00000000-0005-0000-0000-0000F0090000}"/>
    <cellStyle name="Currency 6 2 4 3" xfId="24434" xr:uid="{00000000-0005-0000-0000-0000F1090000}"/>
    <cellStyle name="Currency 6 2 5" xfId="11974" xr:uid="{00000000-0005-0000-0000-0000F2090000}"/>
    <cellStyle name="Currency 6 2 5 2" xfId="28495" xr:uid="{00000000-0005-0000-0000-0000F3090000}"/>
    <cellStyle name="Currency 6 2 6" xfId="20452" xr:uid="{00000000-0005-0000-0000-0000F4090000}"/>
    <cellStyle name="Currency 6 3" xfId="2450" xr:uid="{00000000-0005-0000-0000-0000F5090000}"/>
    <cellStyle name="Currency 6 3 2" xfId="2451" xr:uid="{00000000-0005-0000-0000-0000F6090000}"/>
    <cellStyle name="Currency 6 3 2 2" xfId="6724" xr:uid="{00000000-0005-0000-0000-0000F7090000}"/>
    <cellStyle name="Currency 6 3 2 2 2" xfId="15908" xr:uid="{00000000-0005-0000-0000-0000F8090000}"/>
    <cellStyle name="Currency 6 3 2 2 2 2" xfId="32482" xr:uid="{00000000-0005-0000-0000-0000F9090000}"/>
    <cellStyle name="Currency 6 3 2 2 3" xfId="24435" xr:uid="{00000000-0005-0000-0000-0000FA090000}"/>
    <cellStyle name="Currency 6 3 2 3" xfId="11979" xr:uid="{00000000-0005-0000-0000-0000FB090000}"/>
    <cellStyle name="Currency 6 3 2 3 2" xfId="28500" xr:uid="{00000000-0005-0000-0000-0000FC090000}"/>
    <cellStyle name="Currency 6 3 2 4" xfId="20457" xr:uid="{00000000-0005-0000-0000-0000FD090000}"/>
    <cellStyle name="Currency 6 3 3" xfId="6725" xr:uid="{00000000-0005-0000-0000-0000FE090000}"/>
    <cellStyle name="Currency 6 3 3 2" xfId="15909" xr:uid="{00000000-0005-0000-0000-0000FF090000}"/>
    <cellStyle name="Currency 6 3 3 2 2" xfId="32483" xr:uid="{00000000-0005-0000-0000-0000000A0000}"/>
    <cellStyle name="Currency 6 3 3 3" xfId="24436" xr:uid="{00000000-0005-0000-0000-0000010A0000}"/>
    <cellStyle name="Currency 6 3 4" xfId="11978" xr:uid="{00000000-0005-0000-0000-0000020A0000}"/>
    <cellStyle name="Currency 6 3 4 2" xfId="28499" xr:uid="{00000000-0005-0000-0000-0000030A0000}"/>
    <cellStyle name="Currency 6 3 5" xfId="20456" xr:uid="{00000000-0005-0000-0000-0000040A0000}"/>
    <cellStyle name="Currency 6 4" xfId="2452" xr:uid="{00000000-0005-0000-0000-0000050A0000}"/>
    <cellStyle name="Currency 6 4 2" xfId="6726" xr:uid="{00000000-0005-0000-0000-0000060A0000}"/>
    <cellStyle name="Currency 6 4 2 2" xfId="15910" xr:uid="{00000000-0005-0000-0000-0000070A0000}"/>
    <cellStyle name="Currency 6 4 2 2 2" xfId="32484" xr:uid="{00000000-0005-0000-0000-0000080A0000}"/>
    <cellStyle name="Currency 6 4 2 3" xfId="24437" xr:uid="{00000000-0005-0000-0000-0000090A0000}"/>
    <cellStyle name="Currency 6 4 3" xfId="11980" xr:uid="{00000000-0005-0000-0000-00000A0A0000}"/>
    <cellStyle name="Currency 6 4 3 2" xfId="28501" xr:uid="{00000000-0005-0000-0000-00000B0A0000}"/>
    <cellStyle name="Currency 6 4 4" xfId="20458" xr:uid="{00000000-0005-0000-0000-00000C0A0000}"/>
    <cellStyle name="Currency 6 5" xfId="6727" xr:uid="{00000000-0005-0000-0000-00000D0A0000}"/>
    <cellStyle name="Currency 6 5 2" xfId="15911" xr:uid="{00000000-0005-0000-0000-00000E0A0000}"/>
    <cellStyle name="Currency 6 5 2 2" xfId="32485" xr:uid="{00000000-0005-0000-0000-00000F0A0000}"/>
    <cellStyle name="Currency 6 5 3" xfId="24438" xr:uid="{00000000-0005-0000-0000-0000100A0000}"/>
    <cellStyle name="Currency 6 6" xfId="2445" xr:uid="{00000000-0005-0000-0000-0000110A0000}"/>
    <cellStyle name="Currency 6 6 2" xfId="28494" xr:uid="{00000000-0005-0000-0000-0000120A0000}"/>
    <cellStyle name="Currency 6 7" xfId="20451" xr:uid="{00000000-0005-0000-0000-0000130A0000}"/>
    <cellStyle name="Currency 7" xfId="1764" xr:uid="{00000000-0005-0000-0000-0000140A0000}"/>
    <cellStyle name="Currency 7 2" xfId="2454" xr:uid="{00000000-0005-0000-0000-0000150A0000}"/>
    <cellStyle name="Currency 7 2 2" xfId="6728" xr:uid="{00000000-0005-0000-0000-0000160A0000}"/>
    <cellStyle name="Currency 7 2 2 2" xfId="15912" xr:uid="{00000000-0005-0000-0000-0000170A0000}"/>
    <cellStyle name="Currency 7 2 2 2 2" xfId="32486" xr:uid="{00000000-0005-0000-0000-0000180A0000}"/>
    <cellStyle name="Currency 7 2 2 3" xfId="24439" xr:uid="{00000000-0005-0000-0000-0000190A0000}"/>
    <cellStyle name="Currency 7 2 3" xfId="11981" xr:uid="{00000000-0005-0000-0000-00001A0A0000}"/>
    <cellStyle name="Currency 7 2 3 2" xfId="28503" xr:uid="{00000000-0005-0000-0000-00001B0A0000}"/>
    <cellStyle name="Currency 7 2 4" xfId="20460" xr:uid="{00000000-0005-0000-0000-00001C0A0000}"/>
    <cellStyle name="Currency 7 3" xfId="6729" xr:uid="{00000000-0005-0000-0000-00001D0A0000}"/>
    <cellStyle name="Currency 7 3 2" xfId="15913" xr:uid="{00000000-0005-0000-0000-00001E0A0000}"/>
    <cellStyle name="Currency 7 3 2 2" xfId="32487" xr:uid="{00000000-0005-0000-0000-00001F0A0000}"/>
    <cellStyle name="Currency 7 3 3" xfId="24440" xr:uid="{00000000-0005-0000-0000-0000200A0000}"/>
    <cellStyle name="Currency 7 4" xfId="2453" xr:uid="{00000000-0005-0000-0000-0000210A0000}"/>
    <cellStyle name="Currency 7 4 2" xfId="28502" xr:uid="{00000000-0005-0000-0000-0000220A0000}"/>
    <cellStyle name="Currency 7 5" xfId="20459" xr:uid="{00000000-0005-0000-0000-0000230A0000}"/>
    <cellStyle name="Currency 8" xfId="1765" xr:uid="{00000000-0005-0000-0000-0000240A0000}"/>
    <cellStyle name="Currency 8 2" xfId="6730" xr:uid="{00000000-0005-0000-0000-0000250A0000}"/>
    <cellStyle name="Currency 9" xfId="1766" xr:uid="{00000000-0005-0000-0000-0000260A0000}"/>
    <cellStyle name="Currency 9 2" xfId="6731" xr:uid="{00000000-0005-0000-0000-0000270A0000}"/>
    <cellStyle name="Currency(1)" xfId="1885" xr:uid="{00000000-0005-0000-0000-0000280A0000}"/>
    <cellStyle name="Currency_Cognex 4.17.07" xfId="84" xr:uid="{00000000-0005-0000-0000-0000290A0000}"/>
    <cellStyle name="Currency0" xfId="1886" xr:uid="{00000000-0005-0000-0000-00002A0A0000}"/>
    <cellStyle name="CUS.Work.Area" xfId="1887" xr:uid="{00000000-0005-0000-0000-00002B0A0000}"/>
    <cellStyle name="d_yield" xfId="559" xr:uid="{00000000-0005-0000-0000-00002C0A0000}"/>
    <cellStyle name="d_yield_1 FM_101_Examples_v7.31McIntire" xfId="560" xr:uid="{00000000-0005-0000-0000-00002D0A0000}"/>
    <cellStyle name="d_yield_1 FM_101_Examples_v7.31McIntire_1 FM_101_Examples_TWO-Day_v7.31" xfId="561" xr:uid="{00000000-0005-0000-0000-00002E0A0000}"/>
    <cellStyle name="d_yield_AVP" xfId="562" xr:uid="{00000000-0005-0000-0000-00002F0A0000}"/>
    <cellStyle name="d_yield_AVP_1 FM_101_Examples_v7.31McIntire" xfId="563" xr:uid="{00000000-0005-0000-0000-0000300A0000}"/>
    <cellStyle name="d_yield_AVP_1 FM_101_Examples_v7.31McIntire_1 FM_101_Examples_TWO-Day_v7.31" xfId="564" xr:uid="{00000000-0005-0000-0000-0000310A0000}"/>
    <cellStyle name="d_yield_AVP_Graphic Depiction - NO DEV" xfId="565" xr:uid="{00000000-0005-0000-0000-0000320A0000}"/>
    <cellStyle name="d_yield_AVP_Graphic Depiction - NO DEV_1 FM_101_Examples_v7.31McIntire" xfId="566" xr:uid="{00000000-0005-0000-0000-0000330A0000}"/>
    <cellStyle name="d_yield_AVP_Graphic Depiction - NO DEV_1 FM_101_Examples_v7.31McIntire_1 FM_101_Examples_TWO-Day_v7.31" xfId="567" xr:uid="{00000000-0005-0000-0000-0000340A0000}"/>
    <cellStyle name="d_yield_AVP_Graphic Depiction - NO DEV_Val_1_Book_Lecture_Notes_v3.06" xfId="568" xr:uid="{00000000-0005-0000-0000-0000350A0000}"/>
    <cellStyle name="d_yield_AVP_THEsumPage (2)" xfId="569" xr:uid="{00000000-0005-0000-0000-0000360A0000}"/>
    <cellStyle name="d_yield_AVP_THEsumPage (2)_1 FM_101_Examples_v7.31McIntire" xfId="570" xr:uid="{00000000-0005-0000-0000-0000370A0000}"/>
    <cellStyle name="d_yield_AVP_THEsumPage (2)_1 FM_101_Examples_v7.31McIntire_1 FM_101_Examples_TWO-Day_v7.31" xfId="571" xr:uid="{00000000-0005-0000-0000-0000380A0000}"/>
    <cellStyle name="d_yield_AVP_THEsumPage (2)_Val_1_Book_Lecture_Notes_v3.06" xfId="572" xr:uid="{00000000-0005-0000-0000-0000390A0000}"/>
    <cellStyle name="d_yield_AVP_Val_1_Book_Lecture_Notes_v3.06" xfId="573" xr:uid="{00000000-0005-0000-0000-00003A0A0000}"/>
    <cellStyle name="d_yield_CompSheet" xfId="574" xr:uid="{00000000-0005-0000-0000-00003B0A0000}"/>
    <cellStyle name="d_yield_CompSheet_LANCE_Model_v0.6.DCF.MASTER.Name" xfId="575" xr:uid="{00000000-0005-0000-0000-00003C0A0000}"/>
    <cellStyle name="d_yield_CompSheet_LANCE_Model_v0.6.DCF.MASTER.Name_DCF &amp; Raios to CLX Tootsie_v1.33.xls" xfId="576" xr:uid="{00000000-0005-0000-0000-00003D0A0000}"/>
    <cellStyle name="d_yield_CompSheet_LANCE_Model_v0.6.DCF.MASTER.Name_Tootsie_TWO_DAY_TTS_Solution_v1.34" xfId="577" xr:uid="{00000000-0005-0000-0000-00003E0A0000}"/>
    <cellStyle name="d_yield_CompSheet_LANCE_Model_v0.6.DCF.MASTER.Name_Val_1_Book_Lecture_Notes_v3.06" xfId="578" xr:uid="{00000000-0005-0000-0000-00003F0A0000}"/>
    <cellStyle name="d_yield_CompSheet_Val_1_Book_Lecture_Notes_v3.06" xfId="579" xr:uid="{00000000-0005-0000-0000-0000400A0000}"/>
    <cellStyle name="d_yield_Disc Analysis" xfId="580" xr:uid="{00000000-0005-0000-0000-0000410A0000}"/>
    <cellStyle name="d_yield_Disc Analysis_1 FM_101_Examples_v7.31McIntire" xfId="581" xr:uid="{00000000-0005-0000-0000-0000420A0000}"/>
    <cellStyle name="d_yield_Disc Analysis_1 FM_101_Examples_v7.31McIntire_1 FM_101_Examples_TWO-Day_v7.31" xfId="582" xr:uid="{00000000-0005-0000-0000-0000430A0000}"/>
    <cellStyle name="d_yield_Disc Analysis_CompSheet" xfId="583" xr:uid="{00000000-0005-0000-0000-0000440A0000}"/>
    <cellStyle name="d_yield_Disc Analysis_CompSheet_1 FM_101_Examples_v7.31McIntire" xfId="584" xr:uid="{00000000-0005-0000-0000-0000450A0000}"/>
    <cellStyle name="d_yield_Disc Analysis_CompSheet_1 FM_101_Examples_v7.31McIntire_1 FM_101_Examples_TWO-Day_v7.31" xfId="585" xr:uid="{00000000-0005-0000-0000-0000460A0000}"/>
    <cellStyle name="d_yield_Disc Analysis_CompSheet_Val_1_Book_Lecture_Notes_v3.06" xfId="586" xr:uid="{00000000-0005-0000-0000-0000470A0000}"/>
    <cellStyle name="d_yield_Disc Analysis_THEsumPage (2)" xfId="587" xr:uid="{00000000-0005-0000-0000-0000480A0000}"/>
    <cellStyle name="d_yield_Disc Analysis_THEsumPage (2)_1 FM_101_Examples_v7.31McIntire" xfId="588" xr:uid="{00000000-0005-0000-0000-0000490A0000}"/>
    <cellStyle name="d_yield_Disc Analysis_THEsumPage (2)_1 FM_101_Examples_v7.31McIntire_1 FM_101_Examples_TWO-Day_v7.31" xfId="589" xr:uid="{00000000-0005-0000-0000-00004A0A0000}"/>
    <cellStyle name="d_yield_Disc Analysis_THEsumPage (2)_Val_1_Book_Lecture_Notes_v3.06" xfId="590" xr:uid="{00000000-0005-0000-0000-00004B0A0000}"/>
    <cellStyle name="d_yield_Disc Analysis_Val_1_Book_Lecture_Notes_v3.06" xfId="591" xr:uid="{00000000-0005-0000-0000-00004C0A0000}"/>
    <cellStyle name="d_yield_Fairness Opinion Valuation 4-23a.xls Chart 1" xfId="592" xr:uid="{00000000-0005-0000-0000-00004D0A0000}"/>
    <cellStyle name="d_yield_Fairness Opinion Valuation 4-23a.xls Chart 1_LANCE_Model_v0.6.DCF.MASTER.Name" xfId="593" xr:uid="{00000000-0005-0000-0000-00004E0A0000}"/>
    <cellStyle name="d_yield_Fairness Opinion Valuation 4-23a.xls Chart 1_LANCE_Model_v0.6.DCF.MASTER.Name_DCF &amp; Raios to CLX Tootsie_v1.33.xls" xfId="594" xr:uid="{00000000-0005-0000-0000-00004F0A0000}"/>
    <cellStyle name="d_yield_Fairness Opinion Valuation 4-23a.xls Chart 1_LANCE_Model_v0.6.DCF.MASTER.Name_Tootsie_TWO_DAY_TTS_Solution_v1.34" xfId="595" xr:uid="{00000000-0005-0000-0000-0000500A0000}"/>
    <cellStyle name="d_yield_Fairness Opinion Valuation 4-23a.xls Chart 1_LANCE_Model_v0.6.DCF.MASTER.Name_Val_1_Book_Lecture_Notes_v3.06" xfId="596" xr:uid="{00000000-0005-0000-0000-0000510A0000}"/>
    <cellStyle name="d_yield_Fairness Opinion Valuation 4-23a.xls Chart 1_Val_1_Book_Lecture_Notes_v3.06" xfId="597" xr:uid="{00000000-0005-0000-0000-0000520A0000}"/>
    <cellStyle name="d_yield_LP Chart" xfId="598" xr:uid="{00000000-0005-0000-0000-0000530A0000}"/>
    <cellStyle name="d_yield_LP Chart_LANCE_Model_v0.6.DCF.MASTER.Name" xfId="599" xr:uid="{00000000-0005-0000-0000-0000540A0000}"/>
    <cellStyle name="d_yield_LP Chart_LANCE_Model_v0.6.DCF.MASTER.Name_DCF &amp; Raios to CLX Tootsie_v1.33.xls" xfId="600" xr:uid="{00000000-0005-0000-0000-0000550A0000}"/>
    <cellStyle name="d_yield_LP Chart_LANCE_Model_v0.6.DCF.MASTER.Name_Tootsie_TWO_DAY_TTS_Solution_v1.34" xfId="601" xr:uid="{00000000-0005-0000-0000-0000560A0000}"/>
    <cellStyle name="d_yield_LP Chart_LANCE_Model_v0.6.DCF.MASTER.Name_Val_1_Book_Lecture_Notes_v3.06" xfId="602" xr:uid="{00000000-0005-0000-0000-0000570A0000}"/>
    <cellStyle name="d_yield_LP Chart_THEsumPage (2)" xfId="603" xr:uid="{00000000-0005-0000-0000-0000580A0000}"/>
    <cellStyle name="d_yield_LP Chart_THEsumPage (2)_LANCE_Model_v0.6.DCF.MASTER.Name" xfId="604" xr:uid="{00000000-0005-0000-0000-0000590A0000}"/>
    <cellStyle name="d_yield_LP Chart_THEsumPage (2)_LANCE_Model_v0.6.DCF.MASTER.Name_DCF &amp; Raios to CLX Tootsie_v1.33.xls" xfId="605" xr:uid="{00000000-0005-0000-0000-00005A0A0000}"/>
    <cellStyle name="d_yield_LP Chart_THEsumPage (2)_LANCE_Model_v0.6.DCF.MASTER.Name_Tootsie_TWO_DAY_TTS_Solution_v1.34" xfId="606" xr:uid="{00000000-0005-0000-0000-00005B0A0000}"/>
    <cellStyle name="d_yield_LP Chart_THEsumPage (2)_LANCE_Model_v0.6.DCF.MASTER.Name_Val_1_Book_Lecture_Notes_v3.06" xfId="607" xr:uid="{00000000-0005-0000-0000-00005C0A0000}"/>
    <cellStyle name="d_yield_LP Chart_THEsumPage (2)_Val_1_Book_Lecture_Notes_v3.06" xfId="608" xr:uid="{00000000-0005-0000-0000-00005D0A0000}"/>
    <cellStyle name="d_yield_LP Chart_Val_1_Book_Lecture_Notes_v3.06" xfId="609" xr:uid="{00000000-0005-0000-0000-00005E0A0000}"/>
    <cellStyle name="d_yield_Merg Cons" xfId="610" xr:uid="{00000000-0005-0000-0000-00005F0A0000}"/>
    <cellStyle name="d_yield_Merg Cons_1 FM_101_Examples_v7.31McIntire" xfId="611" xr:uid="{00000000-0005-0000-0000-0000600A0000}"/>
    <cellStyle name="d_yield_Merg Cons_1 FM_101_Examples_v7.31McIntire_1 FM_101_Examples_TWO-Day_v7.31" xfId="612" xr:uid="{00000000-0005-0000-0000-0000610A0000}"/>
    <cellStyle name="d_yield_Merg Cons_CompSheet" xfId="613" xr:uid="{00000000-0005-0000-0000-0000620A0000}"/>
    <cellStyle name="d_yield_Merg Cons_CompSheet_1 FM_101_Examples_v7.31McIntire" xfId="614" xr:uid="{00000000-0005-0000-0000-0000630A0000}"/>
    <cellStyle name="d_yield_Merg Cons_CompSheet_1 FM_101_Examples_v7.31McIntire_1 FM_101_Examples_TWO-Day_v7.31" xfId="615" xr:uid="{00000000-0005-0000-0000-0000640A0000}"/>
    <cellStyle name="d_yield_Merg Cons_CompSheet_Val_1_Book_Lecture_Notes_v3.06" xfId="616" xr:uid="{00000000-0005-0000-0000-0000650A0000}"/>
    <cellStyle name="d_yield_Merg Cons_THEsumPage (2)" xfId="617" xr:uid="{00000000-0005-0000-0000-0000660A0000}"/>
    <cellStyle name="d_yield_Merg Cons_THEsumPage (2)_1 FM_101_Examples_v7.31McIntire" xfId="618" xr:uid="{00000000-0005-0000-0000-0000670A0000}"/>
    <cellStyle name="d_yield_Merg Cons_THEsumPage (2)_1 FM_101_Examples_v7.31McIntire_1 FM_101_Examples_TWO-Day_v7.31" xfId="619" xr:uid="{00000000-0005-0000-0000-0000680A0000}"/>
    <cellStyle name="d_yield_Merg Cons_THEsumPage (2)_Val_1_Book_Lecture_Notes_v3.06" xfId="620" xr:uid="{00000000-0005-0000-0000-0000690A0000}"/>
    <cellStyle name="d_yield_Merg Cons_Val_1_Book_Lecture_Notes_v3.06" xfId="621" xr:uid="{00000000-0005-0000-0000-00006A0A0000}"/>
    <cellStyle name="d_yield_PowerValuation.xls Chart 21" xfId="622" xr:uid="{00000000-0005-0000-0000-00006B0A0000}"/>
    <cellStyle name="d_yield_PowerValuation.xls Chart 21_LANCE_Model_v0.6.DCF.MASTER.Name" xfId="623" xr:uid="{00000000-0005-0000-0000-00006C0A0000}"/>
    <cellStyle name="d_yield_PowerValuation.xls Chart 21_LANCE_Model_v0.6.DCF.MASTER.Name_DCF &amp; Raios to CLX Tootsie_v1.33.xls" xfId="624" xr:uid="{00000000-0005-0000-0000-00006D0A0000}"/>
    <cellStyle name="d_yield_PowerValuation.xls Chart 21_LANCE_Model_v0.6.DCF.MASTER.Name_Tootsie_TWO_DAY_TTS_Solution_v1.34" xfId="625" xr:uid="{00000000-0005-0000-0000-00006E0A0000}"/>
    <cellStyle name="d_yield_PowerValuation.xls Chart 21_LANCE_Model_v0.6.DCF.MASTER.Name_Val_1_Book_Lecture_Notes_v3.06" xfId="626" xr:uid="{00000000-0005-0000-0000-00006F0A0000}"/>
    <cellStyle name="d_yield_PowerValuation.xls Chart 21_Val_1_Book_Lecture_Notes_v3.06" xfId="627" xr:uid="{00000000-0005-0000-0000-0000700A0000}"/>
    <cellStyle name="d_yield_PowerValuation.xls Chart 28" xfId="628" xr:uid="{00000000-0005-0000-0000-0000710A0000}"/>
    <cellStyle name="d_yield_PowerValuation.xls Chart 28_LANCE_Model_v0.6.DCF.MASTER.Name" xfId="629" xr:uid="{00000000-0005-0000-0000-0000720A0000}"/>
    <cellStyle name="d_yield_PowerValuation.xls Chart 28_LANCE_Model_v0.6.DCF.MASTER.Name_DCF &amp; Raios to CLX Tootsie_v1.33.xls" xfId="630" xr:uid="{00000000-0005-0000-0000-0000730A0000}"/>
    <cellStyle name="d_yield_PowerValuation.xls Chart 28_LANCE_Model_v0.6.DCF.MASTER.Name_Tootsie_TWO_DAY_TTS_Solution_v1.34" xfId="631" xr:uid="{00000000-0005-0000-0000-0000740A0000}"/>
    <cellStyle name="d_yield_PowerValuation.xls Chart 28_LANCE_Model_v0.6.DCF.MASTER.Name_Val_1_Book_Lecture_Notes_v3.06" xfId="632" xr:uid="{00000000-0005-0000-0000-0000750A0000}"/>
    <cellStyle name="d_yield_PowerValuation.xls Chart 28_Val_1_Book_Lecture_Notes_v3.06" xfId="633" xr:uid="{00000000-0005-0000-0000-0000760A0000}"/>
    <cellStyle name="d_yield_Proj10" xfId="634" xr:uid="{00000000-0005-0000-0000-0000770A0000}"/>
    <cellStyle name="d_yield_Proj10_1 FM_101_Examples_v7.31McIntire" xfId="635" xr:uid="{00000000-0005-0000-0000-0000780A0000}"/>
    <cellStyle name="d_yield_Proj10_1 FM_101_Examples_v7.31McIntire_1 FM_101_Examples_TWO-Day_v7.31" xfId="636" xr:uid="{00000000-0005-0000-0000-0000790A0000}"/>
    <cellStyle name="d_yield_Proj10_AVP" xfId="637" xr:uid="{00000000-0005-0000-0000-00007A0A0000}"/>
    <cellStyle name="d_yield_Proj10_AVP_1 FM_101_Examples_v7.31McIntire" xfId="638" xr:uid="{00000000-0005-0000-0000-00007B0A0000}"/>
    <cellStyle name="d_yield_Proj10_AVP_1 FM_101_Examples_v7.31McIntire_1 FM_101_Examples_TWO-Day_v7.31" xfId="639" xr:uid="{00000000-0005-0000-0000-00007C0A0000}"/>
    <cellStyle name="d_yield_Proj10_AVP_Graphic Depiction - NO DEV" xfId="640" xr:uid="{00000000-0005-0000-0000-00007D0A0000}"/>
    <cellStyle name="d_yield_Proj10_AVP_Graphic Depiction - NO DEV_1 FM_101_Examples_v7.31McIntire" xfId="641" xr:uid="{00000000-0005-0000-0000-00007E0A0000}"/>
    <cellStyle name="d_yield_Proj10_AVP_Graphic Depiction - NO DEV_1 FM_101_Examples_v7.31McIntire_1 FM_101_Examples_TWO-Day_v7.31" xfId="642" xr:uid="{00000000-0005-0000-0000-00007F0A0000}"/>
    <cellStyle name="d_yield_Proj10_AVP_Graphic Depiction - NO DEV_Val_1_Book_Lecture_Notes_v3.06" xfId="643" xr:uid="{00000000-0005-0000-0000-0000800A0000}"/>
    <cellStyle name="d_yield_Proj10_AVP_THEsumPage (2)" xfId="644" xr:uid="{00000000-0005-0000-0000-0000810A0000}"/>
    <cellStyle name="d_yield_Proj10_AVP_THEsumPage (2)_1 FM_101_Examples_v7.31McIntire" xfId="645" xr:uid="{00000000-0005-0000-0000-0000820A0000}"/>
    <cellStyle name="d_yield_Proj10_AVP_THEsumPage (2)_1 FM_101_Examples_v7.31McIntire_1 FM_101_Examples_TWO-Day_v7.31" xfId="646" xr:uid="{00000000-0005-0000-0000-0000830A0000}"/>
    <cellStyle name="d_yield_Proj10_AVP_THEsumPage (2)_Val_1_Book_Lecture_Notes_v3.06" xfId="647" xr:uid="{00000000-0005-0000-0000-0000840A0000}"/>
    <cellStyle name="d_yield_Proj10_AVP_Val_1_Book_Lecture_Notes_v3.06" xfId="648" xr:uid="{00000000-0005-0000-0000-0000850A0000}"/>
    <cellStyle name="d_yield_Proj10_CompSheet" xfId="649" xr:uid="{00000000-0005-0000-0000-0000860A0000}"/>
    <cellStyle name="d_yield_Proj10_CompSheet_LANCE_Model_v0.6.DCF.MASTER.Name" xfId="650" xr:uid="{00000000-0005-0000-0000-0000870A0000}"/>
    <cellStyle name="d_yield_Proj10_CompSheet_LANCE_Model_v0.6.DCF.MASTER.Name_DCF &amp; Raios to CLX Tootsie_v1.33.xls" xfId="651" xr:uid="{00000000-0005-0000-0000-0000880A0000}"/>
    <cellStyle name="d_yield_Proj10_CompSheet_LANCE_Model_v0.6.DCF.MASTER.Name_Tootsie_TWO_DAY_TTS_Solution_v1.34" xfId="652" xr:uid="{00000000-0005-0000-0000-0000890A0000}"/>
    <cellStyle name="d_yield_Proj10_CompSheet_LANCE_Model_v0.6.DCF.MASTER.Name_Val_1_Book_Lecture_Notes_v3.06" xfId="653" xr:uid="{00000000-0005-0000-0000-00008A0A0000}"/>
    <cellStyle name="d_yield_Proj10_CompSheet_Val_1_Book_Lecture_Notes_v3.06" xfId="654" xr:uid="{00000000-0005-0000-0000-00008B0A0000}"/>
    <cellStyle name="d_yield_Proj10_Disc Analysis" xfId="655" xr:uid="{00000000-0005-0000-0000-00008C0A0000}"/>
    <cellStyle name="d_yield_Proj10_Disc Analysis_1 FM_101_Examples_v7.31McIntire" xfId="656" xr:uid="{00000000-0005-0000-0000-00008D0A0000}"/>
    <cellStyle name="d_yield_Proj10_Disc Analysis_1 FM_101_Examples_v7.31McIntire_1 FM_101_Examples_TWO-Day_v7.31" xfId="657" xr:uid="{00000000-0005-0000-0000-00008E0A0000}"/>
    <cellStyle name="d_yield_Proj10_Disc Analysis_CompSheet" xfId="658" xr:uid="{00000000-0005-0000-0000-00008F0A0000}"/>
    <cellStyle name="d_yield_Proj10_Disc Analysis_CompSheet_1 FM_101_Examples_v7.31McIntire" xfId="659" xr:uid="{00000000-0005-0000-0000-0000900A0000}"/>
    <cellStyle name="d_yield_Proj10_Disc Analysis_CompSheet_1 FM_101_Examples_v7.31McIntire_1 FM_101_Examples_TWO-Day_v7.31" xfId="660" xr:uid="{00000000-0005-0000-0000-0000910A0000}"/>
    <cellStyle name="d_yield_Proj10_Disc Analysis_CompSheet_Val_1_Book_Lecture_Notes_v3.06" xfId="661" xr:uid="{00000000-0005-0000-0000-0000920A0000}"/>
    <cellStyle name="d_yield_Proj10_Disc Analysis_THEsumPage (2)" xfId="662" xr:uid="{00000000-0005-0000-0000-0000930A0000}"/>
    <cellStyle name="d_yield_Proj10_Disc Analysis_THEsumPage (2)_1 FM_101_Examples_v7.31McIntire" xfId="663" xr:uid="{00000000-0005-0000-0000-0000940A0000}"/>
    <cellStyle name="d_yield_Proj10_Disc Analysis_THEsumPage (2)_1 FM_101_Examples_v7.31McIntire_1 FM_101_Examples_TWO-Day_v7.31" xfId="664" xr:uid="{00000000-0005-0000-0000-0000950A0000}"/>
    <cellStyle name="d_yield_Proj10_Disc Analysis_THEsumPage (2)_Val_1_Book_Lecture_Notes_v3.06" xfId="665" xr:uid="{00000000-0005-0000-0000-0000960A0000}"/>
    <cellStyle name="d_yield_Proj10_Disc Analysis_Val_1_Book_Lecture_Notes_v3.06" xfId="666" xr:uid="{00000000-0005-0000-0000-0000970A0000}"/>
    <cellStyle name="d_yield_Proj10_Fairness Opinion Valuation 4-23a.xls Chart 1" xfId="667" xr:uid="{00000000-0005-0000-0000-0000980A0000}"/>
    <cellStyle name="d_yield_Proj10_Fairness Opinion Valuation 4-23a.xls Chart 1_LANCE_Model_v0.6.DCF.MASTER.Name" xfId="668" xr:uid="{00000000-0005-0000-0000-0000990A0000}"/>
    <cellStyle name="d_yield_Proj10_Fairness Opinion Valuation 4-23a.xls Chart 1_LANCE_Model_v0.6.DCF.MASTER.Name_DCF &amp; Raios to CLX Tootsie_v1.33.xls" xfId="669" xr:uid="{00000000-0005-0000-0000-00009A0A0000}"/>
    <cellStyle name="d_yield_Proj10_Fairness Opinion Valuation 4-23a.xls Chart 1_LANCE_Model_v0.6.DCF.MASTER.Name_Tootsie_TWO_DAY_TTS_Solution_v1.34" xfId="670" xr:uid="{00000000-0005-0000-0000-00009B0A0000}"/>
    <cellStyle name="d_yield_Proj10_Fairness Opinion Valuation 4-23a.xls Chart 1_LANCE_Model_v0.6.DCF.MASTER.Name_Val_1_Book_Lecture_Notes_v3.06" xfId="671" xr:uid="{00000000-0005-0000-0000-00009C0A0000}"/>
    <cellStyle name="d_yield_Proj10_Fairness Opinion Valuation 4-23a.xls Chart 1_Val_1_Book_Lecture_Notes_v3.06" xfId="672" xr:uid="{00000000-0005-0000-0000-00009D0A0000}"/>
    <cellStyle name="d_yield_Proj10_LP Chart" xfId="673" xr:uid="{00000000-0005-0000-0000-00009E0A0000}"/>
    <cellStyle name="d_yield_Proj10_LP Chart_LANCE_Model_v0.6.DCF.MASTER.Name" xfId="674" xr:uid="{00000000-0005-0000-0000-00009F0A0000}"/>
    <cellStyle name="d_yield_Proj10_LP Chart_LANCE_Model_v0.6.DCF.MASTER.Name_DCF &amp; Raios to CLX Tootsie_v1.33.xls" xfId="675" xr:uid="{00000000-0005-0000-0000-0000A00A0000}"/>
    <cellStyle name="d_yield_Proj10_LP Chart_LANCE_Model_v0.6.DCF.MASTER.Name_Tootsie_TWO_DAY_TTS_Solution_v1.34" xfId="676" xr:uid="{00000000-0005-0000-0000-0000A10A0000}"/>
    <cellStyle name="d_yield_Proj10_LP Chart_LANCE_Model_v0.6.DCF.MASTER.Name_Val_1_Book_Lecture_Notes_v3.06" xfId="677" xr:uid="{00000000-0005-0000-0000-0000A20A0000}"/>
    <cellStyle name="d_yield_Proj10_LP Chart_THEsumPage (2)" xfId="678" xr:uid="{00000000-0005-0000-0000-0000A30A0000}"/>
    <cellStyle name="d_yield_Proj10_LP Chart_THEsumPage (2)_LANCE_Model_v0.6.DCF.MASTER.Name" xfId="679" xr:uid="{00000000-0005-0000-0000-0000A40A0000}"/>
    <cellStyle name="d_yield_Proj10_LP Chart_THEsumPage (2)_LANCE_Model_v0.6.DCF.MASTER.Name_DCF &amp; Raios to CLX Tootsie_v1.33.xls" xfId="680" xr:uid="{00000000-0005-0000-0000-0000A50A0000}"/>
    <cellStyle name="d_yield_Proj10_LP Chart_THEsumPage (2)_LANCE_Model_v0.6.DCF.MASTER.Name_Tootsie_TWO_DAY_TTS_Solution_v1.34" xfId="681" xr:uid="{00000000-0005-0000-0000-0000A60A0000}"/>
    <cellStyle name="d_yield_Proj10_LP Chart_THEsumPage (2)_LANCE_Model_v0.6.DCF.MASTER.Name_Val_1_Book_Lecture_Notes_v3.06" xfId="682" xr:uid="{00000000-0005-0000-0000-0000A70A0000}"/>
    <cellStyle name="d_yield_Proj10_LP Chart_THEsumPage (2)_Val_1_Book_Lecture_Notes_v3.06" xfId="683" xr:uid="{00000000-0005-0000-0000-0000A80A0000}"/>
    <cellStyle name="d_yield_Proj10_LP Chart_Val_1_Book_Lecture_Notes_v3.06" xfId="684" xr:uid="{00000000-0005-0000-0000-0000A90A0000}"/>
    <cellStyle name="d_yield_Proj10_Merg Cons" xfId="685" xr:uid="{00000000-0005-0000-0000-0000AA0A0000}"/>
    <cellStyle name="d_yield_Proj10_Merg Cons_1 FM_101_Examples_v7.31McIntire" xfId="686" xr:uid="{00000000-0005-0000-0000-0000AB0A0000}"/>
    <cellStyle name="d_yield_Proj10_Merg Cons_1 FM_101_Examples_v7.31McIntire_1 FM_101_Examples_TWO-Day_v7.31" xfId="687" xr:uid="{00000000-0005-0000-0000-0000AC0A0000}"/>
    <cellStyle name="d_yield_Proj10_Merg Cons_CompSheet" xfId="688" xr:uid="{00000000-0005-0000-0000-0000AD0A0000}"/>
    <cellStyle name="d_yield_Proj10_Merg Cons_CompSheet_1 FM_101_Examples_v7.31McIntire" xfId="689" xr:uid="{00000000-0005-0000-0000-0000AE0A0000}"/>
    <cellStyle name="d_yield_Proj10_Merg Cons_CompSheet_1 FM_101_Examples_v7.31McIntire_1 FM_101_Examples_TWO-Day_v7.31" xfId="690" xr:uid="{00000000-0005-0000-0000-0000AF0A0000}"/>
    <cellStyle name="d_yield_Proj10_Merg Cons_CompSheet_Val_1_Book_Lecture_Notes_v3.06" xfId="691" xr:uid="{00000000-0005-0000-0000-0000B00A0000}"/>
    <cellStyle name="d_yield_Proj10_Merg Cons_THEsumPage (2)" xfId="692" xr:uid="{00000000-0005-0000-0000-0000B10A0000}"/>
    <cellStyle name="d_yield_Proj10_Merg Cons_THEsumPage (2)_1 FM_101_Examples_v7.31McIntire" xfId="693" xr:uid="{00000000-0005-0000-0000-0000B20A0000}"/>
    <cellStyle name="d_yield_Proj10_Merg Cons_THEsumPage (2)_1 FM_101_Examples_v7.31McIntire_1 FM_101_Examples_TWO-Day_v7.31" xfId="694" xr:uid="{00000000-0005-0000-0000-0000B30A0000}"/>
    <cellStyle name="d_yield_Proj10_Merg Cons_THEsumPage (2)_Val_1_Book_Lecture_Notes_v3.06" xfId="695" xr:uid="{00000000-0005-0000-0000-0000B40A0000}"/>
    <cellStyle name="d_yield_Proj10_Merg Cons_Val_1_Book_Lecture_Notes_v3.06" xfId="696" xr:uid="{00000000-0005-0000-0000-0000B50A0000}"/>
    <cellStyle name="d_yield_Proj10_PowerValuation.xls Chart 21" xfId="697" xr:uid="{00000000-0005-0000-0000-0000B60A0000}"/>
    <cellStyle name="d_yield_Proj10_PowerValuation.xls Chart 21_LANCE_Model_v0.6.DCF.MASTER.Name" xfId="698" xr:uid="{00000000-0005-0000-0000-0000B70A0000}"/>
    <cellStyle name="d_yield_Proj10_PowerValuation.xls Chart 21_LANCE_Model_v0.6.DCF.MASTER.Name_DCF &amp; Raios to CLX Tootsie_v1.33.xls" xfId="699" xr:uid="{00000000-0005-0000-0000-0000B80A0000}"/>
    <cellStyle name="d_yield_Proj10_PowerValuation.xls Chart 21_LANCE_Model_v0.6.DCF.MASTER.Name_Tootsie_TWO_DAY_TTS_Solution_v1.34" xfId="700" xr:uid="{00000000-0005-0000-0000-0000B90A0000}"/>
    <cellStyle name="d_yield_Proj10_PowerValuation.xls Chart 21_LANCE_Model_v0.6.DCF.MASTER.Name_Val_1_Book_Lecture_Notes_v3.06" xfId="701" xr:uid="{00000000-0005-0000-0000-0000BA0A0000}"/>
    <cellStyle name="d_yield_Proj10_PowerValuation.xls Chart 21_Val_1_Book_Lecture_Notes_v3.06" xfId="702" xr:uid="{00000000-0005-0000-0000-0000BB0A0000}"/>
    <cellStyle name="d_yield_Proj10_PowerValuation.xls Chart 28" xfId="703" xr:uid="{00000000-0005-0000-0000-0000BC0A0000}"/>
    <cellStyle name="d_yield_Proj10_PowerValuation.xls Chart 28_LANCE_Model_v0.6.DCF.MASTER.Name" xfId="704" xr:uid="{00000000-0005-0000-0000-0000BD0A0000}"/>
    <cellStyle name="d_yield_Proj10_PowerValuation.xls Chart 28_LANCE_Model_v0.6.DCF.MASTER.Name_DCF &amp; Raios to CLX Tootsie_v1.33.xls" xfId="705" xr:uid="{00000000-0005-0000-0000-0000BE0A0000}"/>
    <cellStyle name="d_yield_Proj10_PowerValuation.xls Chart 28_LANCE_Model_v0.6.DCF.MASTER.Name_Tootsie_TWO_DAY_TTS_Solution_v1.34" xfId="706" xr:uid="{00000000-0005-0000-0000-0000BF0A0000}"/>
    <cellStyle name="d_yield_Proj10_PowerValuation.xls Chart 28_LANCE_Model_v0.6.DCF.MASTER.Name_Val_1_Book_Lecture_Notes_v3.06" xfId="707" xr:uid="{00000000-0005-0000-0000-0000C00A0000}"/>
    <cellStyle name="d_yield_Proj10_PowerValuation.xls Chart 28_Val_1_Book_Lecture_Notes_v3.06" xfId="708" xr:uid="{00000000-0005-0000-0000-0000C10A0000}"/>
    <cellStyle name="d_yield_Proj10_Sensitivity" xfId="709" xr:uid="{00000000-0005-0000-0000-0000C20A0000}"/>
    <cellStyle name="d_yield_Proj10_Sensitivity_1 FM_101_Examples_v7.31McIntire" xfId="710" xr:uid="{00000000-0005-0000-0000-0000C30A0000}"/>
    <cellStyle name="d_yield_Proj10_Sensitivity_1 FM_101_Examples_v7.31McIntire_1 FM_101_Examples_TWO-Day_v7.31" xfId="711" xr:uid="{00000000-0005-0000-0000-0000C40A0000}"/>
    <cellStyle name="d_yield_Proj10_Sensitivity_CompSheet" xfId="712" xr:uid="{00000000-0005-0000-0000-0000C50A0000}"/>
    <cellStyle name="d_yield_Proj10_Sensitivity_CompSheet_1 FM_101_Examples_v7.31McIntire" xfId="713" xr:uid="{00000000-0005-0000-0000-0000C60A0000}"/>
    <cellStyle name="d_yield_Proj10_Sensitivity_CompSheet_1 FM_101_Examples_v7.31McIntire_1 FM_101_Examples_TWO-Day_v7.31" xfId="714" xr:uid="{00000000-0005-0000-0000-0000C70A0000}"/>
    <cellStyle name="d_yield_Proj10_Sensitivity_CompSheet_Val_1_Book_Lecture_Notes_v3.06" xfId="715" xr:uid="{00000000-0005-0000-0000-0000C80A0000}"/>
    <cellStyle name="d_yield_Proj10_Sensitivity_THEsumPage (2)" xfId="716" xr:uid="{00000000-0005-0000-0000-0000C90A0000}"/>
    <cellStyle name="d_yield_Proj10_Sensitivity_THEsumPage (2)_1 FM_101_Examples_v7.31McIntire" xfId="717" xr:uid="{00000000-0005-0000-0000-0000CA0A0000}"/>
    <cellStyle name="d_yield_Proj10_Sensitivity_THEsumPage (2)_1 FM_101_Examples_v7.31McIntire_1 FM_101_Examples_TWO-Day_v7.31" xfId="718" xr:uid="{00000000-0005-0000-0000-0000CB0A0000}"/>
    <cellStyle name="d_yield_Proj10_Sensitivity_THEsumPage (2)_Val_1_Book_Lecture_Notes_v3.06" xfId="719" xr:uid="{00000000-0005-0000-0000-0000CC0A0000}"/>
    <cellStyle name="d_yield_Proj10_Sensitivity_Val_1_Book_Lecture_Notes_v3.06" xfId="720" xr:uid="{00000000-0005-0000-0000-0000CD0A0000}"/>
    <cellStyle name="d_yield_Proj10_show-hold" xfId="721" xr:uid="{00000000-0005-0000-0000-0000CE0A0000}"/>
    <cellStyle name="d_yield_Proj10_show-hold_1 FM_101_Examples_v7.31McIntire" xfId="722" xr:uid="{00000000-0005-0000-0000-0000CF0A0000}"/>
    <cellStyle name="d_yield_Proj10_show-hold_1 FM_101_Examples_v7.31McIntire_1 FM_101_Examples_TWO-Day_v7.31" xfId="723" xr:uid="{00000000-0005-0000-0000-0000D00A0000}"/>
    <cellStyle name="d_yield_Proj10_show-hold_Graphic Depiction - NO DEV" xfId="724" xr:uid="{00000000-0005-0000-0000-0000D10A0000}"/>
    <cellStyle name="d_yield_Proj10_show-hold_Graphic Depiction - NO DEV_1 FM_101_Examples_v7.31McIntire" xfId="725" xr:uid="{00000000-0005-0000-0000-0000D20A0000}"/>
    <cellStyle name="d_yield_Proj10_show-hold_Graphic Depiction - NO DEV_1 FM_101_Examples_v7.31McIntire_1 FM_101_Examples_TWO-Day_v7.31" xfId="726" xr:uid="{00000000-0005-0000-0000-0000D30A0000}"/>
    <cellStyle name="d_yield_Proj10_show-hold_Graphic Depiction - NO DEV_Val_1_Book_Lecture_Notes_v3.06" xfId="727" xr:uid="{00000000-0005-0000-0000-0000D40A0000}"/>
    <cellStyle name="d_yield_Proj10_show-hold_THEsumPage (2)" xfId="728" xr:uid="{00000000-0005-0000-0000-0000D50A0000}"/>
    <cellStyle name="d_yield_Proj10_show-hold_THEsumPage (2)_1 FM_101_Examples_v7.31McIntire" xfId="729" xr:uid="{00000000-0005-0000-0000-0000D60A0000}"/>
    <cellStyle name="d_yield_Proj10_show-hold_THEsumPage (2)_1 FM_101_Examples_v7.31McIntire_1 FM_101_Examples_TWO-Day_v7.31" xfId="730" xr:uid="{00000000-0005-0000-0000-0000D70A0000}"/>
    <cellStyle name="d_yield_Proj10_show-hold_THEsumPage (2)_Val_1_Book_Lecture_Notes_v3.06" xfId="731" xr:uid="{00000000-0005-0000-0000-0000D80A0000}"/>
    <cellStyle name="d_yield_Proj10_show-hold_Val_1_Book_Lecture_Notes_v3.06" xfId="732" xr:uid="{00000000-0005-0000-0000-0000D90A0000}"/>
    <cellStyle name="d_yield_Proj10_THEsumPage (2)" xfId="733" xr:uid="{00000000-0005-0000-0000-0000DA0A0000}"/>
    <cellStyle name="d_yield_Proj10_THEsumPage (2)_LANCE_Model_v0.6.DCF.MASTER.Name" xfId="734" xr:uid="{00000000-0005-0000-0000-0000DB0A0000}"/>
    <cellStyle name="d_yield_Proj10_THEsumPage (2)_LANCE_Model_v0.6.DCF.MASTER.Name_DCF &amp; Raios to CLX Tootsie_v1.33.xls" xfId="735" xr:uid="{00000000-0005-0000-0000-0000DC0A0000}"/>
    <cellStyle name="d_yield_Proj10_THEsumPage (2)_LANCE_Model_v0.6.DCF.MASTER.Name_Tootsie_TWO_DAY_TTS_Solution_v1.34" xfId="736" xr:uid="{00000000-0005-0000-0000-0000DD0A0000}"/>
    <cellStyle name="d_yield_Proj10_THEsumPage (2)_LANCE_Model_v0.6.DCF.MASTER.Name_Val_1_Book_Lecture_Notes_v3.06" xfId="737" xr:uid="{00000000-0005-0000-0000-0000DE0A0000}"/>
    <cellStyle name="d_yield_Proj10_THEsumPage (2)_Val_1_Book_Lecture_Notes_v3.06" xfId="738" xr:uid="{00000000-0005-0000-0000-0000DF0A0000}"/>
    <cellStyle name="d_yield_Proj10_Val_1_Book_Lecture_Notes_v3.06" xfId="739" xr:uid="{00000000-0005-0000-0000-0000E00A0000}"/>
    <cellStyle name="d_yield_Proj10_Valuation summaries" xfId="740" xr:uid="{00000000-0005-0000-0000-0000E10A0000}"/>
    <cellStyle name="d_yield_Proj10_Valuation summaries_LANCE_Model_v0.6.DCF.MASTER.Name" xfId="741" xr:uid="{00000000-0005-0000-0000-0000E20A0000}"/>
    <cellStyle name="d_yield_Proj10_Valuation summaries_LANCE_Model_v0.6.DCF.MASTER.Name_DCF &amp; Raios to CLX Tootsie_v1.33.xls" xfId="742" xr:uid="{00000000-0005-0000-0000-0000E30A0000}"/>
    <cellStyle name="d_yield_Proj10_Valuation summaries_LANCE_Model_v0.6.DCF.MASTER.Name_Tootsie_TWO_DAY_TTS_Solution_v1.34" xfId="743" xr:uid="{00000000-0005-0000-0000-0000E40A0000}"/>
    <cellStyle name="d_yield_Proj10_Valuation summaries_LANCE_Model_v0.6.DCF.MASTER.Name_Val_1_Book_Lecture_Notes_v3.06" xfId="744" xr:uid="{00000000-0005-0000-0000-0000E50A0000}"/>
    <cellStyle name="d_yield_Proj10_Valuation summaries_Val_1_Book_Lecture_Notes_v3.06" xfId="745" xr:uid="{00000000-0005-0000-0000-0000E60A0000}"/>
    <cellStyle name="d_yield_Proj10_WACC-CableCar" xfId="746" xr:uid="{00000000-0005-0000-0000-0000E70A0000}"/>
    <cellStyle name="d_yield_Proj10_WACC-CableCar_LANCE_Model_v0.6.DCF.MASTER.Name" xfId="747" xr:uid="{00000000-0005-0000-0000-0000E80A0000}"/>
    <cellStyle name="d_yield_Proj10_WACC-CableCar_LANCE_Model_v0.6.DCF.MASTER.Name_DCF &amp; Raios to CLX Tootsie_v1.33.xls" xfId="748" xr:uid="{00000000-0005-0000-0000-0000E90A0000}"/>
    <cellStyle name="d_yield_Proj10_WACC-CableCar_LANCE_Model_v0.6.DCF.MASTER.Name_Tootsie_TWO_DAY_TTS_Solution_v1.34" xfId="749" xr:uid="{00000000-0005-0000-0000-0000EA0A0000}"/>
    <cellStyle name="d_yield_Proj10_WACC-CableCar_LANCE_Model_v0.6.DCF.MASTER.Name_Val_1_Book_Lecture_Notes_v3.06" xfId="750" xr:uid="{00000000-0005-0000-0000-0000EB0A0000}"/>
    <cellStyle name="d_yield_Proj10_WACC-CableCar_THEsumPage (2)" xfId="751" xr:uid="{00000000-0005-0000-0000-0000EC0A0000}"/>
    <cellStyle name="d_yield_Proj10_WACC-CableCar_THEsumPage (2)_LANCE_Model_v0.6.DCF.MASTER.Name" xfId="752" xr:uid="{00000000-0005-0000-0000-0000ED0A0000}"/>
    <cellStyle name="d_yield_Proj10_WACC-CableCar_THEsumPage (2)_LANCE_Model_v0.6.DCF.MASTER.Name_DCF &amp; Raios to CLX Tootsie_v1.33.xls" xfId="753" xr:uid="{00000000-0005-0000-0000-0000EE0A0000}"/>
    <cellStyle name="d_yield_Proj10_WACC-CableCar_THEsumPage (2)_LANCE_Model_v0.6.DCF.MASTER.Name_Tootsie_TWO_DAY_TTS_Solution_v1.34" xfId="754" xr:uid="{00000000-0005-0000-0000-0000EF0A0000}"/>
    <cellStyle name="d_yield_Proj10_WACC-CableCar_THEsumPage (2)_LANCE_Model_v0.6.DCF.MASTER.Name_Val_1_Book_Lecture_Notes_v3.06" xfId="755" xr:uid="{00000000-0005-0000-0000-0000F00A0000}"/>
    <cellStyle name="d_yield_Proj10_WACC-CableCar_THEsumPage (2)_Val_1_Book_Lecture_Notes_v3.06" xfId="756" xr:uid="{00000000-0005-0000-0000-0000F10A0000}"/>
    <cellStyle name="d_yield_Proj10_WACC-CableCar_Val_1_Book_Lecture_Notes_v3.06" xfId="757" xr:uid="{00000000-0005-0000-0000-0000F20A0000}"/>
    <cellStyle name="d_yield_Proj10_WACC-RAD (2)" xfId="758" xr:uid="{00000000-0005-0000-0000-0000F30A0000}"/>
    <cellStyle name="d_yield_Proj10_WACC-RAD (2)_LANCE_Model_v0.6.DCF.MASTER.Name" xfId="759" xr:uid="{00000000-0005-0000-0000-0000F40A0000}"/>
    <cellStyle name="d_yield_Proj10_WACC-RAD (2)_LANCE_Model_v0.6.DCF.MASTER.Name_DCF &amp; Raios to CLX Tootsie_v1.33.xls" xfId="760" xr:uid="{00000000-0005-0000-0000-0000F50A0000}"/>
    <cellStyle name="d_yield_Proj10_WACC-RAD (2)_LANCE_Model_v0.6.DCF.MASTER.Name_Tootsie_TWO_DAY_TTS_Solution_v1.34" xfId="761" xr:uid="{00000000-0005-0000-0000-0000F60A0000}"/>
    <cellStyle name="d_yield_Proj10_WACC-RAD (2)_LANCE_Model_v0.6.DCF.MASTER.Name_Val_1_Book_Lecture_Notes_v3.06" xfId="762" xr:uid="{00000000-0005-0000-0000-0000F70A0000}"/>
    <cellStyle name="d_yield_Proj10_WACC-RAD (2)_THEsumPage (2)" xfId="763" xr:uid="{00000000-0005-0000-0000-0000F80A0000}"/>
    <cellStyle name="d_yield_Proj10_WACC-RAD (2)_THEsumPage (2)_LANCE_Model_v0.6.DCF.MASTER.Name" xfId="764" xr:uid="{00000000-0005-0000-0000-0000F90A0000}"/>
    <cellStyle name="d_yield_Proj10_WACC-RAD (2)_THEsumPage (2)_LANCE_Model_v0.6.DCF.MASTER.Name_DCF &amp; Raios to CLX Tootsie_v1.33.xls" xfId="765" xr:uid="{00000000-0005-0000-0000-0000FA0A0000}"/>
    <cellStyle name="d_yield_Proj10_WACC-RAD (2)_THEsumPage (2)_LANCE_Model_v0.6.DCF.MASTER.Name_Tootsie_TWO_DAY_TTS_Solution_v1.34" xfId="766" xr:uid="{00000000-0005-0000-0000-0000FB0A0000}"/>
    <cellStyle name="d_yield_Proj10_WACC-RAD (2)_THEsumPage (2)_LANCE_Model_v0.6.DCF.MASTER.Name_Val_1_Book_Lecture_Notes_v3.06" xfId="767" xr:uid="{00000000-0005-0000-0000-0000FC0A0000}"/>
    <cellStyle name="d_yield_Proj10_WACC-RAD (2)_THEsumPage (2)_Val_1_Book_Lecture_Notes_v3.06" xfId="768" xr:uid="{00000000-0005-0000-0000-0000FD0A0000}"/>
    <cellStyle name="d_yield_Proj10_WACC-RAD (2)_Val_1_Book_Lecture_Notes_v3.06" xfId="769" xr:uid="{00000000-0005-0000-0000-0000FE0A0000}"/>
    <cellStyle name="d_yield_Sensitivity" xfId="770" xr:uid="{00000000-0005-0000-0000-0000FF0A0000}"/>
    <cellStyle name="d_yield_Sensitivity_1 FM_101_Examples_v7.31McIntire" xfId="771" xr:uid="{00000000-0005-0000-0000-0000000B0000}"/>
    <cellStyle name="d_yield_Sensitivity_1 FM_101_Examples_v7.31McIntire_1 FM_101_Examples_TWO-Day_v7.31" xfId="772" xr:uid="{00000000-0005-0000-0000-0000010B0000}"/>
    <cellStyle name="d_yield_Sensitivity_CompSheet" xfId="773" xr:uid="{00000000-0005-0000-0000-0000020B0000}"/>
    <cellStyle name="d_yield_Sensitivity_CompSheet_1 FM_101_Examples_v7.31McIntire" xfId="774" xr:uid="{00000000-0005-0000-0000-0000030B0000}"/>
    <cellStyle name="d_yield_Sensitivity_CompSheet_1 FM_101_Examples_v7.31McIntire_1 FM_101_Examples_TWO-Day_v7.31" xfId="775" xr:uid="{00000000-0005-0000-0000-0000040B0000}"/>
    <cellStyle name="d_yield_Sensitivity_CompSheet_Val_1_Book_Lecture_Notes_v3.06" xfId="776" xr:uid="{00000000-0005-0000-0000-0000050B0000}"/>
    <cellStyle name="d_yield_Sensitivity_THEsumPage (2)" xfId="777" xr:uid="{00000000-0005-0000-0000-0000060B0000}"/>
    <cellStyle name="d_yield_Sensitivity_THEsumPage (2)_1 FM_101_Examples_v7.31McIntire" xfId="778" xr:uid="{00000000-0005-0000-0000-0000070B0000}"/>
    <cellStyle name="d_yield_Sensitivity_THEsumPage (2)_1 FM_101_Examples_v7.31McIntire_1 FM_101_Examples_TWO-Day_v7.31" xfId="779" xr:uid="{00000000-0005-0000-0000-0000080B0000}"/>
    <cellStyle name="d_yield_Sensitivity_THEsumPage (2)_Val_1_Book_Lecture_Notes_v3.06" xfId="780" xr:uid="{00000000-0005-0000-0000-0000090B0000}"/>
    <cellStyle name="d_yield_Sensitivity_Val_1_Book_Lecture_Notes_v3.06" xfId="781" xr:uid="{00000000-0005-0000-0000-00000A0B0000}"/>
    <cellStyle name="d_yield_show-hold" xfId="782" xr:uid="{00000000-0005-0000-0000-00000B0B0000}"/>
    <cellStyle name="d_yield_show-hold_1 FM_101_Examples_v7.31McIntire" xfId="783" xr:uid="{00000000-0005-0000-0000-00000C0B0000}"/>
    <cellStyle name="d_yield_show-hold_1 FM_101_Examples_v7.31McIntire_1 FM_101_Examples_TWO-Day_v7.31" xfId="784" xr:uid="{00000000-0005-0000-0000-00000D0B0000}"/>
    <cellStyle name="d_yield_show-hold_CompSheet" xfId="785" xr:uid="{00000000-0005-0000-0000-00000E0B0000}"/>
    <cellStyle name="d_yield_show-hold_CompSheet_1 FM_101_Examples_v7.31McIntire" xfId="786" xr:uid="{00000000-0005-0000-0000-00000F0B0000}"/>
    <cellStyle name="d_yield_show-hold_CompSheet_1 FM_101_Examples_v7.31McIntire_1 FM_101_Examples_TWO-Day_v7.31" xfId="787" xr:uid="{00000000-0005-0000-0000-0000100B0000}"/>
    <cellStyle name="d_yield_show-hold_CompSheet_Val_1_Book_Lecture_Notes_v3.06" xfId="788" xr:uid="{00000000-0005-0000-0000-0000110B0000}"/>
    <cellStyle name="d_yield_show-hold_THEsumPage (2)" xfId="789" xr:uid="{00000000-0005-0000-0000-0000120B0000}"/>
    <cellStyle name="d_yield_show-hold_THEsumPage (2)_1 FM_101_Examples_v7.31McIntire" xfId="790" xr:uid="{00000000-0005-0000-0000-0000130B0000}"/>
    <cellStyle name="d_yield_show-hold_THEsumPage (2)_1 FM_101_Examples_v7.31McIntire_1 FM_101_Examples_TWO-Day_v7.31" xfId="791" xr:uid="{00000000-0005-0000-0000-0000140B0000}"/>
    <cellStyle name="d_yield_show-hold_THEsumPage (2)_Val_1_Book_Lecture_Notes_v3.06" xfId="792" xr:uid="{00000000-0005-0000-0000-0000150B0000}"/>
    <cellStyle name="d_yield_show-hold_Val_1_Book_Lecture_Notes_v3.06" xfId="793" xr:uid="{00000000-0005-0000-0000-0000160B0000}"/>
    <cellStyle name="d_yield_THEsumPage (2)" xfId="794" xr:uid="{00000000-0005-0000-0000-0000170B0000}"/>
    <cellStyle name="d_yield_THEsumPage (2)_LANCE_Model_v0.6.DCF.MASTER.Name" xfId="795" xr:uid="{00000000-0005-0000-0000-0000180B0000}"/>
    <cellStyle name="d_yield_THEsumPage (2)_LANCE_Model_v0.6.DCF.MASTER.Name_DCF &amp; Raios to CLX Tootsie_v1.33.xls" xfId="796" xr:uid="{00000000-0005-0000-0000-0000190B0000}"/>
    <cellStyle name="d_yield_THEsumPage (2)_LANCE_Model_v0.6.DCF.MASTER.Name_Tootsie_TWO_DAY_TTS_Solution_v1.34" xfId="797" xr:uid="{00000000-0005-0000-0000-00001A0B0000}"/>
    <cellStyle name="d_yield_THEsumPage (2)_LANCE_Model_v0.6.DCF.MASTER.Name_Val_1_Book_Lecture_Notes_v3.06" xfId="798" xr:uid="{00000000-0005-0000-0000-00001B0B0000}"/>
    <cellStyle name="d_yield_THEsumPage (2)_Val_1_Book_Lecture_Notes_v3.06" xfId="799" xr:uid="{00000000-0005-0000-0000-00001C0B0000}"/>
    <cellStyle name="d_yield_Val_1_Book_Lecture_Notes_v3.06" xfId="800" xr:uid="{00000000-0005-0000-0000-00001D0B0000}"/>
    <cellStyle name="d_yield_Valuation summaries" xfId="801" xr:uid="{00000000-0005-0000-0000-00001E0B0000}"/>
    <cellStyle name="d_yield_Valuation summaries_LANCE_Model_v0.6.DCF.MASTER.Name" xfId="802" xr:uid="{00000000-0005-0000-0000-00001F0B0000}"/>
    <cellStyle name="d_yield_Valuation summaries_LANCE_Model_v0.6.DCF.MASTER.Name_DCF &amp; Raios to CLX Tootsie_v1.33.xls" xfId="803" xr:uid="{00000000-0005-0000-0000-0000200B0000}"/>
    <cellStyle name="d_yield_Valuation summaries_LANCE_Model_v0.6.DCF.MASTER.Name_Tootsie_TWO_DAY_TTS_Solution_v1.34" xfId="804" xr:uid="{00000000-0005-0000-0000-0000210B0000}"/>
    <cellStyle name="d_yield_Valuation summaries_LANCE_Model_v0.6.DCF.MASTER.Name_Val_1_Book_Lecture_Notes_v3.06" xfId="805" xr:uid="{00000000-0005-0000-0000-0000220B0000}"/>
    <cellStyle name="d_yield_Valuation summaries_Val_1_Book_Lecture_Notes_v3.06" xfId="806" xr:uid="{00000000-0005-0000-0000-0000230B0000}"/>
    <cellStyle name="d_yield_WACC-CableCar" xfId="807" xr:uid="{00000000-0005-0000-0000-0000240B0000}"/>
    <cellStyle name="d_yield_WACC-CableCar_LANCE_Model_v0.6.DCF.MASTER.Name" xfId="808" xr:uid="{00000000-0005-0000-0000-0000250B0000}"/>
    <cellStyle name="d_yield_WACC-CableCar_LANCE_Model_v0.6.DCF.MASTER.Name_DCF &amp; Raios to CLX Tootsie_v1.33.xls" xfId="809" xr:uid="{00000000-0005-0000-0000-0000260B0000}"/>
    <cellStyle name="d_yield_WACC-CableCar_LANCE_Model_v0.6.DCF.MASTER.Name_Tootsie_TWO_DAY_TTS_Solution_v1.34" xfId="810" xr:uid="{00000000-0005-0000-0000-0000270B0000}"/>
    <cellStyle name="d_yield_WACC-CableCar_LANCE_Model_v0.6.DCF.MASTER.Name_Val_1_Book_Lecture_Notes_v3.06" xfId="811" xr:uid="{00000000-0005-0000-0000-0000280B0000}"/>
    <cellStyle name="d_yield_WACC-CableCar_THEsumPage (2)" xfId="812" xr:uid="{00000000-0005-0000-0000-0000290B0000}"/>
    <cellStyle name="d_yield_WACC-CableCar_THEsumPage (2)_LANCE_Model_v0.6.DCF.MASTER.Name" xfId="813" xr:uid="{00000000-0005-0000-0000-00002A0B0000}"/>
    <cellStyle name="d_yield_WACC-CableCar_THEsumPage (2)_LANCE_Model_v0.6.DCF.MASTER.Name_DCF &amp; Raios to CLX Tootsie_v1.33.xls" xfId="814" xr:uid="{00000000-0005-0000-0000-00002B0B0000}"/>
    <cellStyle name="d_yield_WACC-CableCar_THEsumPage (2)_LANCE_Model_v0.6.DCF.MASTER.Name_Tootsie_TWO_DAY_TTS_Solution_v1.34" xfId="815" xr:uid="{00000000-0005-0000-0000-00002C0B0000}"/>
    <cellStyle name="d_yield_WACC-CableCar_THEsumPage (2)_LANCE_Model_v0.6.DCF.MASTER.Name_Val_1_Book_Lecture_Notes_v3.06" xfId="816" xr:uid="{00000000-0005-0000-0000-00002D0B0000}"/>
    <cellStyle name="d_yield_WACC-CableCar_THEsumPage (2)_Val_1_Book_Lecture_Notes_v3.06" xfId="817" xr:uid="{00000000-0005-0000-0000-00002E0B0000}"/>
    <cellStyle name="d_yield_WACC-CableCar_Val_1_Book_Lecture_Notes_v3.06" xfId="818" xr:uid="{00000000-0005-0000-0000-00002F0B0000}"/>
    <cellStyle name="d_yield_WACC-RAD (2)" xfId="819" xr:uid="{00000000-0005-0000-0000-0000300B0000}"/>
    <cellStyle name="d_yield_WACC-RAD (2)_LANCE_Model_v0.6.DCF.MASTER.Name" xfId="820" xr:uid="{00000000-0005-0000-0000-0000310B0000}"/>
    <cellStyle name="d_yield_WACC-RAD (2)_LANCE_Model_v0.6.DCF.MASTER.Name_DCF &amp; Raios to CLX Tootsie_v1.33.xls" xfId="821" xr:uid="{00000000-0005-0000-0000-0000320B0000}"/>
    <cellStyle name="d_yield_WACC-RAD (2)_LANCE_Model_v0.6.DCF.MASTER.Name_Tootsie_TWO_DAY_TTS_Solution_v1.34" xfId="822" xr:uid="{00000000-0005-0000-0000-0000330B0000}"/>
    <cellStyle name="d_yield_WACC-RAD (2)_LANCE_Model_v0.6.DCF.MASTER.Name_Val_1_Book_Lecture_Notes_v3.06" xfId="823" xr:uid="{00000000-0005-0000-0000-0000340B0000}"/>
    <cellStyle name="d_yield_WACC-RAD (2)_THEsumPage (2)" xfId="824" xr:uid="{00000000-0005-0000-0000-0000350B0000}"/>
    <cellStyle name="d_yield_WACC-RAD (2)_THEsumPage (2)_LANCE_Model_v0.6.DCF.MASTER.Name" xfId="825" xr:uid="{00000000-0005-0000-0000-0000360B0000}"/>
    <cellStyle name="d_yield_WACC-RAD (2)_THEsumPage (2)_LANCE_Model_v0.6.DCF.MASTER.Name_DCF &amp; Raios to CLX Tootsie_v1.33.xls" xfId="826" xr:uid="{00000000-0005-0000-0000-0000370B0000}"/>
    <cellStyle name="d_yield_WACC-RAD (2)_THEsumPage (2)_LANCE_Model_v0.6.DCF.MASTER.Name_Tootsie_TWO_DAY_TTS_Solution_v1.34" xfId="827" xr:uid="{00000000-0005-0000-0000-0000380B0000}"/>
    <cellStyle name="d_yield_WACC-RAD (2)_THEsumPage (2)_LANCE_Model_v0.6.DCF.MASTER.Name_Val_1_Book_Lecture_Notes_v3.06" xfId="828" xr:uid="{00000000-0005-0000-0000-0000390B0000}"/>
    <cellStyle name="d_yield_WACC-RAD (2)_THEsumPage (2)_Val_1_Book_Lecture_Notes_v3.06" xfId="829" xr:uid="{00000000-0005-0000-0000-00003A0B0000}"/>
    <cellStyle name="d_yield_WACC-RAD (2)_Val_1_Book_Lecture_Notes_v3.06" xfId="830" xr:uid="{00000000-0005-0000-0000-00003B0B0000}"/>
    <cellStyle name="Dash" xfId="831" xr:uid="{00000000-0005-0000-0000-00003C0B0000}"/>
    <cellStyle name="Dash 2" xfId="1888" xr:uid="{00000000-0005-0000-0000-00003D0B0000}"/>
    <cellStyle name="data" xfId="832" xr:uid="{00000000-0005-0000-0000-00003E0B0000}"/>
    <cellStyle name="Date" xfId="833" xr:uid="{00000000-0005-0000-0000-00003F0B0000}"/>
    <cellStyle name="Date 2" xfId="1889" xr:uid="{00000000-0005-0000-0000-0000400B0000}"/>
    <cellStyle name="Date, mmm-yy" xfId="1890" xr:uid="{00000000-0005-0000-0000-0000410B0000}"/>
    <cellStyle name="Date, mmm-yy 2" xfId="11098" xr:uid="{00000000-0005-0000-0000-0000420B0000}"/>
    <cellStyle name="Date, mmm-yy 3" xfId="11111" xr:uid="{00000000-0005-0000-0000-0000430B0000}"/>
    <cellStyle name="D-No Decimal" xfId="1891" xr:uid="{00000000-0005-0000-0000-0000440B0000}"/>
    <cellStyle name="dollar" xfId="834" xr:uid="{00000000-0005-0000-0000-0000450B0000}"/>
    <cellStyle name="dollar[0]" xfId="835" xr:uid="{00000000-0005-0000-0000-0000460B0000}"/>
    <cellStyle name="dollar_MBA_Val_101_CAD_2009_BACKUP_v1.0_Draft_10" xfId="836" xr:uid="{00000000-0005-0000-0000-0000470B0000}"/>
    <cellStyle name="Dollars" xfId="837" xr:uid="{00000000-0005-0000-0000-0000480B0000}"/>
    <cellStyle name="Dollars []" xfId="838" xr:uid="{00000000-0005-0000-0000-0000490B0000}"/>
    <cellStyle name="Dollars_Annotated_Templates_Hershey-2006_0.2" xfId="839" xr:uid="{00000000-0005-0000-0000-00004A0B0000}"/>
    <cellStyle name="En miles" xfId="1892" xr:uid="{00000000-0005-0000-0000-00004B0B0000}"/>
    <cellStyle name="En millones" xfId="1893" xr:uid="{00000000-0005-0000-0000-00004C0B0000}"/>
    <cellStyle name="Encabezado 4" xfId="1894" xr:uid="{00000000-0005-0000-0000-00004D0B0000}"/>
    <cellStyle name="Ênfase1" xfId="1895" xr:uid="{00000000-0005-0000-0000-00004E0B0000}"/>
    <cellStyle name="Ênfase2" xfId="1896" xr:uid="{00000000-0005-0000-0000-00004F0B0000}"/>
    <cellStyle name="Ênfase3" xfId="1897" xr:uid="{00000000-0005-0000-0000-0000500B0000}"/>
    <cellStyle name="Ênfase4" xfId="1898" xr:uid="{00000000-0005-0000-0000-0000510B0000}"/>
    <cellStyle name="Ênfase5" xfId="1899" xr:uid="{00000000-0005-0000-0000-0000520B0000}"/>
    <cellStyle name="Ênfase6" xfId="1900" xr:uid="{00000000-0005-0000-0000-0000530B0000}"/>
    <cellStyle name="Énfasis1" xfId="1901" xr:uid="{00000000-0005-0000-0000-0000540B0000}"/>
    <cellStyle name="Énfasis2" xfId="1902" xr:uid="{00000000-0005-0000-0000-0000550B0000}"/>
    <cellStyle name="Énfasis3" xfId="1903" xr:uid="{00000000-0005-0000-0000-0000560B0000}"/>
    <cellStyle name="Énfasis4" xfId="1904" xr:uid="{00000000-0005-0000-0000-0000570B0000}"/>
    <cellStyle name="Énfasis5" xfId="1905" xr:uid="{00000000-0005-0000-0000-0000580B0000}"/>
    <cellStyle name="Énfasis6" xfId="1906" xr:uid="{00000000-0005-0000-0000-0000590B0000}"/>
    <cellStyle name="Entered" xfId="42" xr:uid="{00000000-0005-0000-0000-00005A0B0000}"/>
    <cellStyle name="EnteredGrowth" xfId="43" xr:uid="{00000000-0005-0000-0000-00005B0B0000}"/>
    <cellStyle name="Entrada" xfId="1907" xr:uid="{00000000-0005-0000-0000-00005C0B0000}"/>
    <cellStyle name="Entrada 2" xfId="11099" xr:uid="{00000000-0005-0000-0000-00005D0B0000}"/>
    <cellStyle name="eps" xfId="840" xr:uid="{00000000-0005-0000-0000-00005E0B0000}"/>
    <cellStyle name="eps$" xfId="841" xr:uid="{00000000-0005-0000-0000-00005F0B0000}"/>
    <cellStyle name="eps$A" xfId="842" xr:uid="{00000000-0005-0000-0000-0000600B0000}"/>
    <cellStyle name="eps$E" xfId="843" xr:uid="{00000000-0005-0000-0000-0000610B0000}"/>
    <cellStyle name="eps_1 FM_101_Examples_v7.31McIntire" xfId="844" xr:uid="{00000000-0005-0000-0000-0000620B0000}"/>
    <cellStyle name="epsA" xfId="845" xr:uid="{00000000-0005-0000-0000-0000630B0000}"/>
    <cellStyle name="epsE" xfId="846" xr:uid="{00000000-0005-0000-0000-0000640B0000}"/>
    <cellStyle name="Euro" xfId="847" xr:uid="{00000000-0005-0000-0000-0000650B0000}"/>
    <cellStyle name="Euro-" xfId="848" xr:uid="{00000000-0005-0000-0000-0000660B0000}"/>
    <cellStyle name="Euro 2" xfId="1908" xr:uid="{00000000-0005-0000-0000-0000670B0000}"/>
    <cellStyle name="Euro 3" xfId="2131" xr:uid="{00000000-0005-0000-0000-0000680B0000}"/>
    <cellStyle name="Euro 4" xfId="11100" xr:uid="{00000000-0005-0000-0000-0000690B0000}"/>
    <cellStyle name="Euro 5" xfId="11110" xr:uid="{00000000-0005-0000-0000-00006A0B0000}"/>
    <cellStyle name="Explanatory Text" xfId="404" builtinId="53" customBuiltin="1"/>
    <cellStyle name="Explanatory Text 10" xfId="11268" xr:uid="{00000000-0005-0000-0000-00006C0B0000}"/>
    <cellStyle name="Explanatory Text 11" xfId="11297" xr:uid="{00000000-0005-0000-0000-00006D0B0000}"/>
    <cellStyle name="Explanatory Text 12" xfId="11329" xr:uid="{00000000-0005-0000-0000-00006E0B0000}"/>
    <cellStyle name="Explanatory Text 13" xfId="11451" xr:uid="{00000000-0005-0000-0000-00006F0B0000}"/>
    <cellStyle name="Explanatory Text 14" xfId="11449" xr:uid="{00000000-0005-0000-0000-0000700B0000}"/>
    <cellStyle name="Explanatory Text 15" xfId="11492" xr:uid="{00000000-0005-0000-0000-0000710B0000}"/>
    <cellStyle name="Explanatory Text 16" xfId="11352" xr:uid="{00000000-0005-0000-0000-0000720B0000}"/>
    <cellStyle name="Explanatory Text 17" xfId="11486" xr:uid="{00000000-0005-0000-0000-0000730B0000}"/>
    <cellStyle name="Explanatory Text 18" xfId="11360" xr:uid="{00000000-0005-0000-0000-0000740B0000}"/>
    <cellStyle name="Explanatory Text 19" xfId="11480" xr:uid="{00000000-0005-0000-0000-0000750B0000}"/>
    <cellStyle name="Explanatory Text 2" xfId="205" xr:uid="{00000000-0005-0000-0000-0000760B0000}"/>
    <cellStyle name="Explanatory Text 20" xfId="11366" xr:uid="{00000000-0005-0000-0000-0000770B0000}"/>
    <cellStyle name="Explanatory Text 21" xfId="11348" xr:uid="{00000000-0005-0000-0000-0000780B0000}"/>
    <cellStyle name="Explanatory Text 22" xfId="11490" xr:uid="{00000000-0005-0000-0000-0000790B0000}"/>
    <cellStyle name="Explanatory Text 23" xfId="11355" xr:uid="{00000000-0005-0000-0000-00007A0B0000}"/>
    <cellStyle name="Explanatory Text 24" xfId="11483" xr:uid="{00000000-0005-0000-0000-00007B0B0000}"/>
    <cellStyle name="Explanatory Text 25" xfId="11363" xr:uid="{00000000-0005-0000-0000-00007C0B0000}"/>
    <cellStyle name="Explanatory Text 26" xfId="11478" xr:uid="{00000000-0005-0000-0000-00007D0B0000}"/>
    <cellStyle name="Explanatory Text 27" xfId="11368" xr:uid="{00000000-0005-0000-0000-00007E0B0000}"/>
    <cellStyle name="Explanatory Text 28" xfId="11475" xr:uid="{00000000-0005-0000-0000-00007F0B0000}"/>
    <cellStyle name="Explanatory Text 29" xfId="11371" xr:uid="{00000000-0005-0000-0000-0000800B0000}"/>
    <cellStyle name="Explanatory Text 3" xfId="849" xr:uid="{00000000-0005-0000-0000-0000810B0000}"/>
    <cellStyle name="Explanatory Text 3 2" xfId="11152" xr:uid="{00000000-0005-0000-0000-0000820B0000}"/>
    <cellStyle name="Explanatory Text 30" xfId="11473" xr:uid="{00000000-0005-0000-0000-0000830B0000}"/>
    <cellStyle name="Explanatory Text 31" xfId="11511" xr:uid="{00000000-0005-0000-0000-0000840B0000}"/>
    <cellStyle name="Explanatory Text 32" xfId="11526" xr:uid="{00000000-0005-0000-0000-0000850B0000}"/>
    <cellStyle name="Explanatory Text 33" xfId="11543" xr:uid="{00000000-0005-0000-0000-0000860B0000}"/>
    <cellStyle name="Explanatory Text 34" xfId="19663" xr:uid="{00000000-0005-0000-0000-0000870B0000}"/>
    <cellStyle name="Explanatory Text 35" xfId="19680" xr:uid="{00000000-0005-0000-0000-0000880B0000}"/>
    <cellStyle name="Explanatory Text 36" xfId="19683" xr:uid="{00000000-0005-0000-0000-0000890B0000}"/>
    <cellStyle name="Explanatory Text 37" xfId="19713" xr:uid="{00000000-0005-0000-0000-00008A0B0000}"/>
    <cellStyle name="Explanatory Text 38" xfId="19725" xr:uid="{00000000-0005-0000-0000-00008B0B0000}"/>
    <cellStyle name="Explanatory Text 39" xfId="19741" xr:uid="{00000000-0005-0000-0000-00008C0B0000}"/>
    <cellStyle name="Explanatory Text 4" xfId="11168" xr:uid="{00000000-0005-0000-0000-00008D0B0000}"/>
    <cellStyle name="Explanatory Text 40" xfId="19717" xr:uid="{00000000-0005-0000-0000-00008E0B0000}"/>
    <cellStyle name="Explanatory Text 41" xfId="19763" xr:uid="{00000000-0005-0000-0000-00008F0B0000}"/>
    <cellStyle name="Explanatory Text 42" xfId="19792" xr:uid="{00000000-0005-0000-0000-0000900B0000}"/>
    <cellStyle name="Explanatory Text 43" xfId="19811" xr:uid="{00000000-0005-0000-0000-0000910B0000}"/>
    <cellStyle name="Explanatory Text 44" xfId="19924" xr:uid="{00000000-0005-0000-0000-0000920B0000}"/>
    <cellStyle name="Explanatory Text 45" xfId="19922" xr:uid="{00000000-0005-0000-0000-0000930B0000}"/>
    <cellStyle name="Explanatory Text 46" xfId="19962" xr:uid="{00000000-0005-0000-0000-0000940B0000}"/>
    <cellStyle name="Explanatory Text 47" xfId="19829" xr:uid="{00000000-0005-0000-0000-0000950B0000}"/>
    <cellStyle name="Explanatory Text 48" xfId="19957" xr:uid="{00000000-0005-0000-0000-0000960B0000}"/>
    <cellStyle name="Explanatory Text 49" xfId="19836" xr:uid="{00000000-0005-0000-0000-0000970B0000}"/>
    <cellStyle name="Explanatory Text 5" xfId="11182" xr:uid="{00000000-0005-0000-0000-0000980B0000}"/>
    <cellStyle name="Explanatory Text 50" xfId="19951" xr:uid="{00000000-0005-0000-0000-0000990B0000}"/>
    <cellStyle name="Explanatory Text 51" xfId="19842" xr:uid="{00000000-0005-0000-0000-00009A0B0000}"/>
    <cellStyle name="Explanatory Text 52" xfId="19826" xr:uid="{00000000-0005-0000-0000-00009B0B0000}"/>
    <cellStyle name="Explanatory Text 53" xfId="19960" xr:uid="{00000000-0005-0000-0000-00009C0B0000}"/>
    <cellStyle name="Explanatory Text 54" xfId="19832" xr:uid="{00000000-0005-0000-0000-00009D0B0000}"/>
    <cellStyle name="Explanatory Text 55" xfId="19954" xr:uid="{00000000-0005-0000-0000-00009E0B0000}"/>
    <cellStyle name="Explanatory Text 56" xfId="19839" xr:uid="{00000000-0005-0000-0000-00009F0B0000}"/>
    <cellStyle name="Explanatory Text 57" xfId="19949" xr:uid="{00000000-0005-0000-0000-0000A00B0000}"/>
    <cellStyle name="Explanatory Text 58" xfId="19844" xr:uid="{00000000-0005-0000-0000-0000A10B0000}"/>
    <cellStyle name="Explanatory Text 59" xfId="19946" xr:uid="{00000000-0005-0000-0000-0000A20B0000}"/>
    <cellStyle name="Explanatory Text 6" xfId="11213" xr:uid="{00000000-0005-0000-0000-0000A30B0000}"/>
    <cellStyle name="Explanatory Text 60" xfId="19847" xr:uid="{00000000-0005-0000-0000-0000A40B0000}"/>
    <cellStyle name="Explanatory Text 61" xfId="19944" xr:uid="{00000000-0005-0000-0000-0000A50B0000}"/>
    <cellStyle name="Explanatory Text 62" xfId="19980" xr:uid="{00000000-0005-0000-0000-0000A60B0000}"/>
    <cellStyle name="Explanatory Text 63" xfId="19995" xr:uid="{00000000-0005-0000-0000-0000A70B0000}"/>
    <cellStyle name="Explanatory Text 64" xfId="20011" xr:uid="{00000000-0005-0000-0000-0000A80B0000}"/>
    <cellStyle name="Explanatory Text 7" xfId="11230" xr:uid="{00000000-0005-0000-0000-0000A90B0000}"/>
    <cellStyle name="Explanatory Text 8" xfId="11246" xr:uid="{00000000-0005-0000-0000-0000AA0B0000}"/>
    <cellStyle name="Explanatory Text 9" xfId="11221" xr:uid="{00000000-0005-0000-0000-0000AB0B0000}"/>
    <cellStyle name="ExternalFormula" xfId="850" xr:uid="{00000000-0005-0000-0000-0000AC0B0000}"/>
    <cellStyle name="F2" xfId="1909" xr:uid="{00000000-0005-0000-0000-0000AD0B0000}"/>
    <cellStyle name="F3" xfId="1910" xr:uid="{00000000-0005-0000-0000-0000AE0B0000}"/>
    <cellStyle name="F4" xfId="1911" xr:uid="{00000000-0005-0000-0000-0000AF0B0000}"/>
    <cellStyle name="F5" xfId="1912" xr:uid="{00000000-0005-0000-0000-0000B00B0000}"/>
    <cellStyle name="F6" xfId="1913" xr:uid="{00000000-0005-0000-0000-0000B10B0000}"/>
    <cellStyle name="F7" xfId="1914" xr:uid="{00000000-0005-0000-0000-0000B20B0000}"/>
    <cellStyle name="F8" xfId="1915" xr:uid="{00000000-0005-0000-0000-0000B30B0000}"/>
    <cellStyle name="facha" xfId="1916" xr:uid="{00000000-0005-0000-0000-0000B40B0000}"/>
    <cellStyle name="Fit" xfId="851" xr:uid="{00000000-0005-0000-0000-0000B50B0000}"/>
    <cellStyle name="Fixed" xfId="1917" xr:uid="{00000000-0005-0000-0000-0000B60B0000}"/>
    <cellStyle name="FontanaPh#" xfId="206" xr:uid="{00000000-0005-0000-0000-0000B70B0000}"/>
    <cellStyle name="Fraction Change" xfId="1918" xr:uid="{00000000-0005-0000-0000-0000B80B0000}"/>
    <cellStyle name="Fractions" xfId="1919" xr:uid="{00000000-0005-0000-0000-0000B90B0000}"/>
    <cellStyle name="fy_eps$" xfId="852" xr:uid="{00000000-0005-0000-0000-0000BA0B0000}"/>
    <cellStyle name="g_rate" xfId="853" xr:uid="{00000000-0005-0000-0000-0000BB0B0000}"/>
    <cellStyle name="g_rate_1 FM_101_Examples_v7.31McIntire" xfId="854" xr:uid="{00000000-0005-0000-0000-0000BC0B0000}"/>
    <cellStyle name="g_rate_1 FM_101_Examples_v7.31McIntire_1 FM_101_Examples_TWO-Day_v7.31" xfId="855" xr:uid="{00000000-0005-0000-0000-0000BD0B0000}"/>
    <cellStyle name="g_rate_AVP" xfId="856" xr:uid="{00000000-0005-0000-0000-0000BE0B0000}"/>
    <cellStyle name="g_rate_AVP_1 FM_101_Examples_v7.31McIntire" xfId="857" xr:uid="{00000000-0005-0000-0000-0000BF0B0000}"/>
    <cellStyle name="g_rate_AVP_1 FM_101_Examples_v7.31McIntire_1 FM_101_Examples_TWO-Day_v7.31" xfId="858" xr:uid="{00000000-0005-0000-0000-0000C00B0000}"/>
    <cellStyle name="g_rate_AVP_Graphic Depiction - NO DEV" xfId="859" xr:uid="{00000000-0005-0000-0000-0000C10B0000}"/>
    <cellStyle name="g_rate_AVP_Graphic Depiction - NO DEV_1 FM_101_Examples_v7.31McIntire" xfId="860" xr:uid="{00000000-0005-0000-0000-0000C20B0000}"/>
    <cellStyle name="g_rate_AVP_Graphic Depiction - NO DEV_1 FM_101_Examples_v7.31McIntire_1 FM_101_Examples_TWO-Day_v7.31" xfId="861" xr:uid="{00000000-0005-0000-0000-0000C30B0000}"/>
    <cellStyle name="g_rate_AVP_Graphic Depiction - NO DEV_Val_1_Book_Lecture_Notes_v3.06" xfId="862" xr:uid="{00000000-0005-0000-0000-0000C40B0000}"/>
    <cellStyle name="g_rate_AVP_THEsumPage (2)" xfId="863" xr:uid="{00000000-0005-0000-0000-0000C50B0000}"/>
    <cellStyle name="g_rate_AVP_THEsumPage (2)_1 FM_101_Examples_v7.31McIntire" xfId="864" xr:uid="{00000000-0005-0000-0000-0000C60B0000}"/>
    <cellStyle name="g_rate_AVP_THEsumPage (2)_1 FM_101_Examples_v7.31McIntire_1 FM_101_Examples_TWO-Day_v7.31" xfId="865" xr:uid="{00000000-0005-0000-0000-0000C70B0000}"/>
    <cellStyle name="g_rate_AVP_THEsumPage (2)_Val_1_Book_Lecture_Notes_v3.06" xfId="866" xr:uid="{00000000-0005-0000-0000-0000C80B0000}"/>
    <cellStyle name="g_rate_AVP_Val_1_Book_Lecture_Notes_v3.06" xfId="867" xr:uid="{00000000-0005-0000-0000-0000C90B0000}"/>
    <cellStyle name="g_rate_CompSheet" xfId="868" xr:uid="{00000000-0005-0000-0000-0000CA0B0000}"/>
    <cellStyle name="g_rate_CompSheet_LANCE_Model_v0.6.DCF.MASTER.Name" xfId="869" xr:uid="{00000000-0005-0000-0000-0000CB0B0000}"/>
    <cellStyle name="g_rate_CompSheet_LANCE_Model_v0.6.DCF.MASTER.Name_DCF &amp; Raios to CLX Tootsie_v1.33.xls" xfId="870" xr:uid="{00000000-0005-0000-0000-0000CC0B0000}"/>
    <cellStyle name="g_rate_CompSheet_LANCE_Model_v0.6.DCF.MASTER.Name_Tootsie_TWO_DAY_TTS_Solution_v1.34" xfId="871" xr:uid="{00000000-0005-0000-0000-0000CD0B0000}"/>
    <cellStyle name="g_rate_CompSheet_LANCE_Model_v0.6.DCF.MASTER.Name_Val_1_Book_Lecture_Notes_v3.06" xfId="872" xr:uid="{00000000-0005-0000-0000-0000CE0B0000}"/>
    <cellStyle name="g_rate_CompSheet_Val_1_Book_Lecture_Notes_v3.06" xfId="873" xr:uid="{00000000-0005-0000-0000-0000CF0B0000}"/>
    <cellStyle name="g_rate_Disc Analysis" xfId="874" xr:uid="{00000000-0005-0000-0000-0000D00B0000}"/>
    <cellStyle name="g_rate_Disc Analysis_1 FM_101_Examples_v7.31McIntire" xfId="875" xr:uid="{00000000-0005-0000-0000-0000D10B0000}"/>
    <cellStyle name="g_rate_Disc Analysis_1 FM_101_Examples_v7.31McIntire_1 FM_101_Examples_TWO-Day_v7.31" xfId="876" xr:uid="{00000000-0005-0000-0000-0000D20B0000}"/>
    <cellStyle name="g_rate_Disc Analysis_CompSheet" xfId="877" xr:uid="{00000000-0005-0000-0000-0000D30B0000}"/>
    <cellStyle name="g_rate_Disc Analysis_CompSheet_1 FM_101_Examples_v7.31McIntire" xfId="878" xr:uid="{00000000-0005-0000-0000-0000D40B0000}"/>
    <cellStyle name="g_rate_Disc Analysis_CompSheet_1 FM_101_Examples_v7.31McIntire_1 FM_101_Examples_TWO-Day_v7.31" xfId="879" xr:uid="{00000000-0005-0000-0000-0000D50B0000}"/>
    <cellStyle name="g_rate_Disc Analysis_CompSheet_Val_1_Book_Lecture_Notes_v3.06" xfId="880" xr:uid="{00000000-0005-0000-0000-0000D60B0000}"/>
    <cellStyle name="g_rate_Disc Analysis_THEsumPage (2)" xfId="881" xr:uid="{00000000-0005-0000-0000-0000D70B0000}"/>
    <cellStyle name="g_rate_Disc Analysis_THEsumPage (2)_1 FM_101_Examples_v7.31McIntire" xfId="882" xr:uid="{00000000-0005-0000-0000-0000D80B0000}"/>
    <cellStyle name="g_rate_Disc Analysis_THEsumPage (2)_1 FM_101_Examples_v7.31McIntire_1 FM_101_Examples_TWO-Day_v7.31" xfId="883" xr:uid="{00000000-0005-0000-0000-0000D90B0000}"/>
    <cellStyle name="g_rate_Disc Analysis_THEsumPage (2)_Val_1_Book_Lecture_Notes_v3.06" xfId="884" xr:uid="{00000000-0005-0000-0000-0000DA0B0000}"/>
    <cellStyle name="g_rate_Disc Analysis_Val_1_Book_Lecture_Notes_v3.06" xfId="885" xr:uid="{00000000-0005-0000-0000-0000DB0B0000}"/>
    <cellStyle name="g_rate_Fairness Opinion Valuation 4-23a.xls Chart 1" xfId="886" xr:uid="{00000000-0005-0000-0000-0000DC0B0000}"/>
    <cellStyle name="g_rate_Fairness Opinion Valuation 4-23a.xls Chart 1_LANCE_Model_v0.6.DCF.MASTER.Name" xfId="887" xr:uid="{00000000-0005-0000-0000-0000DD0B0000}"/>
    <cellStyle name="g_rate_Fairness Opinion Valuation 4-23a.xls Chart 1_LANCE_Model_v0.6.DCF.MASTER.Name_DCF &amp; Raios to CLX Tootsie_v1.33.xls" xfId="888" xr:uid="{00000000-0005-0000-0000-0000DE0B0000}"/>
    <cellStyle name="g_rate_Fairness Opinion Valuation 4-23a.xls Chart 1_LANCE_Model_v0.6.DCF.MASTER.Name_Tootsie_TWO_DAY_TTS_Solution_v1.34" xfId="889" xr:uid="{00000000-0005-0000-0000-0000DF0B0000}"/>
    <cellStyle name="g_rate_Fairness Opinion Valuation 4-23a.xls Chart 1_LANCE_Model_v0.6.DCF.MASTER.Name_Val_1_Book_Lecture_Notes_v3.06" xfId="890" xr:uid="{00000000-0005-0000-0000-0000E00B0000}"/>
    <cellStyle name="g_rate_Fairness Opinion Valuation 4-23a.xls Chart 1_Val_1_Book_Lecture_Notes_v3.06" xfId="891" xr:uid="{00000000-0005-0000-0000-0000E10B0000}"/>
    <cellStyle name="g_rate_LP Chart" xfId="892" xr:uid="{00000000-0005-0000-0000-0000E20B0000}"/>
    <cellStyle name="g_rate_LP Chart_THEsumPage (2)" xfId="893" xr:uid="{00000000-0005-0000-0000-0000E30B0000}"/>
    <cellStyle name="g_rate_LP Chart_THEsumPage (2)_Val_1_Book_Lecture_Notes_v3.06" xfId="894" xr:uid="{00000000-0005-0000-0000-0000E40B0000}"/>
    <cellStyle name="g_rate_LP Chart_Val_1_Book_Lecture_Notes_v3.06" xfId="895" xr:uid="{00000000-0005-0000-0000-0000E50B0000}"/>
    <cellStyle name="g_rate_Merg Cons" xfId="896" xr:uid="{00000000-0005-0000-0000-0000E60B0000}"/>
    <cellStyle name="g_rate_Merg Cons_1 FM_101_Examples_v7.31McIntire" xfId="897" xr:uid="{00000000-0005-0000-0000-0000E70B0000}"/>
    <cellStyle name="g_rate_Merg Cons_1 FM_101_Examples_v7.31McIntire_1 FM_101_Examples_TWO-Day_v7.31" xfId="898" xr:uid="{00000000-0005-0000-0000-0000E80B0000}"/>
    <cellStyle name="g_rate_Merg Cons_CompSheet" xfId="899" xr:uid="{00000000-0005-0000-0000-0000E90B0000}"/>
    <cellStyle name="g_rate_Merg Cons_CompSheet_1 FM_101_Examples_v7.31McIntire" xfId="900" xr:uid="{00000000-0005-0000-0000-0000EA0B0000}"/>
    <cellStyle name="g_rate_Merg Cons_CompSheet_1 FM_101_Examples_v7.31McIntire_1 FM_101_Examples_TWO-Day_v7.31" xfId="901" xr:uid="{00000000-0005-0000-0000-0000EB0B0000}"/>
    <cellStyle name="g_rate_Merg Cons_CompSheet_Val_1_Book_Lecture_Notes_v3.06" xfId="902" xr:uid="{00000000-0005-0000-0000-0000EC0B0000}"/>
    <cellStyle name="g_rate_Merg Cons_THEsumPage (2)" xfId="903" xr:uid="{00000000-0005-0000-0000-0000ED0B0000}"/>
    <cellStyle name="g_rate_Merg Cons_THEsumPage (2)_1 FM_101_Examples_v7.31McIntire" xfId="904" xr:uid="{00000000-0005-0000-0000-0000EE0B0000}"/>
    <cellStyle name="g_rate_Merg Cons_THEsumPage (2)_1 FM_101_Examples_v7.31McIntire_1 FM_101_Examples_TWO-Day_v7.31" xfId="905" xr:uid="{00000000-0005-0000-0000-0000EF0B0000}"/>
    <cellStyle name="g_rate_Merg Cons_THEsumPage (2)_Val_1_Book_Lecture_Notes_v3.06" xfId="906" xr:uid="{00000000-0005-0000-0000-0000F00B0000}"/>
    <cellStyle name="g_rate_Merg Cons_Val_1_Book_Lecture_Notes_v3.06" xfId="907" xr:uid="{00000000-0005-0000-0000-0000F10B0000}"/>
    <cellStyle name="g_rate_PowerValuation.xls Chart 21" xfId="908" xr:uid="{00000000-0005-0000-0000-0000F20B0000}"/>
    <cellStyle name="g_rate_PowerValuation.xls Chart 21_LANCE_Model_v0.6.DCF.MASTER.Name" xfId="909" xr:uid="{00000000-0005-0000-0000-0000F30B0000}"/>
    <cellStyle name="g_rate_PowerValuation.xls Chart 21_LANCE_Model_v0.6.DCF.MASTER.Name_DCF &amp; Raios to CLX Tootsie_v1.33.xls" xfId="910" xr:uid="{00000000-0005-0000-0000-0000F40B0000}"/>
    <cellStyle name="g_rate_PowerValuation.xls Chart 21_LANCE_Model_v0.6.DCF.MASTER.Name_Tootsie_TWO_DAY_TTS_Solution_v1.34" xfId="911" xr:uid="{00000000-0005-0000-0000-0000F50B0000}"/>
    <cellStyle name="g_rate_PowerValuation.xls Chart 21_LANCE_Model_v0.6.DCF.MASTER.Name_Val_1_Book_Lecture_Notes_v3.06" xfId="912" xr:uid="{00000000-0005-0000-0000-0000F60B0000}"/>
    <cellStyle name="g_rate_PowerValuation.xls Chart 21_Val_1_Book_Lecture_Notes_v3.06" xfId="913" xr:uid="{00000000-0005-0000-0000-0000F70B0000}"/>
    <cellStyle name="g_rate_PowerValuation.xls Chart 28" xfId="914" xr:uid="{00000000-0005-0000-0000-0000F80B0000}"/>
    <cellStyle name="g_rate_PowerValuation.xls Chart 28_LANCE_Model_v0.6.DCF.MASTER.Name" xfId="915" xr:uid="{00000000-0005-0000-0000-0000F90B0000}"/>
    <cellStyle name="g_rate_PowerValuation.xls Chart 28_LANCE_Model_v0.6.DCF.MASTER.Name_DCF &amp; Raios to CLX Tootsie_v1.33.xls" xfId="916" xr:uid="{00000000-0005-0000-0000-0000FA0B0000}"/>
    <cellStyle name="g_rate_PowerValuation.xls Chart 28_LANCE_Model_v0.6.DCF.MASTER.Name_Tootsie_TWO_DAY_TTS_Solution_v1.34" xfId="917" xr:uid="{00000000-0005-0000-0000-0000FB0B0000}"/>
    <cellStyle name="g_rate_PowerValuation.xls Chart 28_LANCE_Model_v0.6.DCF.MASTER.Name_Val_1_Book_Lecture_Notes_v3.06" xfId="918" xr:uid="{00000000-0005-0000-0000-0000FC0B0000}"/>
    <cellStyle name="g_rate_PowerValuation.xls Chart 28_Val_1_Book_Lecture_Notes_v3.06" xfId="919" xr:uid="{00000000-0005-0000-0000-0000FD0B0000}"/>
    <cellStyle name="g_rate_Proj10" xfId="920" xr:uid="{00000000-0005-0000-0000-0000FE0B0000}"/>
    <cellStyle name="g_rate_Proj10_1 FM_101_Examples_v7.31McIntire" xfId="921" xr:uid="{00000000-0005-0000-0000-0000FF0B0000}"/>
    <cellStyle name="g_rate_Proj10_1 FM_101_Examples_v7.31McIntire_1 FM_101_Examples_TWO-Day_v7.31" xfId="922" xr:uid="{00000000-0005-0000-0000-0000000C0000}"/>
    <cellStyle name="g_rate_Proj10_AVP" xfId="923" xr:uid="{00000000-0005-0000-0000-0000010C0000}"/>
    <cellStyle name="g_rate_Proj10_AVP_1 FM_101_Examples_v7.31McIntire" xfId="924" xr:uid="{00000000-0005-0000-0000-0000020C0000}"/>
    <cellStyle name="g_rate_Proj10_AVP_1 FM_101_Examples_v7.31McIntire_1 FM_101_Examples_TWO-Day_v7.31" xfId="925" xr:uid="{00000000-0005-0000-0000-0000030C0000}"/>
    <cellStyle name="g_rate_Proj10_AVP_Graphic Depiction - NO DEV" xfId="926" xr:uid="{00000000-0005-0000-0000-0000040C0000}"/>
    <cellStyle name="g_rate_Proj10_AVP_Graphic Depiction - NO DEV_1 FM_101_Examples_v7.31McIntire" xfId="927" xr:uid="{00000000-0005-0000-0000-0000050C0000}"/>
    <cellStyle name="g_rate_Proj10_AVP_Graphic Depiction - NO DEV_1 FM_101_Examples_v7.31McIntire_1 FM_101_Examples_TWO-Day_v7.31" xfId="928" xr:uid="{00000000-0005-0000-0000-0000060C0000}"/>
    <cellStyle name="g_rate_Proj10_AVP_Graphic Depiction - NO DEV_Val_1_Book_Lecture_Notes_v3.06" xfId="929" xr:uid="{00000000-0005-0000-0000-0000070C0000}"/>
    <cellStyle name="g_rate_Proj10_AVP_THEsumPage (2)" xfId="930" xr:uid="{00000000-0005-0000-0000-0000080C0000}"/>
    <cellStyle name="g_rate_Proj10_AVP_THEsumPage (2)_1 FM_101_Examples_v7.31McIntire" xfId="931" xr:uid="{00000000-0005-0000-0000-0000090C0000}"/>
    <cellStyle name="g_rate_Proj10_AVP_THEsumPage (2)_1 FM_101_Examples_v7.31McIntire_1 FM_101_Examples_TWO-Day_v7.31" xfId="932" xr:uid="{00000000-0005-0000-0000-00000A0C0000}"/>
    <cellStyle name="g_rate_Proj10_AVP_THEsumPage (2)_Val_1_Book_Lecture_Notes_v3.06" xfId="933" xr:uid="{00000000-0005-0000-0000-00000B0C0000}"/>
    <cellStyle name="g_rate_Proj10_AVP_Val_1_Book_Lecture_Notes_v3.06" xfId="934" xr:uid="{00000000-0005-0000-0000-00000C0C0000}"/>
    <cellStyle name="g_rate_Proj10_CompSheet" xfId="935" xr:uid="{00000000-0005-0000-0000-00000D0C0000}"/>
    <cellStyle name="g_rate_Proj10_CompSheet_LANCE_Model_v0.6.DCF.MASTER.Name" xfId="936" xr:uid="{00000000-0005-0000-0000-00000E0C0000}"/>
    <cellStyle name="g_rate_Proj10_CompSheet_LANCE_Model_v0.6.DCF.MASTER.Name_DCF &amp; Raios to CLX Tootsie_v1.33.xls" xfId="937" xr:uid="{00000000-0005-0000-0000-00000F0C0000}"/>
    <cellStyle name="g_rate_Proj10_CompSheet_LANCE_Model_v0.6.DCF.MASTER.Name_Tootsie_TWO_DAY_TTS_Solution_v1.34" xfId="938" xr:uid="{00000000-0005-0000-0000-0000100C0000}"/>
    <cellStyle name="g_rate_Proj10_CompSheet_LANCE_Model_v0.6.DCF.MASTER.Name_Val_1_Book_Lecture_Notes_v3.06" xfId="939" xr:uid="{00000000-0005-0000-0000-0000110C0000}"/>
    <cellStyle name="g_rate_Proj10_CompSheet_Val_1_Book_Lecture_Notes_v3.06" xfId="940" xr:uid="{00000000-0005-0000-0000-0000120C0000}"/>
    <cellStyle name="g_rate_Proj10_Disc Analysis" xfId="941" xr:uid="{00000000-0005-0000-0000-0000130C0000}"/>
    <cellStyle name="g_rate_Proj10_Disc Analysis_1 FM_101_Examples_v7.31McIntire" xfId="942" xr:uid="{00000000-0005-0000-0000-0000140C0000}"/>
    <cellStyle name="g_rate_Proj10_Disc Analysis_1 FM_101_Examples_v7.31McIntire_1 FM_101_Examples_TWO-Day_v7.31" xfId="943" xr:uid="{00000000-0005-0000-0000-0000150C0000}"/>
    <cellStyle name="g_rate_Proj10_Disc Analysis_CompSheet" xfId="944" xr:uid="{00000000-0005-0000-0000-0000160C0000}"/>
    <cellStyle name="g_rate_Proj10_Disc Analysis_CompSheet_1 FM_101_Examples_v7.31McIntire" xfId="945" xr:uid="{00000000-0005-0000-0000-0000170C0000}"/>
    <cellStyle name="g_rate_Proj10_Disc Analysis_CompSheet_1 FM_101_Examples_v7.31McIntire_1 FM_101_Examples_TWO-Day_v7.31" xfId="946" xr:uid="{00000000-0005-0000-0000-0000180C0000}"/>
    <cellStyle name="g_rate_Proj10_Disc Analysis_CompSheet_Val_1_Book_Lecture_Notes_v3.06" xfId="947" xr:uid="{00000000-0005-0000-0000-0000190C0000}"/>
    <cellStyle name="g_rate_Proj10_Disc Analysis_THEsumPage (2)" xfId="948" xr:uid="{00000000-0005-0000-0000-00001A0C0000}"/>
    <cellStyle name="g_rate_Proj10_Disc Analysis_THEsumPage (2)_1 FM_101_Examples_v7.31McIntire" xfId="949" xr:uid="{00000000-0005-0000-0000-00001B0C0000}"/>
    <cellStyle name="g_rate_Proj10_Disc Analysis_THEsumPage (2)_1 FM_101_Examples_v7.31McIntire_1 FM_101_Examples_TWO-Day_v7.31" xfId="950" xr:uid="{00000000-0005-0000-0000-00001C0C0000}"/>
    <cellStyle name="g_rate_Proj10_Disc Analysis_THEsumPage (2)_Val_1_Book_Lecture_Notes_v3.06" xfId="951" xr:uid="{00000000-0005-0000-0000-00001D0C0000}"/>
    <cellStyle name="g_rate_Proj10_Disc Analysis_Val_1_Book_Lecture_Notes_v3.06" xfId="952" xr:uid="{00000000-0005-0000-0000-00001E0C0000}"/>
    <cellStyle name="g_rate_Proj10_Fairness Opinion Valuation 4-23a.xls Chart 1" xfId="953" xr:uid="{00000000-0005-0000-0000-00001F0C0000}"/>
    <cellStyle name="g_rate_Proj10_Fairness Opinion Valuation 4-23a.xls Chart 1_LANCE_Model_v0.6.DCF.MASTER.Name" xfId="954" xr:uid="{00000000-0005-0000-0000-0000200C0000}"/>
    <cellStyle name="g_rate_Proj10_Fairness Opinion Valuation 4-23a.xls Chart 1_LANCE_Model_v0.6.DCF.MASTER.Name_DCF &amp; Raios to CLX Tootsie_v1.33.xls" xfId="955" xr:uid="{00000000-0005-0000-0000-0000210C0000}"/>
    <cellStyle name="g_rate_Proj10_Fairness Opinion Valuation 4-23a.xls Chart 1_LANCE_Model_v0.6.DCF.MASTER.Name_Tootsie_TWO_DAY_TTS_Solution_v1.34" xfId="956" xr:uid="{00000000-0005-0000-0000-0000220C0000}"/>
    <cellStyle name="g_rate_Proj10_Fairness Opinion Valuation 4-23a.xls Chart 1_LANCE_Model_v0.6.DCF.MASTER.Name_Val_1_Book_Lecture_Notes_v3.06" xfId="957" xr:uid="{00000000-0005-0000-0000-0000230C0000}"/>
    <cellStyle name="g_rate_Proj10_Fairness Opinion Valuation 4-23a.xls Chart 1_Val_1_Book_Lecture_Notes_v3.06" xfId="958" xr:uid="{00000000-0005-0000-0000-0000240C0000}"/>
    <cellStyle name="g_rate_Proj10_LP Chart" xfId="959" xr:uid="{00000000-0005-0000-0000-0000250C0000}"/>
    <cellStyle name="g_rate_Proj10_LP Chart_THEsumPage (2)" xfId="960" xr:uid="{00000000-0005-0000-0000-0000260C0000}"/>
    <cellStyle name="g_rate_Proj10_LP Chart_THEsumPage (2)_Val_1_Book_Lecture_Notes_v3.06" xfId="961" xr:uid="{00000000-0005-0000-0000-0000270C0000}"/>
    <cellStyle name="g_rate_Proj10_LP Chart_Val_1_Book_Lecture_Notes_v3.06" xfId="962" xr:uid="{00000000-0005-0000-0000-0000280C0000}"/>
    <cellStyle name="g_rate_Proj10_Merg Cons" xfId="963" xr:uid="{00000000-0005-0000-0000-0000290C0000}"/>
    <cellStyle name="g_rate_Proj10_Merg Cons_1 FM_101_Examples_v7.31McIntire" xfId="964" xr:uid="{00000000-0005-0000-0000-00002A0C0000}"/>
    <cellStyle name="g_rate_Proj10_Merg Cons_1 FM_101_Examples_v7.31McIntire_1 FM_101_Examples_TWO-Day_v7.31" xfId="965" xr:uid="{00000000-0005-0000-0000-00002B0C0000}"/>
    <cellStyle name="g_rate_Proj10_Merg Cons_CompSheet" xfId="966" xr:uid="{00000000-0005-0000-0000-00002C0C0000}"/>
    <cellStyle name="g_rate_Proj10_Merg Cons_CompSheet_1 FM_101_Examples_v7.31McIntire" xfId="967" xr:uid="{00000000-0005-0000-0000-00002D0C0000}"/>
    <cellStyle name="g_rate_Proj10_Merg Cons_CompSheet_1 FM_101_Examples_v7.31McIntire_1 FM_101_Examples_TWO-Day_v7.31" xfId="968" xr:uid="{00000000-0005-0000-0000-00002E0C0000}"/>
    <cellStyle name="g_rate_Proj10_Merg Cons_CompSheet_Val_1_Book_Lecture_Notes_v3.06" xfId="969" xr:uid="{00000000-0005-0000-0000-00002F0C0000}"/>
    <cellStyle name="g_rate_Proj10_Merg Cons_THEsumPage (2)" xfId="970" xr:uid="{00000000-0005-0000-0000-0000300C0000}"/>
    <cellStyle name="g_rate_Proj10_Merg Cons_THEsumPage (2)_1 FM_101_Examples_v7.31McIntire" xfId="971" xr:uid="{00000000-0005-0000-0000-0000310C0000}"/>
    <cellStyle name="g_rate_Proj10_Merg Cons_THEsumPage (2)_1 FM_101_Examples_v7.31McIntire_1 FM_101_Examples_TWO-Day_v7.31" xfId="972" xr:uid="{00000000-0005-0000-0000-0000320C0000}"/>
    <cellStyle name="g_rate_Proj10_Merg Cons_THEsumPage (2)_Val_1_Book_Lecture_Notes_v3.06" xfId="973" xr:uid="{00000000-0005-0000-0000-0000330C0000}"/>
    <cellStyle name="g_rate_Proj10_Merg Cons_Val_1_Book_Lecture_Notes_v3.06" xfId="974" xr:uid="{00000000-0005-0000-0000-0000340C0000}"/>
    <cellStyle name="g_rate_Proj10_PowerValuation.xls Chart 21" xfId="975" xr:uid="{00000000-0005-0000-0000-0000350C0000}"/>
    <cellStyle name="g_rate_Proj10_PowerValuation.xls Chart 21_LANCE_Model_v0.6.DCF.MASTER.Name" xfId="976" xr:uid="{00000000-0005-0000-0000-0000360C0000}"/>
    <cellStyle name="g_rate_Proj10_PowerValuation.xls Chart 21_LANCE_Model_v0.6.DCF.MASTER.Name_DCF &amp; Raios to CLX Tootsie_v1.33.xls" xfId="977" xr:uid="{00000000-0005-0000-0000-0000370C0000}"/>
    <cellStyle name="g_rate_Proj10_PowerValuation.xls Chart 21_LANCE_Model_v0.6.DCF.MASTER.Name_Tootsie_TWO_DAY_TTS_Solution_v1.34" xfId="978" xr:uid="{00000000-0005-0000-0000-0000380C0000}"/>
    <cellStyle name="g_rate_Proj10_PowerValuation.xls Chart 21_LANCE_Model_v0.6.DCF.MASTER.Name_Val_1_Book_Lecture_Notes_v3.06" xfId="979" xr:uid="{00000000-0005-0000-0000-0000390C0000}"/>
    <cellStyle name="g_rate_Proj10_PowerValuation.xls Chart 21_Val_1_Book_Lecture_Notes_v3.06" xfId="980" xr:uid="{00000000-0005-0000-0000-00003A0C0000}"/>
    <cellStyle name="g_rate_Proj10_PowerValuation.xls Chart 28" xfId="981" xr:uid="{00000000-0005-0000-0000-00003B0C0000}"/>
    <cellStyle name="g_rate_Proj10_PowerValuation.xls Chart 28_LANCE_Model_v0.6.DCF.MASTER.Name" xfId="982" xr:uid="{00000000-0005-0000-0000-00003C0C0000}"/>
    <cellStyle name="g_rate_Proj10_PowerValuation.xls Chart 28_LANCE_Model_v0.6.DCF.MASTER.Name_DCF &amp; Raios to CLX Tootsie_v1.33.xls" xfId="983" xr:uid="{00000000-0005-0000-0000-00003D0C0000}"/>
    <cellStyle name="g_rate_Proj10_PowerValuation.xls Chart 28_LANCE_Model_v0.6.DCF.MASTER.Name_Tootsie_TWO_DAY_TTS_Solution_v1.34" xfId="984" xr:uid="{00000000-0005-0000-0000-00003E0C0000}"/>
    <cellStyle name="g_rate_Proj10_PowerValuation.xls Chart 28_LANCE_Model_v0.6.DCF.MASTER.Name_Val_1_Book_Lecture_Notes_v3.06" xfId="985" xr:uid="{00000000-0005-0000-0000-00003F0C0000}"/>
    <cellStyle name="g_rate_Proj10_PowerValuation.xls Chart 28_Val_1_Book_Lecture_Notes_v3.06" xfId="986" xr:uid="{00000000-0005-0000-0000-0000400C0000}"/>
    <cellStyle name="g_rate_Proj10_Sensitivity" xfId="987" xr:uid="{00000000-0005-0000-0000-0000410C0000}"/>
    <cellStyle name="g_rate_Proj10_Sensitivity_1 FM_101_Examples_v7.31McIntire" xfId="988" xr:uid="{00000000-0005-0000-0000-0000420C0000}"/>
    <cellStyle name="g_rate_Proj10_Sensitivity_1 FM_101_Examples_v7.31McIntire_1 FM_101_Examples_TWO-Day_v7.31" xfId="989" xr:uid="{00000000-0005-0000-0000-0000430C0000}"/>
    <cellStyle name="g_rate_Proj10_Sensitivity_CompSheet" xfId="990" xr:uid="{00000000-0005-0000-0000-0000440C0000}"/>
    <cellStyle name="g_rate_Proj10_Sensitivity_CompSheet_1 FM_101_Examples_v7.31McIntire" xfId="991" xr:uid="{00000000-0005-0000-0000-0000450C0000}"/>
    <cellStyle name="g_rate_Proj10_Sensitivity_CompSheet_1 FM_101_Examples_v7.31McIntire_1 FM_101_Examples_TWO-Day_v7.31" xfId="992" xr:uid="{00000000-0005-0000-0000-0000460C0000}"/>
    <cellStyle name="g_rate_Proj10_Sensitivity_CompSheet_Val_1_Book_Lecture_Notes_v3.06" xfId="993" xr:uid="{00000000-0005-0000-0000-0000470C0000}"/>
    <cellStyle name="g_rate_Proj10_Sensitivity_THEsumPage (2)" xfId="994" xr:uid="{00000000-0005-0000-0000-0000480C0000}"/>
    <cellStyle name="g_rate_Proj10_Sensitivity_THEsumPage (2)_1 FM_101_Examples_v7.31McIntire" xfId="995" xr:uid="{00000000-0005-0000-0000-0000490C0000}"/>
    <cellStyle name="g_rate_Proj10_Sensitivity_THEsumPage (2)_1 FM_101_Examples_v7.31McIntire_1 FM_101_Examples_TWO-Day_v7.31" xfId="996" xr:uid="{00000000-0005-0000-0000-00004A0C0000}"/>
    <cellStyle name="g_rate_Proj10_Sensitivity_THEsumPage (2)_Val_1_Book_Lecture_Notes_v3.06" xfId="997" xr:uid="{00000000-0005-0000-0000-00004B0C0000}"/>
    <cellStyle name="g_rate_Proj10_Sensitivity_Val_1_Book_Lecture_Notes_v3.06" xfId="998" xr:uid="{00000000-0005-0000-0000-00004C0C0000}"/>
    <cellStyle name="g_rate_Proj10_show-hold" xfId="999" xr:uid="{00000000-0005-0000-0000-00004D0C0000}"/>
    <cellStyle name="g_rate_Proj10_show-hold_1 FM_101_Examples_v7.31McIntire" xfId="1000" xr:uid="{00000000-0005-0000-0000-00004E0C0000}"/>
    <cellStyle name="g_rate_Proj10_show-hold_1 FM_101_Examples_v7.31McIntire_1 FM_101_Examples_TWO-Day_v7.31" xfId="1001" xr:uid="{00000000-0005-0000-0000-00004F0C0000}"/>
    <cellStyle name="g_rate_Proj10_show-hold_Graphic Depiction - NO DEV" xfId="1002" xr:uid="{00000000-0005-0000-0000-0000500C0000}"/>
    <cellStyle name="g_rate_Proj10_show-hold_Graphic Depiction - NO DEV_1 FM_101_Examples_v7.31McIntire" xfId="1003" xr:uid="{00000000-0005-0000-0000-0000510C0000}"/>
    <cellStyle name="g_rate_Proj10_show-hold_Graphic Depiction - NO DEV_1 FM_101_Examples_v7.31McIntire_1 FM_101_Examples_TWO-Day_v7.31" xfId="1004" xr:uid="{00000000-0005-0000-0000-0000520C0000}"/>
    <cellStyle name="g_rate_Proj10_show-hold_Graphic Depiction - NO DEV_Val_1_Book_Lecture_Notes_v3.06" xfId="1005" xr:uid="{00000000-0005-0000-0000-0000530C0000}"/>
    <cellStyle name="g_rate_Proj10_show-hold_THEsumPage (2)" xfId="1006" xr:uid="{00000000-0005-0000-0000-0000540C0000}"/>
    <cellStyle name="g_rate_Proj10_show-hold_THEsumPage (2)_1 FM_101_Examples_v7.31McIntire" xfId="1007" xr:uid="{00000000-0005-0000-0000-0000550C0000}"/>
    <cellStyle name="g_rate_Proj10_show-hold_THEsumPage (2)_1 FM_101_Examples_v7.31McIntire_1 FM_101_Examples_TWO-Day_v7.31" xfId="1008" xr:uid="{00000000-0005-0000-0000-0000560C0000}"/>
    <cellStyle name="g_rate_Proj10_show-hold_THEsumPage (2)_Val_1_Book_Lecture_Notes_v3.06" xfId="1009" xr:uid="{00000000-0005-0000-0000-0000570C0000}"/>
    <cellStyle name="g_rate_Proj10_show-hold_Val_1_Book_Lecture_Notes_v3.06" xfId="1010" xr:uid="{00000000-0005-0000-0000-0000580C0000}"/>
    <cellStyle name="g_rate_Proj10_THEsumPage (2)" xfId="1011" xr:uid="{00000000-0005-0000-0000-0000590C0000}"/>
    <cellStyle name="g_rate_Proj10_THEsumPage (2)_LANCE_Model_v0.6.DCF.MASTER.Name" xfId="1012" xr:uid="{00000000-0005-0000-0000-00005A0C0000}"/>
    <cellStyle name="g_rate_Proj10_THEsumPage (2)_LANCE_Model_v0.6.DCF.MASTER.Name_DCF &amp; Raios to CLX Tootsie_v1.33.xls" xfId="1013" xr:uid="{00000000-0005-0000-0000-00005B0C0000}"/>
    <cellStyle name="g_rate_Proj10_THEsumPage (2)_LANCE_Model_v0.6.DCF.MASTER.Name_Tootsie_TWO_DAY_TTS_Solution_v1.34" xfId="1014" xr:uid="{00000000-0005-0000-0000-00005C0C0000}"/>
    <cellStyle name="g_rate_Proj10_THEsumPage (2)_LANCE_Model_v0.6.DCF.MASTER.Name_Val_1_Book_Lecture_Notes_v3.06" xfId="1015" xr:uid="{00000000-0005-0000-0000-00005D0C0000}"/>
    <cellStyle name="g_rate_Proj10_THEsumPage (2)_Val_1_Book_Lecture_Notes_v3.06" xfId="1016" xr:uid="{00000000-0005-0000-0000-00005E0C0000}"/>
    <cellStyle name="g_rate_Proj10_Val_1_Book_Lecture_Notes_v3.06" xfId="1017" xr:uid="{00000000-0005-0000-0000-00005F0C0000}"/>
    <cellStyle name="g_rate_Proj10_Valuation summaries" xfId="1018" xr:uid="{00000000-0005-0000-0000-0000600C0000}"/>
    <cellStyle name="g_rate_Proj10_Valuation summaries_LANCE_Model_v0.6.DCF.MASTER.Name" xfId="1019" xr:uid="{00000000-0005-0000-0000-0000610C0000}"/>
    <cellStyle name="g_rate_Proj10_Valuation summaries_LANCE_Model_v0.6.DCF.MASTER.Name_DCF &amp; Raios to CLX Tootsie_v1.33.xls" xfId="1020" xr:uid="{00000000-0005-0000-0000-0000620C0000}"/>
    <cellStyle name="g_rate_Proj10_Valuation summaries_LANCE_Model_v0.6.DCF.MASTER.Name_Tootsie_TWO_DAY_TTS_Solution_v1.34" xfId="1021" xr:uid="{00000000-0005-0000-0000-0000630C0000}"/>
    <cellStyle name="g_rate_Proj10_Valuation summaries_LANCE_Model_v0.6.DCF.MASTER.Name_Val_1_Book_Lecture_Notes_v3.06" xfId="1022" xr:uid="{00000000-0005-0000-0000-0000640C0000}"/>
    <cellStyle name="g_rate_Proj10_Valuation summaries_Val_1_Book_Lecture_Notes_v3.06" xfId="1023" xr:uid="{00000000-0005-0000-0000-0000650C0000}"/>
    <cellStyle name="g_rate_Proj10_WACC-CableCar" xfId="1024" xr:uid="{00000000-0005-0000-0000-0000660C0000}"/>
    <cellStyle name="g_rate_Proj10_WACC-CableCar_LANCE_Model_v0.6.DCF.MASTER.Name" xfId="1025" xr:uid="{00000000-0005-0000-0000-0000670C0000}"/>
    <cellStyle name="g_rate_Proj10_WACC-CableCar_LANCE_Model_v0.6.DCF.MASTER.Name_DCF &amp; Raios to CLX Tootsie_v1.33.xls" xfId="1026" xr:uid="{00000000-0005-0000-0000-0000680C0000}"/>
    <cellStyle name="g_rate_Proj10_WACC-CableCar_LANCE_Model_v0.6.DCF.MASTER.Name_Tootsie_TWO_DAY_TTS_Solution_v1.34" xfId="1027" xr:uid="{00000000-0005-0000-0000-0000690C0000}"/>
    <cellStyle name="g_rate_Proj10_WACC-CableCar_LANCE_Model_v0.6.DCF.MASTER.Name_Val_1_Book_Lecture_Notes_v3.06" xfId="1028" xr:uid="{00000000-0005-0000-0000-00006A0C0000}"/>
    <cellStyle name="g_rate_Proj10_WACC-CableCar_THEsumPage (2)" xfId="1029" xr:uid="{00000000-0005-0000-0000-00006B0C0000}"/>
    <cellStyle name="g_rate_Proj10_WACC-CableCar_THEsumPage (2)_LANCE_Model_v0.6.DCF.MASTER.Name" xfId="1030" xr:uid="{00000000-0005-0000-0000-00006C0C0000}"/>
    <cellStyle name="g_rate_Proj10_WACC-CableCar_THEsumPage (2)_LANCE_Model_v0.6.DCF.MASTER.Name_DCF &amp; Raios to CLX Tootsie_v1.33.xls" xfId="1031" xr:uid="{00000000-0005-0000-0000-00006D0C0000}"/>
    <cellStyle name="g_rate_Proj10_WACC-CableCar_THEsumPage (2)_LANCE_Model_v0.6.DCF.MASTER.Name_Tootsie_TWO_DAY_TTS_Solution_v1.34" xfId="1032" xr:uid="{00000000-0005-0000-0000-00006E0C0000}"/>
    <cellStyle name="g_rate_Proj10_WACC-CableCar_THEsumPage (2)_LANCE_Model_v0.6.DCF.MASTER.Name_Val_1_Book_Lecture_Notes_v3.06" xfId="1033" xr:uid="{00000000-0005-0000-0000-00006F0C0000}"/>
    <cellStyle name="g_rate_Proj10_WACC-CableCar_THEsumPage (2)_Val_1_Book_Lecture_Notes_v3.06" xfId="1034" xr:uid="{00000000-0005-0000-0000-0000700C0000}"/>
    <cellStyle name="g_rate_Proj10_WACC-CableCar_Val_1_Book_Lecture_Notes_v3.06" xfId="1035" xr:uid="{00000000-0005-0000-0000-0000710C0000}"/>
    <cellStyle name="g_rate_Proj10_WACC-RAD (2)" xfId="1036" xr:uid="{00000000-0005-0000-0000-0000720C0000}"/>
    <cellStyle name="g_rate_Proj10_WACC-RAD (2)_THEsumPage (2)" xfId="1037" xr:uid="{00000000-0005-0000-0000-0000730C0000}"/>
    <cellStyle name="g_rate_Proj10_WACC-RAD (2)_THEsumPage (2)_Val_1_Book_Lecture_Notes_v3.06" xfId="1038" xr:uid="{00000000-0005-0000-0000-0000740C0000}"/>
    <cellStyle name="g_rate_Proj10_WACC-RAD (2)_Val_1_Book_Lecture_Notes_v3.06" xfId="1039" xr:uid="{00000000-0005-0000-0000-0000750C0000}"/>
    <cellStyle name="g_rate_Sensitivity" xfId="1040" xr:uid="{00000000-0005-0000-0000-0000760C0000}"/>
    <cellStyle name="g_rate_Sensitivity_1 FM_101_Examples_v7.31McIntire" xfId="1041" xr:uid="{00000000-0005-0000-0000-0000770C0000}"/>
    <cellStyle name="g_rate_Sensitivity_1 FM_101_Examples_v7.31McIntire_1 FM_101_Examples_TWO-Day_v7.31" xfId="1042" xr:uid="{00000000-0005-0000-0000-0000780C0000}"/>
    <cellStyle name="g_rate_Sensitivity_CompSheet" xfId="1043" xr:uid="{00000000-0005-0000-0000-0000790C0000}"/>
    <cellStyle name="g_rate_Sensitivity_CompSheet_1 FM_101_Examples_v7.31McIntire" xfId="1044" xr:uid="{00000000-0005-0000-0000-00007A0C0000}"/>
    <cellStyle name="g_rate_Sensitivity_CompSheet_1 FM_101_Examples_v7.31McIntire_1 FM_101_Examples_TWO-Day_v7.31" xfId="1045" xr:uid="{00000000-0005-0000-0000-00007B0C0000}"/>
    <cellStyle name="g_rate_Sensitivity_CompSheet_Val_1_Book_Lecture_Notes_v3.06" xfId="1046" xr:uid="{00000000-0005-0000-0000-00007C0C0000}"/>
    <cellStyle name="g_rate_Sensitivity_THEsumPage (2)" xfId="1047" xr:uid="{00000000-0005-0000-0000-00007D0C0000}"/>
    <cellStyle name="g_rate_Sensitivity_THEsumPage (2)_1 FM_101_Examples_v7.31McIntire" xfId="1048" xr:uid="{00000000-0005-0000-0000-00007E0C0000}"/>
    <cellStyle name="g_rate_Sensitivity_THEsumPage (2)_1 FM_101_Examples_v7.31McIntire_1 FM_101_Examples_TWO-Day_v7.31" xfId="1049" xr:uid="{00000000-0005-0000-0000-00007F0C0000}"/>
    <cellStyle name="g_rate_Sensitivity_THEsumPage (2)_Val_1_Book_Lecture_Notes_v3.06" xfId="1050" xr:uid="{00000000-0005-0000-0000-0000800C0000}"/>
    <cellStyle name="g_rate_Sensitivity_Val_1_Book_Lecture_Notes_v3.06" xfId="1051" xr:uid="{00000000-0005-0000-0000-0000810C0000}"/>
    <cellStyle name="g_rate_show-hold" xfId="1052" xr:uid="{00000000-0005-0000-0000-0000820C0000}"/>
    <cellStyle name="g_rate_show-hold_1 FM_101_Examples_v7.31McIntire" xfId="1053" xr:uid="{00000000-0005-0000-0000-0000830C0000}"/>
    <cellStyle name="g_rate_show-hold_1 FM_101_Examples_v7.31McIntire_1 FM_101_Examples_TWO-Day_v7.31" xfId="1054" xr:uid="{00000000-0005-0000-0000-0000840C0000}"/>
    <cellStyle name="g_rate_show-hold_CompSheet" xfId="1055" xr:uid="{00000000-0005-0000-0000-0000850C0000}"/>
    <cellStyle name="g_rate_show-hold_CompSheet_1 FM_101_Examples_v7.31McIntire" xfId="1056" xr:uid="{00000000-0005-0000-0000-0000860C0000}"/>
    <cellStyle name="g_rate_show-hold_CompSheet_1 FM_101_Examples_v7.31McIntire_1 FM_101_Examples_TWO-Day_v7.31" xfId="1057" xr:uid="{00000000-0005-0000-0000-0000870C0000}"/>
    <cellStyle name="g_rate_show-hold_CompSheet_Val_1_Book_Lecture_Notes_v3.06" xfId="1058" xr:uid="{00000000-0005-0000-0000-0000880C0000}"/>
    <cellStyle name="g_rate_show-hold_THEsumPage (2)" xfId="1059" xr:uid="{00000000-0005-0000-0000-0000890C0000}"/>
    <cellStyle name="g_rate_show-hold_THEsumPage (2)_1 FM_101_Examples_v7.31McIntire" xfId="1060" xr:uid="{00000000-0005-0000-0000-00008A0C0000}"/>
    <cellStyle name="g_rate_show-hold_THEsumPage (2)_1 FM_101_Examples_v7.31McIntire_1 FM_101_Examples_TWO-Day_v7.31" xfId="1061" xr:uid="{00000000-0005-0000-0000-00008B0C0000}"/>
    <cellStyle name="g_rate_show-hold_THEsumPage (2)_Val_1_Book_Lecture_Notes_v3.06" xfId="1062" xr:uid="{00000000-0005-0000-0000-00008C0C0000}"/>
    <cellStyle name="g_rate_show-hold_Val_1_Book_Lecture_Notes_v3.06" xfId="1063" xr:uid="{00000000-0005-0000-0000-00008D0C0000}"/>
    <cellStyle name="g_rate_THEsumPage (2)" xfId="1064" xr:uid="{00000000-0005-0000-0000-00008E0C0000}"/>
    <cellStyle name="g_rate_THEsumPage (2)_LANCE_Model_v0.6.DCF.MASTER.Name" xfId="1065" xr:uid="{00000000-0005-0000-0000-00008F0C0000}"/>
    <cellStyle name="g_rate_THEsumPage (2)_LANCE_Model_v0.6.DCF.MASTER.Name_DCF &amp; Raios to CLX Tootsie_v1.33.xls" xfId="1066" xr:uid="{00000000-0005-0000-0000-0000900C0000}"/>
    <cellStyle name="g_rate_THEsumPage (2)_LANCE_Model_v0.6.DCF.MASTER.Name_Tootsie_TWO_DAY_TTS_Solution_v1.34" xfId="1067" xr:uid="{00000000-0005-0000-0000-0000910C0000}"/>
    <cellStyle name="g_rate_THEsumPage (2)_LANCE_Model_v0.6.DCF.MASTER.Name_Val_1_Book_Lecture_Notes_v3.06" xfId="1068" xr:uid="{00000000-0005-0000-0000-0000920C0000}"/>
    <cellStyle name="g_rate_THEsumPage (2)_Val_1_Book_Lecture_Notes_v3.06" xfId="1069" xr:uid="{00000000-0005-0000-0000-0000930C0000}"/>
    <cellStyle name="g_rate_Val_1_Book_Lecture_Notes_v3.06" xfId="1070" xr:uid="{00000000-0005-0000-0000-0000940C0000}"/>
    <cellStyle name="g_rate_Valuation summaries" xfId="1071" xr:uid="{00000000-0005-0000-0000-0000950C0000}"/>
    <cellStyle name="g_rate_Valuation summaries_LANCE_Model_v0.6.DCF.MASTER.Name" xfId="1072" xr:uid="{00000000-0005-0000-0000-0000960C0000}"/>
    <cellStyle name="g_rate_Valuation summaries_LANCE_Model_v0.6.DCF.MASTER.Name_DCF &amp; Raios to CLX Tootsie_v1.33.xls" xfId="1073" xr:uid="{00000000-0005-0000-0000-0000970C0000}"/>
    <cellStyle name="g_rate_Valuation summaries_LANCE_Model_v0.6.DCF.MASTER.Name_Tootsie_TWO_DAY_TTS_Solution_v1.34" xfId="1074" xr:uid="{00000000-0005-0000-0000-0000980C0000}"/>
    <cellStyle name="g_rate_Valuation summaries_LANCE_Model_v0.6.DCF.MASTER.Name_Val_1_Book_Lecture_Notes_v3.06" xfId="1075" xr:uid="{00000000-0005-0000-0000-0000990C0000}"/>
    <cellStyle name="g_rate_Valuation summaries_Val_1_Book_Lecture_Notes_v3.06" xfId="1076" xr:uid="{00000000-0005-0000-0000-00009A0C0000}"/>
    <cellStyle name="g_rate_WACC-CableCar" xfId="1077" xr:uid="{00000000-0005-0000-0000-00009B0C0000}"/>
    <cellStyle name="g_rate_WACC-CableCar_LANCE_Model_v0.6.DCF.MASTER.Name" xfId="1078" xr:uid="{00000000-0005-0000-0000-00009C0C0000}"/>
    <cellStyle name="g_rate_WACC-CableCar_LANCE_Model_v0.6.DCF.MASTER.Name_DCF &amp; Raios to CLX Tootsie_v1.33.xls" xfId="1079" xr:uid="{00000000-0005-0000-0000-00009D0C0000}"/>
    <cellStyle name="g_rate_WACC-CableCar_LANCE_Model_v0.6.DCF.MASTER.Name_Tootsie_TWO_DAY_TTS_Solution_v1.34" xfId="1080" xr:uid="{00000000-0005-0000-0000-00009E0C0000}"/>
    <cellStyle name="g_rate_WACC-CableCar_LANCE_Model_v0.6.DCF.MASTER.Name_Val_1_Book_Lecture_Notes_v3.06" xfId="1081" xr:uid="{00000000-0005-0000-0000-00009F0C0000}"/>
    <cellStyle name="g_rate_WACC-CableCar_THEsumPage (2)" xfId="1082" xr:uid="{00000000-0005-0000-0000-0000A00C0000}"/>
    <cellStyle name="g_rate_WACC-CableCar_THEsumPage (2)_LANCE_Model_v0.6.DCF.MASTER.Name" xfId="1083" xr:uid="{00000000-0005-0000-0000-0000A10C0000}"/>
    <cellStyle name="g_rate_WACC-CableCar_THEsumPage (2)_LANCE_Model_v0.6.DCF.MASTER.Name_DCF &amp; Raios to CLX Tootsie_v1.33.xls" xfId="1084" xr:uid="{00000000-0005-0000-0000-0000A20C0000}"/>
    <cellStyle name="g_rate_WACC-CableCar_THEsumPage (2)_LANCE_Model_v0.6.DCF.MASTER.Name_Tootsie_TWO_DAY_TTS_Solution_v1.34" xfId="1085" xr:uid="{00000000-0005-0000-0000-0000A30C0000}"/>
    <cellStyle name="g_rate_WACC-CableCar_THEsumPage (2)_LANCE_Model_v0.6.DCF.MASTER.Name_Val_1_Book_Lecture_Notes_v3.06" xfId="1086" xr:uid="{00000000-0005-0000-0000-0000A40C0000}"/>
    <cellStyle name="g_rate_WACC-CableCar_THEsumPage (2)_Val_1_Book_Lecture_Notes_v3.06" xfId="1087" xr:uid="{00000000-0005-0000-0000-0000A50C0000}"/>
    <cellStyle name="g_rate_WACC-CableCar_Val_1_Book_Lecture_Notes_v3.06" xfId="1088" xr:uid="{00000000-0005-0000-0000-0000A60C0000}"/>
    <cellStyle name="g_rate_WACC-RAD (2)" xfId="1089" xr:uid="{00000000-0005-0000-0000-0000A70C0000}"/>
    <cellStyle name="g_rate_WACC-RAD (2)_THEsumPage (2)" xfId="1090" xr:uid="{00000000-0005-0000-0000-0000A80C0000}"/>
    <cellStyle name="g_rate_WACC-RAD (2)_THEsumPage (2)_Val_1_Book_Lecture_Notes_v3.06" xfId="1091" xr:uid="{00000000-0005-0000-0000-0000A90C0000}"/>
    <cellStyle name="g_rate_WACC-RAD (2)_Val_1_Book_Lecture_Notes_v3.06" xfId="1092" xr:uid="{00000000-0005-0000-0000-0000AA0C0000}"/>
    <cellStyle name="Good" xfId="394" builtinId="26" customBuiltin="1"/>
    <cellStyle name="Good 10" xfId="11278" xr:uid="{00000000-0005-0000-0000-0000AC0C0000}"/>
    <cellStyle name="Good 11" xfId="11287" xr:uid="{00000000-0005-0000-0000-0000AD0C0000}"/>
    <cellStyle name="Good 12" xfId="11319" xr:uid="{00000000-0005-0000-0000-0000AE0C0000}"/>
    <cellStyle name="Good 13" xfId="11462" xr:uid="{00000000-0005-0000-0000-0000AF0C0000}"/>
    <cellStyle name="Good 14" xfId="11468" xr:uid="{00000000-0005-0000-0000-0000B00C0000}"/>
    <cellStyle name="Good 15" xfId="11502" xr:uid="{00000000-0005-0000-0000-0000B10C0000}"/>
    <cellStyle name="Good 16" xfId="11519" xr:uid="{00000000-0005-0000-0000-0000B20C0000}"/>
    <cellStyle name="Good 17" xfId="11534" xr:uid="{00000000-0005-0000-0000-0000B30C0000}"/>
    <cellStyle name="Good 18" xfId="11551" xr:uid="{00000000-0005-0000-0000-0000B40C0000}"/>
    <cellStyle name="Good 19" xfId="11567" xr:uid="{00000000-0005-0000-0000-0000B50C0000}"/>
    <cellStyle name="Good 2" xfId="207" xr:uid="{00000000-0005-0000-0000-0000B60C0000}"/>
    <cellStyle name="Good 20" xfId="11583" xr:uid="{00000000-0005-0000-0000-0000B70C0000}"/>
    <cellStyle name="Good 21" xfId="11599" xr:uid="{00000000-0005-0000-0000-0000B80C0000}"/>
    <cellStyle name="Good 22" xfId="11615" xr:uid="{00000000-0005-0000-0000-0000B90C0000}"/>
    <cellStyle name="Good 23" xfId="11630" xr:uid="{00000000-0005-0000-0000-0000BA0C0000}"/>
    <cellStyle name="Good 24" xfId="11647" xr:uid="{00000000-0005-0000-0000-0000BB0C0000}"/>
    <cellStyle name="Good 25" xfId="11662" xr:uid="{00000000-0005-0000-0000-0000BC0C0000}"/>
    <cellStyle name="Good 26" xfId="11678" xr:uid="{00000000-0005-0000-0000-0000BD0C0000}"/>
    <cellStyle name="Good 27" xfId="11692" xr:uid="{00000000-0005-0000-0000-0000BE0C0000}"/>
    <cellStyle name="Good 28" xfId="11707" xr:uid="{00000000-0005-0000-0000-0000BF0C0000}"/>
    <cellStyle name="Good 29" xfId="11722" xr:uid="{00000000-0005-0000-0000-0000C00C0000}"/>
    <cellStyle name="Good 3" xfId="1093" xr:uid="{00000000-0005-0000-0000-0000C10C0000}"/>
    <cellStyle name="Good 3 2" xfId="11142" xr:uid="{00000000-0005-0000-0000-0000C20C0000}"/>
    <cellStyle name="Good 30" xfId="11737" xr:uid="{00000000-0005-0000-0000-0000C30C0000}"/>
    <cellStyle name="Good 31" xfId="11752" xr:uid="{00000000-0005-0000-0000-0000C40C0000}"/>
    <cellStyle name="Good 32" xfId="11767" xr:uid="{00000000-0005-0000-0000-0000C50C0000}"/>
    <cellStyle name="Good 33" xfId="11784" xr:uid="{00000000-0005-0000-0000-0000C60C0000}"/>
    <cellStyle name="Good 34" xfId="19653" xr:uid="{00000000-0005-0000-0000-0000C70C0000}"/>
    <cellStyle name="Good 35" xfId="19670" xr:uid="{00000000-0005-0000-0000-0000C80C0000}"/>
    <cellStyle name="Good 36" xfId="19693" xr:uid="{00000000-0005-0000-0000-0000C90C0000}"/>
    <cellStyle name="Good 37" xfId="19703" xr:uid="{00000000-0005-0000-0000-0000CA0C0000}"/>
    <cellStyle name="Good 38" xfId="19735" xr:uid="{00000000-0005-0000-0000-0000CB0C0000}"/>
    <cellStyle name="Good 39" xfId="19751" xr:uid="{00000000-0005-0000-0000-0000CC0C0000}"/>
    <cellStyle name="Good 4" xfId="11158" xr:uid="{00000000-0005-0000-0000-0000CD0C0000}"/>
    <cellStyle name="Good 40" xfId="19757" xr:uid="{00000000-0005-0000-0000-0000CE0C0000}"/>
    <cellStyle name="Good 41" xfId="19773" xr:uid="{00000000-0005-0000-0000-0000CF0C0000}"/>
    <cellStyle name="Good 42" xfId="19782" xr:uid="{00000000-0005-0000-0000-0000D00C0000}"/>
    <cellStyle name="Good 43" xfId="19801" xr:uid="{00000000-0005-0000-0000-0000D10C0000}"/>
    <cellStyle name="Good 44" xfId="19934" xr:uid="{00000000-0005-0000-0000-0000D20C0000}"/>
    <cellStyle name="Good 45" xfId="19940" xr:uid="{00000000-0005-0000-0000-0000D30C0000}"/>
    <cellStyle name="Good 46" xfId="19972" xr:uid="{00000000-0005-0000-0000-0000D40C0000}"/>
    <cellStyle name="Good 47" xfId="19988" xr:uid="{00000000-0005-0000-0000-0000D50C0000}"/>
    <cellStyle name="Good 48" xfId="20003" xr:uid="{00000000-0005-0000-0000-0000D60C0000}"/>
    <cellStyle name="Good 49" xfId="20019" xr:uid="{00000000-0005-0000-0000-0000D70C0000}"/>
    <cellStyle name="Good 5" xfId="11193" xr:uid="{00000000-0005-0000-0000-0000D80C0000}"/>
    <cellStyle name="Good 50" xfId="20034" xr:uid="{00000000-0005-0000-0000-0000D90C0000}"/>
    <cellStyle name="Good 51" xfId="20050" xr:uid="{00000000-0005-0000-0000-0000DA0C0000}"/>
    <cellStyle name="Good 52" xfId="20065" xr:uid="{00000000-0005-0000-0000-0000DB0C0000}"/>
    <cellStyle name="Good 53" xfId="20080" xr:uid="{00000000-0005-0000-0000-0000DC0C0000}"/>
    <cellStyle name="Good 54" xfId="20094" xr:uid="{00000000-0005-0000-0000-0000DD0C0000}"/>
    <cellStyle name="Good 55" xfId="20110" xr:uid="{00000000-0005-0000-0000-0000DE0C0000}"/>
    <cellStyle name="Good 56" xfId="20124" xr:uid="{00000000-0005-0000-0000-0000DF0C0000}"/>
    <cellStyle name="Good 57" xfId="20139" xr:uid="{00000000-0005-0000-0000-0000E00C0000}"/>
    <cellStyle name="Good 58" xfId="20152" xr:uid="{00000000-0005-0000-0000-0000E10C0000}"/>
    <cellStyle name="Good 59" xfId="20166" xr:uid="{00000000-0005-0000-0000-0000E20C0000}"/>
    <cellStyle name="Good 6" xfId="11203" xr:uid="{00000000-0005-0000-0000-0000E30C0000}"/>
    <cellStyle name="Good 60" xfId="20181" xr:uid="{00000000-0005-0000-0000-0000E40C0000}"/>
    <cellStyle name="Good 61" xfId="20196" xr:uid="{00000000-0005-0000-0000-0000E50C0000}"/>
    <cellStyle name="Good 62" xfId="20212" xr:uid="{00000000-0005-0000-0000-0000E60C0000}"/>
    <cellStyle name="Good 63" xfId="20227" xr:uid="{00000000-0005-0000-0000-0000E70C0000}"/>
    <cellStyle name="Good 64" xfId="20244" xr:uid="{00000000-0005-0000-0000-0000E80C0000}"/>
    <cellStyle name="Good 7" xfId="11240" xr:uid="{00000000-0005-0000-0000-0000E90C0000}"/>
    <cellStyle name="Good 8" xfId="11256" xr:uid="{00000000-0005-0000-0000-0000EA0C0000}"/>
    <cellStyle name="Good 9" xfId="11262" xr:uid="{00000000-0005-0000-0000-0000EB0C0000}"/>
    <cellStyle name="Grey" xfId="1920" xr:uid="{00000000-0005-0000-0000-0000EC0C0000}"/>
    <cellStyle name="Growth Rates/Margins" xfId="1921" xr:uid="{00000000-0005-0000-0000-0000ED0C0000}"/>
    <cellStyle name="Header1" xfId="208" xr:uid="{00000000-0005-0000-0000-0000EE0C0000}"/>
    <cellStyle name="Header1 2" xfId="10419" xr:uid="{00000000-0005-0000-0000-0000EF0C0000}"/>
    <cellStyle name="Header1 3" xfId="11120" xr:uid="{00000000-0005-0000-0000-0000F00C0000}"/>
    <cellStyle name="Header2" xfId="209" xr:uid="{00000000-0005-0000-0000-0000F10C0000}"/>
    <cellStyle name="Header2 2" xfId="1648" xr:uid="{00000000-0005-0000-0000-0000F20C0000}"/>
    <cellStyle name="Header2 2 2" xfId="1691" xr:uid="{00000000-0005-0000-0000-0000F30C0000}"/>
    <cellStyle name="Header2 2 3" xfId="1710" xr:uid="{00000000-0005-0000-0000-0000F40C0000}"/>
    <cellStyle name="Header2 2 4" xfId="19579" xr:uid="{00000000-0005-0000-0000-0000F50C0000}"/>
    <cellStyle name="Header2 3" xfId="10420" xr:uid="{00000000-0005-0000-0000-0000F60C0000}"/>
    <cellStyle name="Header2 4" xfId="36230" xr:uid="{00000000-0005-0000-0000-0000F70C0000}"/>
    <cellStyle name="Header2 5" xfId="36231" xr:uid="{00000000-0005-0000-0000-0000F80C0000}"/>
    <cellStyle name="headers" xfId="1094" xr:uid="{00000000-0005-0000-0000-0000F90C0000}"/>
    <cellStyle name="Heading" xfId="1095" xr:uid="{00000000-0005-0000-0000-0000FA0C0000}"/>
    <cellStyle name="Heading 1" xfId="390" builtinId="16" customBuiltin="1"/>
    <cellStyle name="Heading 1 10" xfId="11282" xr:uid="{00000000-0005-0000-0000-0000FC0C0000}"/>
    <cellStyle name="Heading 1 11" xfId="11283" xr:uid="{00000000-0005-0000-0000-0000FD0C0000}"/>
    <cellStyle name="Heading 1 12" xfId="11315" xr:uid="{00000000-0005-0000-0000-0000FE0C0000}"/>
    <cellStyle name="Heading 1 13" xfId="11466" xr:uid="{00000000-0005-0000-0000-0000FF0C0000}"/>
    <cellStyle name="Heading 1 14" xfId="11332" xr:uid="{00000000-0005-0000-0000-0000000D0000}"/>
    <cellStyle name="Heading 1 15" xfId="11506" xr:uid="{00000000-0005-0000-0000-0000010D0000}"/>
    <cellStyle name="Heading 1 16" xfId="11523" xr:uid="{00000000-0005-0000-0000-0000020D0000}"/>
    <cellStyle name="Heading 1 17" xfId="11538" xr:uid="{00000000-0005-0000-0000-0000030D0000}"/>
    <cellStyle name="Heading 1 18" xfId="11555" xr:uid="{00000000-0005-0000-0000-0000040D0000}"/>
    <cellStyle name="Heading 1 19" xfId="11571" xr:uid="{00000000-0005-0000-0000-0000050D0000}"/>
    <cellStyle name="Heading 1 2" xfId="210" xr:uid="{00000000-0005-0000-0000-0000060D0000}"/>
    <cellStyle name="Heading 1 2 2" xfId="211" xr:uid="{00000000-0005-0000-0000-0000070D0000}"/>
    <cellStyle name="Heading 1 20" xfId="11587" xr:uid="{00000000-0005-0000-0000-0000080D0000}"/>
    <cellStyle name="Heading 1 21" xfId="11603" xr:uid="{00000000-0005-0000-0000-0000090D0000}"/>
    <cellStyle name="Heading 1 22" xfId="11619" xr:uid="{00000000-0005-0000-0000-00000A0D0000}"/>
    <cellStyle name="Heading 1 23" xfId="11634" xr:uid="{00000000-0005-0000-0000-00000B0D0000}"/>
    <cellStyle name="Heading 1 24" xfId="11651" xr:uid="{00000000-0005-0000-0000-00000C0D0000}"/>
    <cellStyle name="Heading 1 25" xfId="11666" xr:uid="{00000000-0005-0000-0000-00000D0D0000}"/>
    <cellStyle name="Heading 1 26" xfId="11682" xr:uid="{00000000-0005-0000-0000-00000E0D0000}"/>
    <cellStyle name="Heading 1 27" xfId="11696" xr:uid="{00000000-0005-0000-0000-00000F0D0000}"/>
    <cellStyle name="Heading 1 28" xfId="11711" xr:uid="{00000000-0005-0000-0000-0000100D0000}"/>
    <cellStyle name="Heading 1 29" xfId="11726" xr:uid="{00000000-0005-0000-0000-0000110D0000}"/>
    <cellStyle name="Heading 1 3" xfId="1096" xr:uid="{00000000-0005-0000-0000-0000120D0000}"/>
    <cellStyle name="Heading 1 3 2" xfId="11138" xr:uid="{00000000-0005-0000-0000-0000130D0000}"/>
    <cellStyle name="Heading 1 30" xfId="11741" xr:uid="{00000000-0005-0000-0000-0000140D0000}"/>
    <cellStyle name="Heading 1 31" xfId="11756" xr:uid="{00000000-0005-0000-0000-0000150D0000}"/>
    <cellStyle name="Heading 1 32" xfId="11771" xr:uid="{00000000-0005-0000-0000-0000160D0000}"/>
    <cellStyle name="Heading 1 33" xfId="11788" xr:uid="{00000000-0005-0000-0000-0000170D0000}"/>
    <cellStyle name="Heading 1 34" xfId="19649" xr:uid="{00000000-0005-0000-0000-0000180D0000}"/>
    <cellStyle name="Heading 1 35" xfId="19666" xr:uid="{00000000-0005-0000-0000-0000190D0000}"/>
    <cellStyle name="Heading 1 36" xfId="19697" xr:uid="{00000000-0005-0000-0000-00001A0D0000}"/>
    <cellStyle name="Heading 1 37" xfId="19699" xr:uid="{00000000-0005-0000-0000-00001B0D0000}"/>
    <cellStyle name="Heading 1 38" xfId="19739" xr:uid="{00000000-0005-0000-0000-00001C0D0000}"/>
    <cellStyle name="Heading 1 39" xfId="19755" xr:uid="{00000000-0005-0000-0000-00001D0D0000}"/>
    <cellStyle name="Heading 1 4" xfId="11154" xr:uid="{00000000-0005-0000-0000-00001E0D0000}"/>
    <cellStyle name="Heading 1 40" xfId="19761" xr:uid="{00000000-0005-0000-0000-00001F0D0000}"/>
    <cellStyle name="Heading 1 41" xfId="19777" xr:uid="{00000000-0005-0000-0000-0000200D0000}"/>
    <cellStyle name="Heading 1 42" xfId="19778" xr:uid="{00000000-0005-0000-0000-0000210D0000}"/>
    <cellStyle name="Heading 1 43" xfId="19797" xr:uid="{00000000-0005-0000-0000-0000220D0000}"/>
    <cellStyle name="Heading 1 44" xfId="19938" xr:uid="{00000000-0005-0000-0000-0000230D0000}"/>
    <cellStyle name="Heading 1 45" xfId="19814" xr:uid="{00000000-0005-0000-0000-0000240D0000}"/>
    <cellStyle name="Heading 1 46" xfId="19976" xr:uid="{00000000-0005-0000-0000-0000250D0000}"/>
    <cellStyle name="Heading 1 47" xfId="19992" xr:uid="{00000000-0005-0000-0000-0000260D0000}"/>
    <cellStyle name="Heading 1 48" xfId="20007" xr:uid="{00000000-0005-0000-0000-0000270D0000}"/>
    <cellStyle name="Heading 1 49" xfId="20023" xr:uid="{00000000-0005-0000-0000-0000280D0000}"/>
    <cellStyle name="Heading 1 5" xfId="11197" xr:uid="{00000000-0005-0000-0000-0000290D0000}"/>
    <cellStyle name="Heading 1 50" xfId="20038" xr:uid="{00000000-0005-0000-0000-00002A0D0000}"/>
    <cellStyle name="Heading 1 51" xfId="20054" xr:uid="{00000000-0005-0000-0000-00002B0D0000}"/>
    <cellStyle name="Heading 1 52" xfId="20069" xr:uid="{00000000-0005-0000-0000-00002C0D0000}"/>
    <cellStyle name="Heading 1 53" xfId="20084" xr:uid="{00000000-0005-0000-0000-00002D0D0000}"/>
    <cellStyle name="Heading 1 54" xfId="20098" xr:uid="{00000000-0005-0000-0000-00002E0D0000}"/>
    <cellStyle name="Heading 1 55" xfId="20114" xr:uid="{00000000-0005-0000-0000-00002F0D0000}"/>
    <cellStyle name="Heading 1 56" xfId="20128" xr:uid="{00000000-0005-0000-0000-0000300D0000}"/>
    <cellStyle name="Heading 1 57" xfId="20143" xr:uid="{00000000-0005-0000-0000-0000310D0000}"/>
    <cellStyle name="Heading 1 58" xfId="20156" xr:uid="{00000000-0005-0000-0000-0000320D0000}"/>
    <cellStyle name="Heading 1 59" xfId="20170" xr:uid="{00000000-0005-0000-0000-0000330D0000}"/>
    <cellStyle name="Heading 1 6" xfId="11199" xr:uid="{00000000-0005-0000-0000-0000340D0000}"/>
    <cellStyle name="Heading 1 60" xfId="20185" xr:uid="{00000000-0005-0000-0000-0000350D0000}"/>
    <cellStyle name="Heading 1 61" xfId="20200" xr:uid="{00000000-0005-0000-0000-0000360D0000}"/>
    <cellStyle name="Heading 1 62" xfId="20216" xr:uid="{00000000-0005-0000-0000-0000370D0000}"/>
    <cellStyle name="Heading 1 63" xfId="20231" xr:uid="{00000000-0005-0000-0000-0000380D0000}"/>
    <cellStyle name="Heading 1 64" xfId="20248" xr:uid="{00000000-0005-0000-0000-0000390D0000}"/>
    <cellStyle name="Heading 1 7" xfId="11244" xr:uid="{00000000-0005-0000-0000-00003A0D0000}"/>
    <cellStyle name="Heading 1 8" xfId="11260" xr:uid="{00000000-0005-0000-0000-00003B0D0000}"/>
    <cellStyle name="Heading 1 9" xfId="11266" xr:uid="{00000000-0005-0000-0000-00003C0D0000}"/>
    <cellStyle name="Heading 2" xfId="391" builtinId="17" customBuiltin="1"/>
    <cellStyle name="Heading 2 10" xfId="11281" xr:uid="{00000000-0005-0000-0000-00003E0D0000}"/>
    <cellStyle name="Heading 2 11" xfId="11284" xr:uid="{00000000-0005-0000-0000-00003F0D0000}"/>
    <cellStyle name="Heading 2 12" xfId="11316" xr:uid="{00000000-0005-0000-0000-0000400D0000}"/>
    <cellStyle name="Heading 2 13" xfId="11465" xr:uid="{00000000-0005-0000-0000-0000410D0000}"/>
    <cellStyle name="Heading 2 14" xfId="11337" xr:uid="{00000000-0005-0000-0000-0000420D0000}"/>
    <cellStyle name="Heading 2 15" xfId="11505" xr:uid="{00000000-0005-0000-0000-0000430D0000}"/>
    <cellStyle name="Heading 2 16" xfId="11522" xr:uid="{00000000-0005-0000-0000-0000440D0000}"/>
    <cellStyle name="Heading 2 17" xfId="11537" xr:uid="{00000000-0005-0000-0000-0000450D0000}"/>
    <cellStyle name="Heading 2 18" xfId="11554" xr:uid="{00000000-0005-0000-0000-0000460D0000}"/>
    <cellStyle name="Heading 2 19" xfId="11570" xr:uid="{00000000-0005-0000-0000-0000470D0000}"/>
    <cellStyle name="Heading 2 2" xfId="212" xr:uid="{00000000-0005-0000-0000-0000480D0000}"/>
    <cellStyle name="Heading 2 2 2" xfId="213" xr:uid="{00000000-0005-0000-0000-0000490D0000}"/>
    <cellStyle name="Heading 2 20" xfId="11586" xr:uid="{00000000-0005-0000-0000-00004A0D0000}"/>
    <cellStyle name="Heading 2 21" xfId="11602" xr:uid="{00000000-0005-0000-0000-00004B0D0000}"/>
    <cellStyle name="Heading 2 22" xfId="11618" xr:uid="{00000000-0005-0000-0000-00004C0D0000}"/>
    <cellStyle name="Heading 2 23" xfId="11633" xr:uid="{00000000-0005-0000-0000-00004D0D0000}"/>
    <cellStyle name="Heading 2 24" xfId="11650" xr:uid="{00000000-0005-0000-0000-00004E0D0000}"/>
    <cellStyle name="Heading 2 25" xfId="11665" xr:uid="{00000000-0005-0000-0000-00004F0D0000}"/>
    <cellStyle name="Heading 2 26" xfId="11681" xr:uid="{00000000-0005-0000-0000-0000500D0000}"/>
    <cellStyle name="Heading 2 27" xfId="11695" xr:uid="{00000000-0005-0000-0000-0000510D0000}"/>
    <cellStyle name="Heading 2 28" xfId="11710" xr:uid="{00000000-0005-0000-0000-0000520D0000}"/>
    <cellStyle name="Heading 2 29" xfId="11725" xr:uid="{00000000-0005-0000-0000-0000530D0000}"/>
    <cellStyle name="Heading 2 3" xfId="1097" xr:uid="{00000000-0005-0000-0000-0000540D0000}"/>
    <cellStyle name="Heading 2 3 2" xfId="11139" xr:uid="{00000000-0005-0000-0000-0000550D0000}"/>
    <cellStyle name="Heading 2 30" xfId="11740" xr:uid="{00000000-0005-0000-0000-0000560D0000}"/>
    <cellStyle name="Heading 2 31" xfId="11755" xr:uid="{00000000-0005-0000-0000-0000570D0000}"/>
    <cellStyle name="Heading 2 32" xfId="11770" xr:uid="{00000000-0005-0000-0000-0000580D0000}"/>
    <cellStyle name="Heading 2 33" xfId="11787" xr:uid="{00000000-0005-0000-0000-0000590D0000}"/>
    <cellStyle name="Heading 2 34" xfId="19650" xr:uid="{00000000-0005-0000-0000-00005A0D0000}"/>
    <cellStyle name="Heading 2 35" xfId="19667" xr:uid="{00000000-0005-0000-0000-00005B0D0000}"/>
    <cellStyle name="Heading 2 36" xfId="19696" xr:uid="{00000000-0005-0000-0000-00005C0D0000}"/>
    <cellStyle name="Heading 2 37" xfId="19700" xr:uid="{00000000-0005-0000-0000-00005D0D0000}"/>
    <cellStyle name="Heading 2 38" xfId="19738" xr:uid="{00000000-0005-0000-0000-00005E0D0000}"/>
    <cellStyle name="Heading 2 39" xfId="19754" xr:uid="{00000000-0005-0000-0000-00005F0D0000}"/>
    <cellStyle name="Heading 2 4" xfId="11155" xr:uid="{00000000-0005-0000-0000-0000600D0000}"/>
    <cellStyle name="Heading 2 40" xfId="19760" xr:uid="{00000000-0005-0000-0000-0000610D0000}"/>
    <cellStyle name="Heading 2 41" xfId="19776" xr:uid="{00000000-0005-0000-0000-0000620D0000}"/>
    <cellStyle name="Heading 2 42" xfId="19779" xr:uid="{00000000-0005-0000-0000-0000630D0000}"/>
    <cellStyle name="Heading 2 43" xfId="19798" xr:uid="{00000000-0005-0000-0000-0000640D0000}"/>
    <cellStyle name="Heading 2 44" xfId="19937" xr:uid="{00000000-0005-0000-0000-0000650D0000}"/>
    <cellStyle name="Heading 2 45" xfId="19815" xr:uid="{00000000-0005-0000-0000-0000660D0000}"/>
    <cellStyle name="Heading 2 46" xfId="19975" xr:uid="{00000000-0005-0000-0000-0000670D0000}"/>
    <cellStyle name="Heading 2 47" xfId="19991" xr:uid="{00000000-0005-0000-0000-0000680D0000}"/>
    <cellStyle name="Heading 2 48" xfId="20006" xr:uid="{00000000-0005-0000-0000-0000690D0000}"/>
    <cellStyle name="Heading 2 49" xfId="20022" xr:uid="{00000000-0005-0000-0000-00006A0D0000}"/>
    <cellStyle name="Heading 2 5" xfId="11196" xr:uid="{00000000-0005-0000-0000-00006B0D0000}"/>
    <cellStyle name="Heading 2 50" xfId="20037" xr:uid="{00000000-0005-0000-0000-00006C0D0000}"/>
    <cellStyle name="Heading 2 51" xfId="20053" xr:uid="{00000000-0005-0000-0000-00006D0D0000}"/>
    <cellStyle name="Heading 2 52" xfId="20068" xr:uid="{00000000-0005-0000-0000-00006E0D0000}"/>
    <cellStyle name="Heading 2 53" xfId="20083" xr:uid="{00000000-0005-0000-0000-00006F0D0000}"/>
    <cellStyle name="Heading 2 54" xfId="20097" xr:uid="{00000000-0005-0000-0000-0000700D0000}"/>
    <cellStyle name="Heading 2 55" xfId="20113" xr:uid="{00000000-0005-0000-0000-0000710D0000}"/>
    <cellStyle name="Heading 2 56" xfId="20127" xr:uid="{00000000-0005-0000-0000-0000720D0000}"/>
    <cellStyle name="Heading 2 57" xfId="20142" xr:uid="{00000000-0005-0000-0000-0000730D0000}"/>
    <cellStyle name="Heading 2 58" xfId="20155" xr:uid="{00000000-0005-0000-0000-0000740D0000}"/>
    <cellStyle name="Heading 2 59" xfId="20169" xr:uid="{00000000-0005-0000-0000-0000750D0000}"/>
    <cellStyle name="Heading 2 6" xfId="11200" xr:uid="{00000000-0005-0000-0000-0000760D0000}"/>
    <cellStyle name="Heading 2 60" xfId="20184" xr:uid="{00000000-0005-0000-0000-0000770D0000}"/>
    <cellStyle name="Heading 2 61" xfId="20199" xr:uid="{00000000-0005-0000-0000-0000780D0000}"/>
    <cellStyle name="Heading 2 62" xfId="20215" xr:uid="{00000000-0005-0000-0000-0000790D0000}"/>
    <cellStyle name="Heading 2 63" xfId="20230" xr:uid="{00000000-0005-0000-0000-00007A0D0000}"/>
    <cellStyle name="Heading 2 64" xfId="20247" xr:uid="{00000000-0005-0000-0000-00007B0D0000}"/>
    <cellStyle name="Heading 2 7" xfId="11243" xr:uid="{00000000-0005-0000-0000-00007C0D0000}"/>
    <cellStyle name="Heading 2 8" xfId="11259" xr:uid="{00000000-0005-0000-0000-00007D0D0000}"/>
    <cellStyle name="Heading 2 9" xfId="11265" xr:uid="{00000000-0005-0000-0000-00007E0D0000}"/>
    <cellStyle name="Heading 3" xfId="392" builtinId="18" customBuiltin="1"/>
    <cellStyle name="Heading 3 10" xfId="11280" xr:uid="{00000000-0005-0000-0000-0000800D0000}"/>
    <cellStyle name="Heading 3 11" xfId="11285" xr:uid="{00000000-0005-0000-0000-0000810D0000}"/>
    <cellStyle name="Heading 3 12" xfId="11317" xr:uid="{00000000-0005-0000-0000-0000820D0000}"/>
    <cellStyle name="Heading 3 13" xfId="11464" xr:uid="{00000000-0005-0000-0000-0000830D0000}"/>
    <cellStyle name="Heading 3 14" xfId="11447" xr:uid="{00000000-0005-0000-0000-0000840D0000}"/>
    <cellStyle name="Heading 3 15" xfId="11504" xr:uid="{00000000-0005-0000-0000-0000850D0000}"/>
    <cellStyle name="Heading 3 16" xfId="11521" xr:uid="{00000000-0005-0000-0000-0000860D0000}"/>
    <cellStyle name="Heading 3 17" xfId="11536" xr:uid="{00000000-0005-0000-0000-0000870D0000}"/>
    <cellStyle name="Heading 3 18" xfId="11553" xr:uid="{00000000-0005-0000-0000-0000880D0000}"/>
    <cellStyle name="Heading 3 19" xfId="11569" xr:uid="{00000000-0005-0000-0000-0000890D0000}"/>
    <cellStyle name="Heading 3 2" xfId="214" xr:uid="{00000000-0005-0000-0000-00008A0D0000}"/>
    <cellStyle name="Heading 3 2 2" xfId="215" xr:uid="{00000000-0005-0000-0000-00008B0D0000}"/>
    <cellStyle name="Heading 3 2 2 2" xfId="36233" xr:uid="{00000000-0005-0000-0000-00008C0D0000}"/>
    <cellStyle name="Heading 3 2 3" xfId="36232" xr:uid="{00000000-0005-0000-0000-00008D0D0000}"/>
    <cellStyle name="Heading 3 20" xfId="11585" xr:uid="{00000000-0005-0000-0000-00008E0D0000}"/>
    <cellStyle name="Heading 3 21" xfId="11601" xr:uid="{00000000-0005-0000-0000-00008F0D0000}"/>
    <cellStyle name="Heading 3 22" xfId="11617" xr:uid="{00000000-0005-0000-0000-0000900D0000}"/>
    <cellStyle name="Heading 3 23" xfId="11632" xr:uid="{00000000-0005-0000-0000-0000910D0000}"/>
    <cellStyle name="Heading 3 24" xfId="11649" xr:uid="{00000000-0005-0000-0000-0000920D0000}"/>
    <cellStyle name="Heading 3 25" xfId="11664" xr:uid="{00000000-0005-0000-0000-0000930D0000}"/>
    <cellStyle name="Heading 3 26" xfId="11680" xr:uid="{00000000-0005-0000-0000-0000940D0000}"/>
    <cellStyle name="Heading 3 27" xfId="11694" xr:uid="{00000000-0005-0000-0000-0000950D0000}"/>
    <cellStyle name="Heading 3 28" xfId="11709" xr:uid="{00000000-0005-0000-0000-0000960D0000}"/>
    <cellStyle name="Heading 3 29" xfId="11724" xr:uid="{00000000-0005-0000-0000-0000970D0000}"/>
    <cellStyle name="Heading 3 3" xfId="1098" xr:uid="{00000000-0005-0000-0000-0000980D0000}"/>
    <cellStyle name="Heading 3 3 2" xfId="11140" xr:uid="{00000000-0005-0000-0000-0000990D0000}"/>
    <cellStyle name="Heading 3 30" xfId="11739" xr:uid="{00000000-0005-0000-0000-00009A0D0000}"/>
    <cellStyle name="Heading 3 31" xfId="11754" xr:uid="{00000000-0005-0000-0000-00009B0D0000}"/>
    <cellStyle name="Heading 3 32" xfId="11769" xr:uid="{00000000-0005-0000-0000-00009C0D0000}"/>
    <cellStyle name="Heading 3 33" xfId="11786" xr:uid="{00000000-0005-0000-0000-00009D0D0000}"/>
    <cellStyle name="Heading 3 34" xfId="19651" xr:uid="{00000000-0005-0000-0000-00009E0D0000}"/>
    <cellStyle name="Heading 3 35" xfId="19668" xr:uid="{00000000-0005-0000-0000-00009F0D0000}"/>
    <cellStyle name="Heading 3 36" xfId="19695" xr:uid="{00000000-0005-0000-0000-0000A00D0000}"/>
    <cellStyle name="Heading 3 37" xfId="19701" xr:uid="{00000000-0005-0000-0000-0000A10D0000}"/>
    <cellStyle name="Heading 3 38" xfId="19737" xr:uid="{00000000-0005-0000-0000-0000A20D0000}"/>
    <cellStyle name="Heading 3 39" xfId="19753" xr:uid="{00000000-0005-0000-0000-0000A30D0000}"/>
    <cellStyle name="Heading 3 4" xfId="11156" xr:uid="{00000000-0005-0000-0000-0000A40D0000}"/>
    <cellStyle name="Heading 3 40" xfId="19759" xr:uid="{00000000-0005-0000-0000-0000A50D0000}"/>
    <cellStyle name="Heading 3 41" xfId="19775" xr:uid="{00000000-0005-0000-0000-0000A60D0000}"/>
    <cellStyle name="Heading 3 42" xfId="19780" xr:uid="{00000000-0005-0000-0000-0000A70D0000}"/>
    <cellStyle name="Heading 3 43" xfId="19799" xr:uid="{00000000-0005-0000-0000-0000A80D0000}"/>
    <cellStyle name="Heading 3 44" xfId="19936" xr:uid="{00000000-0005-0000-0000-0000A90D0000}"/>
    <cellStyle name="Heading 3 45" xfId="19920" xr:uid="{00000000-0005-0000-0000-0000AA0D0000}"/>
    <cellStyle name="Heading 3 46" xfId="19974" xr:uid="{00000000-0005-0000-0000-0000AB0D0000}"/>
    <cellStyle name="Heading 3 47" xfId="19990" xr:uid="{00000000-0005-0000-0000-0000AC0D0000}"/>
    <cellStyle name="Heading 3 48" xfId="20005" xr:uid="{00000000-0005-0000-0000-0000AD0D0000}"/>
    <cellStyle name="Heading 3 49" xfId="20021" xr:uid="{00000000-0005-0000-0000-0000AE0D0000}"/>
    <cellStyle name="Heading 3 5" xfId="11195" xr:uid="{00000000-0005-0000-0000-0000AF0D0000}"/>
    <cellStyle name="Heading 3 50" xfId="20036" xr:uid="{00000000-0005-0000-0000-0000B00D0000}"/>
    <cellStyle name="Heading 3 51" xfId="20052" xr:uid="{00000000-0005-0000-0000-0000B10D0000}"/>
    <cellStyle name="Heading 3 52" xfId="20067" xr:uid="{00000000-0005-0000-0000-0000B20D0000}"/>
    <cellStyle name="Heading 3 53" xfId="20082" xr:uid="{00000000-0005-0000-0000-0000B30D0000}"/>
    <cellStyle name="Heading 3 54" xfId="20096" xr:uid="{00000000-0005-0000-0000-0000B40D0000}"/>
    <cellStyle name="Heading 3 55" xfId="20112" xr:uid="{00000000-0005-0000-0000-0000B50D0000}"/>
    <cellStyle name="Heading 3 56" xfId="20126" xr:uid="{00000000-0005-0000-0000-0000B60D0000}"/>
    <cellStyle name="Heading 3 57" xfId="20141" xr:uid="{00000000-0005-0000-0000-0000B70D0000}"/>
    <cellStyle name="Heading 3 58" xfId="20154" xr:uid="{00000000-0005-0000-0000-0000B80D0000}"/>
    <cellStyle name="Heading 3 59" xfId="20168" xr:uid="{00000000-0005-0000-0000-0000B90D0000}"/>
    <cellStyle name="Heading 3 6" xfId="11201" xr:uid="{00000000-0005-0000-0000-0000BA0D0000}"/>
    <cellStyle name="Heading 3 60" xfId="20183" xr:uid="{00000000-0005-0000-0000-0000BB0D0000}"/>
    <cellStyle name="Heading 3 61" xfId="20198" xr:uid="{00000000-0005-0000-0000-0000BC0D0000}"/>
    <cellStyle name="Heading 3 62" xfId="20214" xr:uid="{00000000-0005-0000-0000-0000BD0D0000}"/>
    <cellStyle name="Heading 3 63" xfId="20229" xr:uid="{00000000-0005-0000-0000-0000BE0D0000}"/>
    <cellStyle name="Heading 3 64" xfId="20246" xr:uid="{00000000-0005-0000-0000-0000BF0D0000}"/>
    <cellStyle name="Heading 3 7" xfId="11242" xr:uid="{00000000-0005-0000-0000-0000C00D0000}"/>
    <cellStyle name="Heading 3 8" xfId="11258" xr:uid="{00000000-0005-0000-0000-0000C10D0000}"/>
    <cellStyle name="Heading 3 9" xfId="11264" xr:uid="{00000000-0005-0000-0000-0000C20D0000}"/>
    <cellStyle name="Heading 4" xfId="393" builtinId="19" customBuiltin="1"/>
    <cellStyle name="Heading 4 10" xfId="11279" xr:uid="{00000000-0005-0000-0000-0000C40D0000}"/>
    <cellStyle name="Heading 4 11" xfId="11286" xr:uid="{00000000-0005-0000-0000-0000C50D0000}"/>
    <cellStyle name="Heading 4 12" xfId="11318" xr:uid="{00000000-0005-0000-0000-0000C60D0000}"/>
    <cellStyle name="Heading 4 13" xfId="11463" xr:uid="{00000000-0005-0000-0000-0000C70D0000}"/>
    <cellStyle name="Heading 4 14" xfId="11338" xr:uid="{00000000-0005-0000-0000-0000C80D0000}"/>
    <cellStyle name="Heading 4 15" xfId="11503" xr:uid="{00000000-0005-0000-0000-0000C90D0000}"/>
    <cellStyle name="Heading 4 16" xfId="11520" xr:uid="{00000000-0005-0000-0000-0000CA0D0000}"/>
    <cellStyle name="Heading 4 17" xfId="11535" xr:uid="{00000000-0005-0000-0000-0000CB0D0000}"/>
    <cellStyle name="Heading 4 18" xfId="11552" xr:uid="{00000000-0005-0000-0000-0000CC0D0000}"/>
    <cellStyle name="Heading 4 19" xfId="11568" xr:uid="{00000000-0005-0000-0000-0000CD0D0000}"/>
    <cellStyle name="Heading 4 2" xfId="216" xr:uid="{00000000-0005-0000-0000-0000CE0D0000}"/>
    <cellStyle name="Heading 4 2 2" xfId="217" xr:uid="{00000000-0005-0000-0000-0000CF0D0000}"/>
    <cellStyle name="Heading 4 20" xfId="11584" xr:uid="{00000000-0005-0000-0000-0000D00D0000}"/>
    <cellStyle name="Heading 4 21" xfId="11600" xr:uid="{00000000-0005-0000-0000-0000D10D0000}"/>
    <cellStyle name="Heading 4 22" xfId="11616" xr:uid="{00000000-0005-0000-0000-0000D20D0000}"/>
    <cellStyle name="Heading 4 23" xfId="11631" xr:uid="{00000000-0005-0000-0000-0000D30D0000}"/>
    <cellStyle name="Heading 4 24" xfId="11648" xr:uid="{00000000-0005-0000-0000-0000D40D0000}"/>
    <cellStyle name="Heading 4 25" xfId="11663" xr:uid="{00000000-0005-0000-0000-0000D50D0000}"/>
    <cellStyle name="Heading 4 26" xfId="11679" xr:uid="{00000000-0005-0000-0000-0000D60D0000}"/>
    <cellStyle name="Heading 4 27" xfId="11693" xr:uid="{00000000-0005-0000-0000-0000D70D0000}"/>
    <cellStyle name="Heading 4 28" xfId="11708" xr:uid="{00000000-0005-0000-0000-0000D80D0000}"/>
    <cellStyle name="Heading 4 29" xfId="11723" xr:uid="{00000000-0005-0000-0000-0000D90D0000}"/>
    <cellStyle name="Heading 4 3" xfId="1099" xr:uid="{00000000-0005-0000-0000-0000DA0D0000}"/>
    <cellStyle name="Heading 4 3 2" xfId="11141" xr:uid="{00000000-0005-0000-0000-0000DB0D0000}"/>
    <cellStyle name="Heading 4 30" xfId="11738" xr:uid="{00000000-0005-0000-0000-0000DC0D0000}"/>
    <cellStyle name="Heading 4 31" xfId="11753" xr:uid="{00000000-0005-0000-0000-0000DD0D0000}"/>
    <cellStyle name="Heading 4 32" xfId="11768" xr:uid="{00000000-0005-0000-0000-0000DE0D0000}"/>
    <cellStyle name="Heading 4 33" xfId="11785" xr:uid="{00000000-0005-0000-0000-0000DF0D0000}"/>
    <cellStyle name="Heading 4 34" xfId="19652" xr:uid="{00000000-0005-0000-0000-0000E00D0000}"/>
    <cellStyle name="Heading 4 35" xfId="19669" xr:uid="{00000000-0005-0000-0000-0000E10D0000}"/>
    <cellStyle name="Heading 4 36" xfId="19694" xr:uid="{00000000-0005-0000-0000-0000E20D0000}"/>
    <cellStyle name="Heading 4 37" xfId="19702" xr:uid="{00000000-0005-0000-0000-0000E30D0000}"/>
    <cellStyle name="Heading 4 38" xfId="19736" xr:uid="{00000000-0005-0000-0000-0000E40D0000}"/>
    <cellStyle name="Heading 4 39" xfId="19752" xr:uid="{00000000-0005-0000-0000-0000E50D0000}"/>
    <cellStyle name="Heading 4 4" xfId="11157" xr:uid="{00000000-0005-0000-0000-0000E60D0000}"/>
    <cellStyle name="Heading 4 40" xfId="19758" xr:uid="{00000000-0005-0000-0000-0000E70D0000}"/>
    <cellStyle name="Heading 4 41" xfId="19774" xr:uid="{00000000-0005-0000-0000-0000E80D0000}"/>
    <cellStyle name="Heading 4 42" xfId="19781" xr:uid="{00000000-0005-0000-0000-0000E90D0000}"/>
    <cellStyle name="Heading 4 43" xfId="19800" xr:uid="{00000000-0005-0000-0000-0000EA0D0000}"/>
    <cellStyle name="Heading 4 44" xfId="19935" xr:uid="{00000000-0005-0000-0000-0000EB0D0000}"/>
    <cellStyle name="Heading 4 45" xfId="19816" xr:uid="{00000000-0005-0000-0000-0000EC0D0000}"/>
    <cellStyle name="Heading 4 46" xfId="19973" xr:uid="{00000000-0005-0000-0000-0000ED0D0000}"/>
    <cellStyle name="Heading 4 47" xfId="19989" xr:uid="{00000000-0005-0000-0000-0000EE0D0000}"/>
    <cellStyle name="Heading 4 48" xfId="20004" xr:uid="{00000000-0005-0000-0000-0000EF0D0000}"/>
    <cellStyle name="Heading 4 49" xfId="20020" xr:uid="{00000000-0005-0000-0000-0000F00D0000}"/>
    <cellStyle name="Heading 4 5" xfId="11194" xr:uid="{00000000-0005-0000-0000-0000F10D0000}"/>
    <cellStyle name="Heading 4 50" xfId="20035" xr:uid="{00000000-0005-0000-0000-0000F20D0000}"/>
    <cellStyle name="Heading 4 51" xfId="20051" xr:uid="{00000000-0005-0000-0000-0000F30D0000}"/>
    <cellStyle name="Heading 4 52" xfId="20066" xr:uid="{00000000-0005-0000-0000-0000F40D0000}"/>
    <cellStyle name="Heading 4 53" xfId="20081" xr:uid="{00000000-0005-0000-0000-0000F50D0000}"/>
    <cellStyle name="Heading 4 54" xfId="20095" xr:uid="{00000000-0005-0000-0000-0000F60D0000}"/>
    <cellStyle name="Heading 4 55" xfId="20111" xr:uid="{00000000-0005-0000-0000-0000F70D0000}"/>
    <cellStyle name="Heading 4 56" xfId="20125" xr:uid="{00000000-0005-0000-0000-0000F80D0000}"/>
    <cellStyle name="Heading 4 57" xfId="20140" xr:uid="{00000000-0005-0000-0000-0000F90D0000}"/>
    <cellStyle name="Heading 4 58" xfId="20153" xr:uid="{00000000-0005-0000-0000-0000FA0D0000}"/>
    <cellStyle name="Heading 4 59" xfId="20167" xr:uid="{00000000-0005-0000-0000-0000FB0D0000}"/>
    <cellStyle name="Heading 4 6" xfId="11202" xr:uid="{00000000-0005-0000-0000-0000FC0D0000}"/>
    <cellStyle name="Heading 4 60" xfId="20182" xr:uid="{00000000-0005-0000-0000-0000FD0D0000}"/>
    <cellStyle name="Heading 4 61" xfId="20197" xr:uid="{00000000-0005-0000-0000-0000FE0D0000}"/>
    <cellStyle name="Heading 4 62" xfId="20213" xr:uid="{00000000-0005-0000-0000-0000FF0D0000}"/>
    <cellStyle name="Heading 4 63" xfId="20228" xr:uid="{00000000-0005-0000-0000-0000000E0000}"/>
    <cellStyle name="Heading 4 64" xfId="20245" xr:uid="{00000000-0005-0000-0000-0000010E0000}"/>
    <cellStyle name="Heading 4 7" xfId="11241" xr:uid="{00000000-0005-0000-0000-0000020E0000}"/>
    <cellStyle name="Heading 4 8" xfId="11257" xr:uid="{00000000-0005-0000-0000-0000030E0000}"/>
    <cellStyle name="Heading 4 9" xfId="11263" xr:uid="{00000000-0005-0000-0000-0000040E0000}"/>
    <cellStyle name="Heading No Underline" xfId="2109" xr:uid="{00000000-0005-0000-0000-0000050E0000}"/>
    <cellStyle name="Heading With Underline" xfId="2140" xr:uid="{00000000-0005-0000-0000-0000060E0000}"/>
    <cellStyle name="Hipervínculo" xfId="1922" xr:uid="{00000000-0005-0000-0000-0000070E0000}"/>
    <cellStyle name="HNU" xfId="2018" xr:uid="{00000000-0005-0000-0000-0000080E0000}"/>
    <cellStyle name="Hyperlink 2" xfId="8" xr:uid="{00000000-0005-0000-0000-0000090E0000}"/>
    <cellStyle name="Hyperlink 2 2" xfId="6622" xr:uid="{00000000-0005-0000-0000-00000A0E0000}"/>
    <cellStyle name="Hyperlink 2 3" xfId="2455" xr:uid="{00000000-0005-0000-0000-00000B0E0000}"/>
    <cellStyle name="Hyperlink 2 4" xfId="1923" xr:uid="{00000000-0005-0000-0000-00000C0E0000}"/>
    <cellStyle name="Hyperlink 3" xfId="6623" hidden="1" xr:uid="{00000000-0005-0000-0000-00000D0E0000}"/>
    <cellStyle name="Hyperlink 3" xfId="10920" hidden="1" xr:uid="{00000000-0005-0000-0000-00000E0E0000}"/>
    <cellStyle name="Hyperlink 3" xfId="10933" hidden="1" xr:uid="{00000000-0005-0000-0000-00000F0E0000}"/>
    <cellStyle name="Hyperlink 3" xfId="10910" hidden="1" xr:uid="{00000000-0005-0000-0000-0000100E0000}"/>
    <cellStyle name="Hyperlink 3" xfId="10937" hidden="1" xr:uid="{00000000-0005-0000-0000-0000110E0000}"/>
    <cellStyle name="Hyperlink 3" xfId="10904" hidden="1" xr:uid="{00000000-0005-0000-0000-0000120E0000}"/>
    <cellStyle name="Hyperlink 3" xfId="10943" hidden="1" xr:uid="{00000000-0005-0000-0000-0000130E0000}"/>
    <cellStyle name="Hyperlink 3" xfId="10925" hidden="1" xr:uid="{00000000-0005-0000-0000-0000140E0000}"/>
    <cellStyle name="Hyperlink 3" xfId="10947" hidden="1" xr:uid="{00000000-0005-0000-0000-0000150E0000}"/>
    <cellStyle name="Hyperlink 3" xfId="10927" hidden="1" xr:uid="{00000000-0005-0000-0000-0000160E0000}"/>
    <cellStyle name="Hyperlink 3" xfId="10954" hidden="1" xr:uid="{00000000-0005-0000-0000-0000170E0000}"/>
    <cellStyle name="Hyperlink 3" xfId="11067" hidden="1" xr:uid="{00000000-0005-0000-0000-0000180E0000}"/>
    <cellStyle name="Hyperlink 3" xfId="11073" hidden="1" xr:uid="{00000000-0005-0000-0000-0000190E0000}"/>
    <cellStyle name="Hyperlink 3" xfId="11066" hidden="1" xr:uid="{00000000-0005-0000-0000-00001A0E0000}"/>
    <cellStyle name="Hyperlink 3" xfId="11077" hidden="1" xr:uid="{00000000-0005-0000-0000-00001B0E0000}"/>
    <cellStyle name="Hyperlink 3" xfId="11065" hidden="1" xr:uid="{00000000-0005-0000-0000-00001C0E0000}"/>
    <cellStyle name="Hyperlink 3" xfId="11081" hidden="1" xr:uid="{00000000-0005-0000-0000-00001D0E0000}"/>
    <cellStyle name="Hyperlink 3" xfId="11071" hidden="1" xr:uid="{00000000-0005-0000-0000-00001E0E0000}"/>
    <cellStyle name="Hyperlink 3" xfId="11085" hidden="1" xr:uid="{00000000-0005-0000-0000-00001F0E0000}"/>
    <cellStyle name="Hyperlink 3" xfId="11072" hidden="1" xr:uid="{00000000-0005-0000-0000-0000200E0000}"/>
    <cellStyle name="Hyperlink 3" xfId="11089" xr:uid="{00000000-0005-0000-0000-0000210E0000}"/>
    <cellStyle name="Hyperlink 4" xfId="10921" hidden="1" xr:uid="{00000000-0005-0000-0000-0000220E0000}"/>
    <cellStyle name="Hyperlink 4" xfId="10934" hidden="1" xr:uid="{00000000-0005-0000-0000-0000230E0000}"/>
    <cellStyle name="Hyperlink 4" xfId="10939" hidden="1" xr:uid="{00000000-0005-0000-0000-0000240E0000}"/>
    <cellStyle name="Hyperlink 4" xfId="10944" hidden="1" xr:uid="{00000000-0005-0000-0000-0000250E0000}"/>
    <cellStyle name="Hyperlink 4" xfId="10948" hidden="1" xr:uid="{00000000-0005-0000-0000-0000260E0000}"/>
    <cellStyle name="Hyperlink 4" xfId="11068" hidden="1" xr:uid="{00000000-0005-0000-0000-0000270E0000}"/>
    <cellStyle name="Hyperlink 4" xfId="11074" hidden="1" xr:uid="{00000000-0005-0000-0000-0000280E0000}"/>
    <cellStyle name="Hyperlink 4" xfId="11078" hidden="1" xr:uid="{00000000-0005-0000-0000-0000290E0000}"/>
    <cellStyle name="Hyperlink 4" xfId="11082" hidden="1" xr:uid="{00000000-0005-0000-0000-00002A0E0000}"/>
    <cellStyle name="Hyperlink 4" xfId="11086" hidden="1" xr:uid="{00000000-0005-0000-0000-00002B0E0000}"/>
    <cellStyle name="Hyperlink 4" xfId="28108" xr:uid="{00000000-0005-0000-0000-00002C0E0000}"/>
    <cellStyle name="Hyperlink 5" xfId="10922" hidden="1" xr:uid="{00000000-0005-0000-0000-00002D0E0000}"/>
    <cellStyle name="Hyperlink 5" xfId="10935" hidden="1" xr:uid="{00000000-0005-0000-0000-00002E0E0000}"/>
    <cellStyle name="Hyperlink 5" xfId="10940" hidden="1" xr:uid="{00000000-0005-0000-0000-00002F0E0000}"/>
    <cellStyle name="Hyperlink 5" xfId="10945" hidden="1" xr:uid="{00000000-0005-0000-0000-0000300E0000}"/>
    <cellStyle name="Hyperlink 5" xfId="10949" hidden="1" xr:uid="{00000000-0005-0000-0000-0000310E0000}"/>
    <cellStyle name="Hyperlink 5" xfId="11069" hidden="1" xr:uid="{00000000-0005-0000-0000-0000320E0000}"/>
    <cellStyle name="Hyperlink 5" xfId="11075" hidden="1" xr:uid="{00000000-0005-0000-0000-0000330E0000}"/>
    <cellStyle name="Hyperlink 5" xfId="11079" hidden="1" xr:uid="{00000000-0005-0000-0000-0000340E0000}"/>
    <cellStyle name="Hyperlink 5" xfId="11083" hidden="1" xr:uid="{00000000-0005-0000-0000-0000350E0000}"/>
    <cellStyle name="Hyperlink 5" xfId="11087" hidden="1" xr:uid="{00000000-0005-0000-0000-0000360E0000}"/>
    <cellStyle name="Hyperlink 6" xfId="10923" hidden="1" xr:uid="{00000000-0005-0000-0000-0000370E0000}"/>
    <cellStyle name="Hyperlink 6" xfId="10936" hidden="1" xr:uid="{00000000-0005-0000-0000-0000380E0000}"/>
    <cellStyle name="Hyperlink 6" xfId="10942" hidden="1" xr:uid="{00000000-0005-0000-0000-0000390E0000}"/>
    <cellStyle name="Hyperlink 6" xfId="10946" hidden="1" xr:uid="{00000000-0005-0000-0000-00003A0E0000}"/>
    <cellStyle name="Hyperlink 6" xfId="10950" hidden="1" xr:uid="{00000000-0005-0000-0000-00003B0E0000}"/>
    <cellStyle name="Hyperlink 6" xfId="11070" hidden="1" xr:uid="{00000000-0005-0000-0000-00003C0E0000}"/>
    <cellStyle name="Hyperlink 6" xfId="11076" hidden="1" xr:uid="{00000000-0005-0000-0000-00003D0E0000}"/>
    <cellStyle name="Hyperlink 6" xfId="11080" hidden="1" xr:uid="{00000000-0005-0000-0000-00003E0E0000}"/>
    <cellStyle name="Hyperlink 6" xfId="11084" hidden="1" xr:uid="{00000000-0005-0000-0000-00003F0E0000}"/>
    <cellStyle name="Hyperlink 6" xfId="11088" hidden="1" xr:uid="{00000000-0005-0000-0000-0000400E0000}"/>
    <cellStyle name="Hyperlink seguido" xfId="1924" xr:uid="{00000000-0005-0000-0000-0000410E0000}"/>
    <cellStyle name="IDG&quot;5&quot;" xfId="218" xr:uid="{00000000-0005-0000-0000-0000420E0000}"/>
    <cellStyle name="IDG&quot;5&quot; 2" xfId="10421" xr:uid="{00000000-0005-0000-0000-0000430E0000}"/>
    <cellStyle name="IDG&quot;5&quot; 3" xfId="11121" xr:uid="{00000000-0005-0000-0000-0000440E0000}"/>
    <cellStyle name="IDG&quot;8&quot;" xfId="219" xr:uid="{00000000-0005-0000-0000-0000450E0000}"/>
    <cellStyle name="IDG&quot;8&quot; 2" xfId="10422" xr:uid="{00000000-0005-0000-0000-0000460E0000}"/>
    <cellStyle name="IDG&quot;8&quot; 3" xfId="11122" xr:uid="{00000000-0005-0000-0000-0000470E0000}"/>
    <cellStyle name="imput" xfId="1100" xr:uid="{00000000-0005-0000-0000-0000480E0000}"/>
    <cellStyle name="Incorrecto" xfId="1925" xr:uid="{00000000-0005-0000-0000-0000490E0000}"/>
    <cellStyle name="Incorreto" xfId="1926" xr:uid="{00000000-0005-0000-0000-00004A0E0000}"/>
    <cellStyle name="Information%" xfId="44" xr:uid="{00000000-0005-0000-0000-00004B0E0000}"/>
    <cellStyle name="Input" xfId="397" builtinId="20" customBuiltin="1"/>
    <cellStyle name="Input [yellow]" xfId="1927" xr:uid="{00000000-0005-0000-0000-00004D0E0000}"/>
    <cellStyle name="Input 10" xfId="11275" xr:uid="{00000000-0005-0000-0000-00004E0E0000}"/>
    <cellStyle name="Input 11" xfId="11290" xr:uid="{00000000-0005-0000-0000-00004F0E0000}"/>
    <cellStyle name="Input 12" xfId="11322" xr:uid="{00000000-0005-0000-0000-0000500E0000}"/>
    <cellStyle name="Input 13" xfId="11458" xr:uid="{00000000-0005-0000-0000-0000510E0000}"/>
    <cellStyle name="Input 14" xfId="11341" xr:uid="{00000000-0005-0000-0000-0000520E0000}"/>
    <cellStyle name="Input 15" xfId="11499" xr:uid="{00000000-0005-0000-0000-0000530E0000}"/>
    <cellStyle name="Input 16" xfId="11516" xr:uid="{00000000-0005-0000-0000-0000540E0000}"/>
    <cellStyle name="Input 17" xfId="11531" xr:uid="{00000000-0005-0000-0000-0000550E0000}"/>
    <cellStyle name="Input 18" xfId="11548" xr:uid="{00000000-0005-0000-0000-0000560E0000}"/>
    <cellStyle name="Input 19" xfId="11564" xr:uid="{00000000-0005-0000-0000-0000570E0000}"/>
    <cellStyle name="Input 2" xfId="220" xr:uid="{00000000-0005-0000-0000-0000580E0000}"/>
    <cellStyle name="Input 2 2" xfId="221" xr:uid="{00000000-0005-0000-0000-0000590E0000}"/>
    <cellStyle name="Input 2 2 2" xfId="1649" xr:uid="{00000000-0005-0000-0000-00005A0E0000}"/>
    <cellStyle name="Input 2 2 2 2" xfId="1692" xr:uid="{00000000-0005-0000-0000-00005B0E0000}"/>
    <cellStyle name="Input 2 2 2 3" xfId="1711" xr:uid="{00000000-0005-0000-0000-00005C0E0000}"/>
    <cellStyle name="Input 2 2 3" xfId="1671" xr:uid="{00000000-0005-0000-0000-00005D0E0000}"/>
    <cellStyle name="Input 2 2 4" xfId="11127" xr:uid="{00000000-0005-0000-0000-00005E0E0000}"/>
    <cellStyle name="Input 2 2 5" xfId="36235" xr:uid="{00000000-0005-0000-0000-00005F0E0000}"/>
    <cellStyle name="Input 2 2 6" xfId="36229" xr:uid="{00000000-0005-0000-0000-0000600E0000}"/>
    <cellStyle name="Input 2 3" xfId="1643" xr:uid="{00000000-0005-0000-0000-0000610E0000}"/>
    <cellStyle name="Input 2 3 2" xfId="1686" xr:uid="{00000000-0005-0000-0000-0000620E0000}"/>
    <cellStyle name="Input 2 3 3" xfId="1705" xr:uid="{00000000-0005-0000-0000-0000630E0000}"/>
    <cellStyle name="Input 2 4" xfId="1666" xr:uid="{00000000-0005-0000-0000-0000640E0000}"/>
    <cellStyle name="Input 2 5" xfId="11126" xr:uid="{00000000-0005-0000-0000-0000650E0000}"/>
    <cellStyle name="Input 2 6" xfId="36234" xr:uid="{00000000-0005-0000-0000-0000660E0000}"/>
    <cellStyle name="Input 2 7" xfId="36246" xr:uid="{00000000-0005-0000-0000-0000670E0000}"/>
    <cellStyle name="Input 20" xfId="11580" xr:uid="{00000000-0005-0000-0000-0000680E0000}"/>
    <cellStyle name="Input 21" xfId="11596" xr:uid="{00000000-0005-0000-0000-0000690E0000}"/>
    <cellStyle name="Input 22" xfId="11612" xr:uid="{00000000-0005-0000-0000-00006A0E0000}"/>
    <cellStyle name="Input 23" xfId="11627" xr:uid="{00000000-0005-0000-0000-00006B0E0000}"/>
    <cellStyle name="Input 24" xfId="11644" xr:uid="{00000000-0005-0000-0000-00006C0E0000}"/>
    <cellStyle name="Input 25" xfId="11659" xr:uid="{00000000-0005-0000-0000-00006D0E0000}"/>
    <cellStyle name="Input 26" xfId="11675" xr:uid="{00000000-0005-0000-0000-00006E0E0000}"/>
    <cellStyle name="Input 27" xfId="11689" xr:uid="{00000000-0005-0000-0000-00006F0E0000}"/>
    <cellStyle name="Input 28" xfId="11704" xr:uid="{00000000-0005-0000-0000-0000700E0000}"/>
    <cellStyle name="Input 29" xfId="11719" xr:uid="{00000000-0005-0000-0000-0000710E0000}"/>
    <cellStyle name="Input 3" xfId="1101" xr:uid="{00000000-0005-0000-0000-0000720E0000}"/>
    <cellStyle name="Input 3 2" xfId="1656" xr:uid="{00000000-0005-0000-0000-0000730E0000}"/>
    <cellStyle name="Input 3 2 2" xfId="1698" xr:uid="{00000000-0005-0000-0000-0000740E0000}"/>
    <cellStyle name="Input 3 2 3" xfId="1717" xr:uid="{00000000-0005-0000-0000-0000750E0000}"/>
    <cellStyle name="Input 3 3" xfId="1681" xr:uid="{00000000-0005-0000-0000-0000760E0000}"/>
    <cellStyle name="Input 3 4" xfId="1680" xr:uid="{00000000-0005-0000-0000-0000770E0000}"/>
    <cellStyle name="Input 3 5" xfId="11145" xr:uid="{00000000-0005-0000-0000-0000780E0000}"/>
    <cellStyle name="Input 3 6" xfId="36213" xr:uid="{00000000-0005-0000-0000-0000790E0000}"/>
    <cellStyle name="Input 30" xfId="11734" xr:uid="{00000000-0005-0000-0000-00007A0E0000}"/>
    <cellStyle name="Input 31" xfId="11749" xr:uid="{00000000-0005-0000-0000-00007B0E0000}"/>
    <cellStyle name="Input 32" xfId="11764" xr:uid="{00000000-0005-0000-0000-00007C0E0000}"/>
    <cellStyle name="Input 33" xfId="11781" xr:uid="{00000000-0005-0000-0000-00007D0E0000}"/>
    <cellStyle name="Input 34" xfId="19656" xr:uid="{00000000-0005-0000-0000-00007E0E0000}"/>
    <cellStyle name="Input 35" xfId="19673" xr:uid="{00000000-0005-0000-0000-00007F0E0000}"/>
    <cellStyle name="Input 36" xfId="19690" xr:uid="{00000000-0005-0000-0000-0000800E0000}"/>
    <cellStyle name="Input 37" xfId="19706" xr:uid="{00000000-0005-0000-0000-0000810E0000}"/>
    <cellStyle name="Input 38" xfId="19732" xr:uid="{00000000-0005-0000-0000-0000820E0000}"/>
    <cellStyle name="Input 39" xfId="19748" xr:uid="{00000000-0005-0000-0000-0000830E0000}"/>
    <cellStyle name="Input 4" xfId="11161" xr:uid="{00000000-0005-0000-0000-0000840E0000}"/>
    <cellStyle name="Input 40" xfId="19722" xr:uid="{00000000-0005-0000-0000-0000850E0000}"/>
    <cellStyle name="Input 41" xfId="19770" xr:uid="{00000000-0005-0000-0000-0000860E0000}"/>
    <cellStyle name="Input 42" xfId="19785" xr:uid="{00000000-0005-0000-0000-0000870E0000}"/>
    <cellStyle name="Input 43" xfId="19804" xr:uid="{00000000-0005-0000-0000-0000880E0000}"/>
    <cellStyle name="Input 44" xfId="19931" xr:uid="{00000000-0005-0000-0000-0000890E0000}"/>
    <cellStyle name="Input 45" xfId="19819" xr:uid="{00000000-0005-0000-0000-00008A0E0000}"/>
    <cellStyle name="Input 46" xfId="19969" xr:uid="{00000000-0005-0000-0000-00008B0E0000}"/>
    <cellStyle name="Input 47" xfId="19985" xr:uid="{00000000-0005-0000-0000-00008C0E0000}"/>
    <cellStyle name="Input 48" xfId="20000" xr:uid="{00000000-0005-0000-0000-00008D0E0000}"/>
    <cellStyle name="Input 49" xfId="20016" xr:uid="{00000000-0005-0000-0000-00008E0E0000}"/>
    <cellStyle name="Input 5" xfId="11189" xr:uid="{00000000-0005-0000-0000-00008F0E0000}"/>
    <cellStyle name="Input 50" xfId="20031" xr:uid="{00000000-0005-0000-0000-0000900E0000}"/>
    <cellStyle name="Input 51" xfId="20047" xr:uid="{00000000-0005-0000-0000-0000910E0000}"/>
    <cellStyle name="Input 52" xfId="20062" xr:uid="{00000000-0005-0000-0000-0000920E0000}"/>
    <cellStyle name="Input 53" xfId="20077" xr:uid="{00000000-0005-0000-0000-0000930E0000}"/>
    <cellStyle name="Input 54" xfId="20091" xr:uid="{00000000-0005-0000-0000-0000940E0000}"/>
    <cellStyle name="Input 55" xfId="20107" xr:uid="{00000000-0005-0000-0000-0000950E0000}"/>
    <cellStyle name="Input 56" xfId="20121" xr:uid="{00000000-0005-0000-0000-0000960E0000}"/>
    <cellStyle name="Input 57" xfId="20136" xr:uid="{00000000-0005-0000-0000-0000970E0000}"/>
    <cellStyle name="Input 58" xfId="20149" xr:uid="{00000000-0005-0000-0000-0000980E0000}"/>
    <cellStyle name="Input 59" xfId="20163" xr:uid="{00000000-0005-0000-0000-0000990E0000}"/>
    <cellStyle name="Input 6" xfId="11206" xr:uid="{00000000-0005-0000-0000-00009A0E0000}"/>
    <cellStyle name="Input 60" xfId="20178" xr:uid="{00000000-0005-0000-0000-00009B0E0000}"/>
    <cellStyle name="Input 61" xfId="20193" xr:uid="{00000000-0005-0000-0000-00009C0E0000}"/>
    <cellStyle name="Input 62" xfId="20209" xr:uid="{00000000-0005-0000-0000-00009D0E0000}"/>
    <cellStyle name="Input 63" xfId="20224" xr:uid="{00000000-0005-0000-0000-00009E0E0000}"/>
    <cellStyle name="Input 64" xfId="20241" xr:uid="{00000000-0005-0000-0000-00009F0E0000}"/>
    <cellStyle name="Input 7" xfId="11237" xr:uid="{00000000-0005-0000-0000-0000A00E0000}"/>
    <cellStyle name="Input 8" xfId="11253" xr:uid="{00000000-0005-0000-0000-0000A10E0000}"/>
    <cellStyle name="Input 9" xfId="11226" xr:uid="{00000000-0005-0000-0000-0000A20E0000}"/>
    <cellStyle name="Input Box" xfId="1928" xr:uid="{00000000-0005-0000-0000-0000A30E0000}"/>
    <cellStyle name="InputBlueFont" xfId="1102" xr:uid="{00000000-0005-0000-0000-0000A40E0000}"/>
    <cellStyle name="Integer" xfId="1929" xr:uid="{00000000-0005-0000-0000-0000A50E0000}"/>
    <cellStyle name="Invisible" xfId="45" xr:uid="{00000000-0005-0000-0000-0000A60E0000}"/>
    <cellStyle name="Invisible 2" xfId="440" xr:uid="{00000000-0005-0000-0000-0000A70E0000}"/>
    <cellStyle name="Invisible 3" xfId="1103" xr:uid="{00000000-0005-0000-0000-0000A80E0000}"/>
    <cellStyle name="Italic" xfId="1930" xr:uid="{00000000-0005-0000-0000-0000A90E0000}"/>
    <cellStyle name="Item" xfId="1931" xr:uid="{00000000-0005-0000-0000-0000AA0E0000}"/>
    <cellStyle name="ItemTypeClass" xfId="1932" xr:uid="{00000000-0005-0000-0000-0000AB0E0000}"/>
    <cellStyle name="ItemTypeClass 2" xfId="11101" xr:uid="{00000000-0005-0000-0000-0000AC0E0000}"/>
    <cellStyle name="jo[" xfId="1933" xr:uid="{00000000-0005-0000-0000-0000AD0E0000}"/>
    <cellStyle name="Line" xfId="1104" xr:uid="{00000000-0005-0000-0000-0000AE0E0000}"/>
    <cellStyle name="Linked Cell" xfId="400" builtinId="24" customBuiltin="1"/>
    <cellStyle name="Linked Cell 10" xfId="11272" xr:uid="{00000000-0005-0000-0000-0000B00E0000}"/>
    <cellStyle name="Linked Cell 11" xfId="11293" xr:uid="{00000000-0005-0000-0000-0000B10E0000}"/>
    <cellStyle name="Linked Cell 12" xfId="11325" xr:uid="{00000000-0005-0000-0000-0000B20E0000}"/>
    <cellStyle name="Linked Cell 13" xfId="11455" xr:uid="{00000000-0005-0000-0000-0000B30E0000}"/>
    <cellStyle name="Linked Cell 14" xfId="11344" xr:uid="{00000000-0005-0000-0000-0000B40E0000}"/>
    <cellStyle name="Linked Cell 15" xfId="11496" xr:uid="{00000000-0005-0000-0000-0000B50E0000}"/>
    <cellStyle name="Linked Cell 16" xfId="11513" xr:uid="{00000000-0005-0000-0000-0000B60E0000}"/>
    <cellStyle name="Linked Cell 17" xfId="11528" xr:uid="{00000000-0005-0000-0000-0000B70E0000}"/>
    <cellStyle name="Linked Cell 18" xfId="11545" xr:uid="{00000000-0005-0000-0000-0000B80E0000}"/>
    <cellStyle name="Linked Cell 19" xfId="11561" xr:uid="{00000000-0005-0000-0000-0000B90E0000}"/>
    <cellStyle name="Linked Cell 2" xfId="222" xr:uid="{00000000-0005-0000-0000-0000BA0E0000}"/>
    <cellStyle name="Linked Cell 2 2" xfId="223" xr:uid="{00000000-0005-0000-0000-0000BB0E0000}"/>
    <cellStyle name="Linked Cell 20" xfId="11577" xr:uid="{00000000-0005-0000-0000-0000BC0E0000}"/>
    <cellStyle name="Linked Cell 21" xfId="11593" xr:uid="{00000000-0005-0000-0000-0000BD0E0000}"/>
    <cellStyle name="Linked Cell 22" xfId="11609" xr:uid="{00000000-0005-0000-0000-0000BE0E0000}"/>
    <cellStyle name="Linked Cell 23" xfId="11624" xr:uid="{00000000-0005-0000-0000-0000BF0E0000}"/>
    <cellStyle name="Linked Cell 24" xfId="11641" xr:uid="{00000000-0005-0000-0000-0000C00E0000}"/>
    <cellStyle name="Linked Cell 25" xfId="11656" xr:uid="{00000000-0005-0000-0000-0000C10E0000}"/>
    <cellStyle name="Linked Cell 26" xfId="11672" xr:uid="{00000000-0005-0000-0000-0000C20E0000}"/>
    <cellStyle name="Linked Cell 27" xfId="11686" xr:uid="{00000000-0005-0000-0000-0000C30E0000}"/>
    <cellStyle name="Linked Cell 28" xfId="11701" xr:uid="{00000000-0005-0000-0000-0000C40E0000}"/>
    <cellStyle name="Linked Cell 29" xfId="11716" xr:uid="{00000000-0005-0000-0000-0000C50E0000}"/>
    <cellStyle name="Linked Cell 3" xfId="1105" xr:uid="{00000000-0005-0000-0000-0000C60E0000}"/>
    <cellStyle name="Linked Cell 3 2" xfId="11148" xr:uid="{00000000-0005-0000-0000-0000C70E0000}"/>
    <cellStyle name="Linked Cell 30" xfId="11731" xr:uid="{00000000-0005-0000-0000-0000C80E0000}"/>
    <cellStyle name="Linked Cell 31" xfId="11746" xr:uid="{00000000-0005-0000-0000-0000C90E0000}"/>
    <cellStyle name="Linked Cell 32" xfId="11761" xr:uid="{00000000-0005-0000-0000-0000CA0E0000}"/>
    <cellStyle name="Linked Cell 33" xfId="11778" xr:uid="{00000000-0005-0000-0000-0000CB0E0000}"/>
    <cellStyle name="Linked Cell 34" xfId="19659" xr:uid="{00000000-0005-0000-0000-0000CC0E0000}"/>
    <cellStyle name="Linked Cell 35" xfId="19676" xr:uid="{00000000-0005-0000-0000-0000CD0E0000}"/>
    <cellStyle name="Linked Cell 36" xfId="19687" xr:uid="{00000000-0005-0000-0000-0000CE0E0000}"/>
    <cellStyle name="Linked Cell 37" xfId="19709" xr:uid="{00000000-0005-0000-0000-0000CF0E0000}"/>
    <cellStyle name="Linked Cell 38" xfId="19729" xr:uid="{00000000-0005-0000-0000-0000D00E0000}"/>
    <cellStyle name="Linked Cell 39" xfId="19745" xr:uid="{00000000-0005-0000-0000-0000D10E0000}"/>
    <cellStyle name="Linked Cell 4" xfId="11164" xr:uid="{00000000-0005-0000-0000-0000D20E0000}"/>
    <cellStyle name="Linked Cell 40" xfId="19698" xr:uid="{00000000-0005-0000-0000-0000D30E0000}"/>
    <cellStyle name="Linked Cell 41" xfId="19767" xr:uid="{00000000-0005-0000-0000-0000D40E0000}"/>
    <cellStyle name="Linked Cell 42" xfId="19788" xr:uid="{00000000-0005-0000-0000-0000D50E0000}"/>
    <cellStyle name="Linked Cell 43" xfId="19807" xr:uid="{00000000-0005-0000-0000-0000D60E0000}"/>
    <cellStyle name="Linked Cell 44" xfId="19928" xr:uid="{00000000-0005-0000-0000-0000D70E0000}"/>
    <cellStyle name="Linked Cell 45" xfId="19822" xr:uid="{00000000-0005-0000-0000-0000D80E0000}"/>
    <cellStyle name="Linked Cell 46" xfId="19966" xr:uid="{00000000-0005-0000-0000-0000D90E0000}"/>
    <cellStyle name="Linked Cell 47" xfId="19982" xr:uid="{00000000-0005-0000-0000-0000DA0E0000}"/>
    <cellStyle name="Linked Cell 48" xfId="19997" xr:uid="{00000000-0005-0000-0000-0000DB0E0000}"/>
    <cellStyle name="Linked Cell 49" xfId="20013" xr:uid="{00000000-0005-0000-0000-0000DC0E0000}"/>
    <cellStyle name="Linked Cell 5" xfId="11186" xr:uid="{00000000-0005-0000-0000-0000DD0E0000}"/>
    <cellStyle name="Linked Cell 50" xfId="20028" xr:uid="{00000000-0005-0000-0000-0000DE0E0000}"/>
    <cellStyle name="Linked Cell 51" xfId="20044" xr:uid="{00000000-0005-0000-0000-0000DF0E0000}"/>
    <cellStyle name="Linked Cell 52" xfId="20059" xr:uid="{00000000-0005-0000-0000-0000E00E0000}"/>
    <cellStyle name="Linked Cell 53" xfId="20074" xr:uid="{00000000-0005-0000-0000-0000E10E0000}"/>
    <cellStyle name="Linked Cell 54" xfId="20088" xr:uid="{00000000-0005-0000-0000-0000E20E0000}"/>
    <cellStyle name="Linked Cell 55" xfId="20104" xr:uid="{00000000-0005-0000-0000-0000E30E0000}"/>
    <cellStyle name="Linked Cell 56" xfId="20118" xr:uid="{00000000-0005-0000-0000-0000E40E0000}"/>
    <cellStyle name="Linked Cell 57" xfId="20133" xr:uid="{00000000-0005-0000-0000-0000E50E0000}"/>
    <cellStyle name="Linked Cell 58" xfId="20146" xr:uid="{00000000-0005-0000-0000-0000E60E0000}"/>
    <cellStyle name="Linked Cell 59" xfId="20160" xr:uid="{00000000-0005-0000-0000-0000E70E0000}"/>
    <cellStyle name="Linked Cell 6" xfId="11209" xr:uid="{00000000-0005-0000-0000-0000E80E0000}"/>
    <cellStyle name="Linked Cell 60" xfId="20175" xr:uid="{00000000-0005-0000-0000-0000E90E0000}"/>
    <cellStyle name="Linked Cell 61" xfId="20190" xr:uid="{00000000-0005-0000-0000-0000EA0E0000}"/>
    <cellStyle name="Linked Cell 62" xfId="20206" xr:uid="{00000000-0005-0000-0000-0000EB0E0000}"/>
    <cellStyle name="Linked Cell 63" xfId="20221" xr:uid="{00000000-0005-0000-0000-0000EC0E0000}"/>
    <cellStyle name="Linked Cell 64" xfId="20238" xr:uid="{00000000-0005-0000-0000-0000ED0E0000}"/>
    <cellStyle name="Linked Cell 7" xfId="11234" xr:uid="{00000000-0005-0000-0000-0000EE0E0000}"/>
    <cellStyle name="Linked Cell 8" xfId="11250" xr:uid="{00000000-0005-0000-0000-0000EF0E0000}"/>
    <cellStyle name="Linked Cell 9" xfId="11198" xr:uid="{00000000-0005-0000-0000-0000F00E0000}"/>
    <cellStyle name="locked" xfId="1106" xr:uid="{00000000-0005-0000-0000-0000F10E0000}"/>
    <cellStyle name="m" xfId="1107" xr:uid="{00000000-0005-0000-0000-0000F20E0000}"/>
    <cellStyle name="m$" xfId="1108" xr:uid="{00000000-0005-0000-0000-0000F30E0000}"/>
    <cellStyle name="m&amp;a" xfId="1109" xr:uid="{00000000-0005-0000-0000-0000F40E0000}"/>
    <cellStyle name="M/D" xfId="224" xr:uid="{00000000-0005-0000-0000-0000F50E0000}"/>
    <cellStyle name="M/D 2" xfId="225" xr:uid="{00000000-0005-0000-0000-0000F60E0000}"/>
    <cellStyle name="M/D 2 2" xfId="226" xr:uid="{00000000-0005-0000-0000-0000F70E0000}"/>
    <cellStyle name="M/D 3" xfId="227" xr:uid="{00000000-0005-0000-0000-0000F80E0000}"/>
    <cellStyle name="m_AVP" xfId="1110" xr:uid="{00000000-0005-0000-0000-0000F90E0000}"/>
    <cellStyle name="m_AVP_LANCE_Model_v0.6.DCF.MASTER.Name" xfId="1111" xr:uid="{00000000-0005-0000-0000-0000FA0E0000}"/>
    <cellStyle name="m_AVP_LANCE_Model_v0.6.DCF.MASTER.Name_DCF &amp; Raios to CLX Tootsie_v1.33.xls" xfId="1112" xr:uid="{00000000-0005-0000-0000-0000FB0E0000}"/>
    <cellStyle name="m_AVP_LANCE_Model_v0.6.DCF.MASTER.Name_Tootsie_TWO_DAY_TTS_Solution_v1.34" xfId="1113" xr:uid="{00000000-0005-0000-0000-0000FC0E0000}"/>
    <cellStyle name="m_AVP_LANCE_Model_v0.6.DCF.MASTER.Name_Val_1_Book_Lecture_Notes_v3.06" xfId="1114" xr:uid="{00000000-0005-0000-0000-0000FD0E0000}"/>
    <cellStyle name="m_Disc Analysis" xfId="1115" xr:uid="{00000000-0005-0000-0000-0000FE0E0000}"/>
    <cellStyle name="m_Disc Analysis_LANCE_Model_v0.6.DCF.MASTER.Name" xfId="1116" xr:uid="{00000000-0005-0000-0000-0000FF0E0000}"/>
    <cellStyle name="m_Disc Analysis_LANCE_Model_v0.6.DCF.MASTER.Name_DCF &amp; Raios to CLX Tootsie_v1.33.xls" xfId="1117" xr:uid="{00000000-0005-0000-0000-0000000F0000}"/>
    <cellStyle name="m_Disc Analysis_LANCE_Model_v0.6.DCF.MASTER.Name_Tootsie_TWO_DAY_TTS_Solution_v1.34" xfId="1118" xr:uid="{00000000-0005-0000-0000-0000010F0000}"/>
    <cellStyle name="m_Disc Analysis_LANCE_Model_v0.6.DCF.MASTER.Name_Val_1_Book_Lecture_Notes_v3.06" xfId="1119" xr:uid="{00000000-0005-0000-0000-0000020F0000}"/>
    <cellStyle name="m_LANCE_Model_v0.6.DCF.MASTER.Name" xfId="1120" xr:uid="{00000000-0005-0000-0000-0000030F0000}"/>
    <cellStyle name="m_LANCE_Model_v0.6.DCF.MASTER.Name_DCF &amp; Raios to CLX Tootsie_v1.33.xls" xfId="1121" xr:uid="{00000000-0005-0000-0000-0000040F0000}"/>
    <cellStyle name="m_LANCE_Model_v0.6.DCF.MASTER.Name_Tootsie_TWO_DAY_TTS_Solution_v1.34" xfId="1122" xr:uid="{00000000-0005-0000-0000-0000050F0000}"/>
    <cellStyle name="m_LANCE_Model_v0.6.DCF.MASTER.Name_Val_1_Book_Lecture_Notes_v3.06" xfId="1123" xr:uid="{00000000-0005-0000-0000-0000060F0000}"/>
    <cellStyle name="m_LP Chart" xfId="1124" xr:uid="{00000000-0005-0000-0000-0000070F0000}"/>
    <cellStyle name="m_LP Chart_LANCE_Model_v0.6.DCF.MASTER.Name" xfId="1125" xr:uid="{00000000-0005-0000-0000-0000080F0000}"/>
    <cellStyle name="m_LP Chart_LANCE_Model_v0.6.DCF.MASTER.Name_DCF &amp; Raios to CLX Tootsie_v1.33.xls" xfId="1126" xr:uid="{00000000-0005-0000-0000-0000090F0000}"/>
    <cellStyle name="m_LP Chart_LANCE_Model_v0.6.DCF.MASTER.Name_Tootsie_TWO_DAY_TTS_Solution_v1.34" xfId="1127" xr:uid="{00000000-0005-0000-0000-00000A0F0000}"/>
    <cellStyle name="m_LP Chart_LANCE_Model_v0.6.DCF.MASTER.Name_Val_1_Book_Lecture_Notes_v3.06" xfId="1128" xr:uid="{00000000-0005-0000-0000-00000B0F0000}"/>
    <cellStyle name="m_Merg Cons" xfId="1129" xr:uid="{00000000-0005-0000-0000-00000C0F0000}"/>
    <cellStyle name="m_Merg Cons_LANCE_Model_v0.6.DCF.MASTER.Name" xfId="1130" xr:uid="{00000000-0005-0000-0000-00000D0F0000}"/>
    <cellStyle name="m_Merg Cons_LANCE_Model_v0.6.DCF.MASTER.Name_DCF &amp; Raios to CLX Tootsie_v1.33.xls" xfId="1131" xr:uid="{00000000-0005-0000-0000-00000E0F0000}"/>
    <cellStyle name="m_Merg Cons_LANCE_Model_v0.6.DCF.MASTER.Name_Tootsie_TWO_DAY_TTS_Solution_v1.34" xfId="1132" xr:uid="{00000000-0005-0000-0000-00000F0F0000}"/>
    <cellStyle name="m_Merg Cons_LANCE_Model_v0.6.DCF.MASTER.Name_Val_1_Book_Lecture_Notes_v3.06" xfId="1133" xr:uid="{00000000-0005-0000-0000-0000100F0000}"/>
    <cellStyle name="m_Proj10" xfId="1134" xr:uid="{00000000-0005-0000-0000-0000110F0000}"/>
    <cellStyle name="m_Proj10_AVP" xfId="1135" xr:uid="{00000000-0005-0000-0000-0000120F0000}"/>
    <cellStyle name="m_Proj10_AVP_LANCE_Model_v0.6.DCF.MASTER.Name" xfId="1136" xr:uid="{00000000-0005-0000-0000-0000130F0000}"/>
    <cellStyle name="m_Proj10_AVP_LANCE_Model_v0.6.DCF.MASTER.Name_DCF &amp; Raios to CLX Tootsie_v1.33.xls" xfId="1137" xr:uid="{00000000-0005-0000-0000-0000140F0000}"/>
    <cellStyle name="m_Proj10_AVP_LANCE_Model_v0.6.DCF.MASTER.Name_Tootsie_TWO_DAY_TTS_Solution_v1.34" xfId="1138" xr:uid="{00000000-0005-0000-0000-0000150F0000}"/>
    <cellStyle name="m_Proj10_AVP_LANCE_Model_v0.6.DCF.MASTER.Name_Val_1_Book_Lecture_Notes_v3.06" xfId="1139" xr:uid="{00000000-0005-0000-0000-0000160F0000}"/>
    <cellStyle name="m_Proj10_Disc Analysis" xfId="1140" xr:uid="{00000000-0005-0000-0000-0000170F0000}"/>
    <cellStyle name="m_Proj10_Disc Analysis_LANCE_Model_v0.6.DCF.MASTER.Name" xfId="1141" xr:uid="{00000000-0005-0000-0000-0000180F0000}"/>
    <cellStyle name="m_Proj10_Disc Analysis_LANCE_Model_v0.6.DCF.MASTER.Name_DCF &amp; Raios to CLX Tootsie_v1.33.xls" xfId="1142" xr:uid="{00000000-0005-0000-0000-0000190F0000}"/>
    <cellStyle name="m_Proj10_Disc Analysis_LANCE_Model_v0.6.DCF.MASTER.Name_Tootsie_TWO_DAY_TTS_Solution_v1.34" xfId="1143" xr:uid="{00000000-0005-0000-0000-00001A0F0000}"/>
    <cellStyle name="m_Proj10_Disc Analysis_LANCE_Model_v0.6.DCF.MASTER.Name_Val_1_Book_Lecture_Notes_v3.06" xfId="1144" xr:uid="{00000000-0005-0000-0000-00001B0F0000}"/>
    <cellStyle name="m_Proj10_LANCE_Model_v0.6.DCF.MASTER.Name" xfId="1145" xr:uid="{00000000-0005-0000-0000-00001C0F0000}"/>
    <cellStyle name="m_Proj10_LANCE_Model_v0.6.DCF.MASTER.Name_DCF &amp; Raios to CLX Tootsie_v1.33.xls" xfId="1146" xr:uid="{00000000-0005-0000-0000-00001D0F0000}"/>
    <cellStyle name="m_Proj10_LANCE_Model_v0.6.DCF.MASTER.Name_Tootsie_TWO_DAY_TTS_Solution_v1.34" xfId="1147" xr:uid="{00000000-0005-0000-0000-00001E0F0000}"/>
    <cellStyle name="m_Proj10_LANCE_Model_v0.6.DCF.MASTER.Name_Val_1_Book_Lecture_Notes_v3.06" xfId="1148" xr:uid="{00000000-0005-0000-0000-00001F0F0000}"/>
    <cellStyle name="m_Proj10_LP Chart" xfId="1149" xr:uid="{00000000-0005-0000-0000-0000200F0000}"/>
    <cellStyle name="m_Proj10_LP Chart_LANCE_Model_v0.6.DCF.MASTER.Name" xfId="1150" xr:uid="{00000000-0005-0000-0000-0000210F0000}"/>
    <cellStyle name="m_Proj10_LP Chart_LANCE_Model_v0.6.DCF.MASTER.Name_DCF &amp; Raios to CLX Tootsie_v1.33.xls" xfId="1151" xr:uid="{00000000-0005-0000-0000-0000220F0000}"/>
    <cellStyle name="m_Proj10_LP Chart_LANCE_Model_v0.6.DCF.MASTER.Name_Tootsie_TWO_DAY_TTS_Solution_v1.34" xfId="1152" xr:uid="{00000000-0005-0000-0000-0000230F0000}"/>
    <cellStyle name="m_Proj10_LP Chart_LANCE_Model_v0.6.DCF.MASTER.Name_Val_1_Book_Lecture_Notes_v3.06" xfId="1153" xr:uid="{00000000-0005-0000-0000-0000240F0000}"/>
    <cellStyle name="m_Proj10_Merg Cons" xfId="1154" xr:uid="{00000000-0005-0000-0000-0000250F0000}"/>
    <cellStyle name="m_Proj10_Merg Cons_LANCE_Model_v0.6.DCF.MASTER.Name" xfId="1155" xr:uid="{00000000-0005-0000-0000-0000260F0000}"/>
    <cellStyle name="m_Proj10_Merg Cons_LANCE_Model_v0.6.DCF.MASTER.Name_DCF &amp; Raios to CLX Tootsie_v1.33.xls" xfId="1156" xr:uid="{00000000-0005-0000-0000-0000270F0000}"/>
    <cellStyle name="m_Proj10_Merg Cons_LANCE_Model_v0.6.DCF.MASTER.Name_Tootsie_TWO_DAY_TTS_Solution_v1.34" xfId="1157" xr:uid="{00000000-0005-0000-0000-0000280F0000}"/>
    <cellStyle name="m_Proj10_Merg Cons_LANCE_Model_v0.6.DCF.MASTER.Name_Val_1_Book_Lecture_Notes_v3.06" xfId="1158" xr:uid="{00000000-0005-0000-0000-0000290F0000}"/>
    <cellStyle name="m_Proj10_Sensitivity" xfId="1159" xr:uid="{00000000-0005-0000-0000-00002A0F0000}"/>
    <cellStyle name="m_Proj10_Sensitivity_LANCE_Model_v0.6.DCF.MASTER.Name" xfId="1160" xr:uid="{00000000-0005-0000-0000-00002B0F0000}"/>
    <cellStyle name="m_Proj10_Sensitivity_LANCE_Model_v0.6.DCF.MASTER.Name_DCF &amp; Raios to CLX Tootsie_v1.33.xls" xfId="1161" xr:uid="{00000000-0005-0000-0000-00002C0F0000}"/>
    <cellStyle name="m_Proj10_Sensitivity_LANCE_Model_v0.6.DCF.MASTER.Name_Tootsie_TWO_DAY_TTS_Solution_v1.34" xfId="1162" xr:uid="{00000000-0005-0000-0000-00002D0F0000}"/>
    <cellStyle name="m_Proj10_Sensitivity_LANCE_Model_v0.6.DCF.MASTER.Name_Val_1_Book_Lecture_Notes_v3.06" xfId="1163" xr:uid="{00000000-0005-0000-0000-00002E0F0000}"/>
    <cellStyle name="m_Proj10_show-hold" xfId="1164" xr:uid="{00000000-0005-0000-0000-00002F0F0000}"/>
    <cellStyle name="m_Proj10_show-hold_LANCE_Model_v0.6.DCF.MASTER.Name" xfId="1165" xr:uid="{00000000-0005-0000-0000-0000300F0000}"/>
    <cellStyle name="m_Proj10_show-hold_LANCE_Model_v0.6.DCF.MASTER.Name_DCF &amp; Raios to CLX Tootsie_v1.33.xls" xfId="1166" xr:uid="{00000000-0005-0000-0000-0000310F0000}"/>
    <cellStyle name="m_Proj10_show-hold_LANCE_Model_v0.6.DCF.MASTER.Name_Tootsie_TWO_DAY_TTS_Solution_v1.34" xfId="1167" xr:uid="{00000000-0005-0000-0000-0000320F0000}"/>
    <cellStyle name="m_Proj10_show-hold_LANCE_Model_v0.6.DCF.MASTER.Name_Val_1_Book_Lecture_Notes_v3.06" xfId="1168" xr:uid="{00000000-0005-0000-0000-0000330F0000}"/>
    <cellStyle name="m_Proj10_WACC-CableCar" xfId="1169" xr:uid="{00000000-0005-0000-0000-0000340F0000}"/>
    <cellStyle name="m_Proj10_WACC-CableCar_LANCE_Model_v0.6.DCF.MASTER.Name" xfId="1170" xr:uid="{00000000-0005-0000-0000-0000350F0000}"/>
    <cellStyle name="m_Proj10_WACC-CableCar_LANCE_Model_v0.6.DCF.MASTER.Name_DCF &amp; Raios to CLX Tootsie_v1.33.xls" xfId="1171" xr:uid="{00000000-0005-0000-0000-0000360F0000}"/>
    <cellStyle name="m_Proj10_WACC-CableCar_LANCE_Model_v0.6.DCF.MASTER.Name_Tootsie_TWO_DAY_TTS_Solution_v1.34" xfId="1172" xr:uid="{00000000-0005-0000-0000-0000370F0000}"/>
    <cellStyle name="m_Proj10_WACC-RAD (2)" xfId="1173" xr:uid="{00000000-0005-0000-0000-0000380F0000}"/>
    <cellStyle name="m_Proj10_WACC-RAD (2)_LANCE_Model_v0.6.DCF.MASTER.Name" xfId="1174" xr:uid="{00000000-0005-0000-0000-0000390F0000}"/>
    <cellStyle name="m_Proj10_WACC-RAD (2)_LANCE_Model_v0.6.DCF.MASTER.Name_DCF &amp; Raios to CLX Tootsie_v1.33.xls" xfId="1175" xr:uid="{00000000-0005-0000-0000-00003A0F0000}"/>
    <cellStyle name="m_Proj10_WACC-RAD (2)_LANCE_Model_v0.6.DCF.MASTER.Name_Tootsie_TWO_DAY_TTS_Solution_v1.34" xfId="1176" xr:uid="{00000000-0005-0000-0000-00003B0F0000}"/>
    <cellStyle name="m_Proj10_WACC-RAD (2)_LANCE_Model_v0.6.DCF.MASTER.Name_Val_1_Book_Lecture_Notes_v3.06" xfId="1177" xr:uid="{00000000-0005-0000-0000-00003C0F0000}"/>
    <cellStyle name="m_Sensitivity" xfId="1178" xr:uid="{00000000-0005-0000-0000-00003D0F0000}"/>
    <cellStyle name="m_Sensitivity_LANCE_Model_v0.6.DCF.MASTER.Name" xfId="1179" xr:uid="{00000000-0005-0000-0000-00003E0F0000}"/>
    <cellStyle name="m_Sensitivity_LANCE_Model_v0.6.DCF.MASTER.Name_DCF &amp; Raios to CLX Tootsie_v1.33.xls" xfId="1180" xr:uid="{00000000-0005-0000-0000-00003F0F0000}"/>
    <cellStyle name="m_Sensitivity_LANCE_Model_v0.6.DCF.MASTER.Name_Tootsie_TWO_DAY_TTS_Solution_v1.34" xfId="1181" xr:uid="{00000000-0005-0000-0000-0000400F0000}"/>
    <cellStyle name="m_Sensitivity_LANCE_Model_v0.6.DCF.MASTER.Name_Val_1_Book_Lecture_Notes_v3.06" xfId="1182" xr:uid="{00000000-0005-0000-0000-0000410F0000}"/>
    <cellStyle name="m_show-hold" xfId="1183" xr:uid="{00000000-0005-0000-0000-0000420F0000}"/>
    <cellStyle name="m_show-hold_LANCE_Model_v0.6.DCF.MASTER.Name" xfId="1184" xr:uid="{00000000-0005-0000-0000-0000430F0000}"/>
    <cellStyle name="m_show-hold_LANCE_Model_v0.6.DCF.MASTER.Name_DCF &amp; Raios to CLX Tootsie_v1.33.xls" xfId="1185" xr:uid="{00000000-0005-0000-0000-0000440F0000}"/>
    <cellStyle name="m_show-hold_LANCE_Model_v0.6.DCF.MASTER.Name_Tootsie_TWO_DAY_TTS_Solution_v1.34" xfId="1186" xr:uid="{00000000-0005-0000-0000-0000450F0000}"/>
    <cellStyle name="m_show-hold_LANCE_Model_v0.6.DCF.MASTER.Name_Val_1_Book_Lecture_Notes_v3.06" xfId="1187" xr:uid="{00000000-0005-0000-0000-0000460F0000}"/>
    <cellStyle name="m_WACC-CableCar" xfId="1188" xr:uid="{00000000-0005-0000-0000-0000470F0000}"/>
    <cellStyle name="m_WACC-CableCar_LANCE_Model_v0.6.DCF.MASTER.Name" xfId="1189" xr:uid="{00000000-0005-0000-0000-0000480F0000}"/>
    <cellStyle name="m_WACC-CableCar_LANCE_Model_v0.6.DCF.MASTER.Name_DCF &amp; Raios to CLX Tootsie_v1.33.xls" xfId="1190" xr:uid="{00000000-0005-0000-0000-0000490F0000}"/>
    <cellStyle name="m_WACC-CableCar_LANCE_Model_v0.6.DCF.MASTER.Name_Tootsie_TWO_DAY_TTS_Solution_v1.34" xfId="1191" xr:uid="{00000000-0005-0000-0000-00004A0F0000}"/>
    <cellStyle name="m_WACC-RAD (2)" xfId="1192" xr:uid="{00000000-0005-0000-0000-00004B0F0000}"/>
    <cellStyle name="m_WACC-RAD (2)_LANCE_Model_v0.6.DCF.MASTER.Name" xfId="1193" xr:uid="{00000000-0005-0000-0000-00004C0F0000}"/>
    <cellStyle name="m_WACC-RAD (2)_LANCE_Model_v0.6.DCF.MASTER.Name_DCF &amp; Raios to CLX Tootsie_v1.33.xls" xfId="1194" xr:uid="{00000000-0005-0000-0000-00004D0F0000}"/>
    <cellStyle name="m_WACC-RAD (2)_LANCE_Model_v0.6.DCF.MASTER.Name_Tootsie_TWO_DAY_TTS_Solution_v1.34" xfId="1195" xr:uid="{00000000-0005-0000-0000-00004E0F0000}"/>
    <cellStyle name="m_WACC-RAD (2)_LANCE_Model_v0.6.DCF.MASTER.Name_Val_1_Book_Lecture_Notes_v3.06" xfId="1196" xr:uid="{00000000-0005-0000-0000-00004F0F0000}"/>
    <cellStyle name="Map Labels" xfId="1197" xr:uid="{00000000-0005-0000-0000-0000500F0000}"/>
    <cellStyle name="Map Legend" xfId="1198" xr:uid="{00000000-0005-0000-0000-0000510F0000}"/>
    <cellStyle name="Merrill" xfId="1199" xr:uid="{00000000-0005-0000-0000-0000520F0000}"/>
    <cellStyle name="Millares [0]_19 02 01" xfId="1934" xr:uid="{00000000-0005-0000-0000-0000530F0000}"/>
    <cellStyle name="Millares [2]" xfId="1935" xr:uid="{00000000-0005-0000-0000-0000540F0000}"/>
    <cellStyle name="Millares_19 02 01" xfId="1936" xr:uid="{00000000-0005-0000-0000-0000550F0000}"/>
    <cellStyle name="Mix" xfId="1200" xr:uid="{00000000-0005-0000-0000-0000560F0000}"/>
    <cellStyle name="mm" xfId="1201" xr:uid="{00000000-0005-0000-0000-0000570F0000}"/>
    <cellStyle name="MM/DD" xfId="228" xr:uid="{00000000-0005-0000-0000-0000580F0000}"/>
    <cellStyle name="MM/DD 2" xfId="229" xr:uid="{00000000-0005-0000-0000-0000590F0000}"/>
    <cellStyle name="MM/DD 2 2" xfId="230" xr:uid="{00000000-0005-0000-0000-00005A0F0000}"/>
    <cellStyle name="MM/DD 3" xfId="231" xr:uid="{00000000-0005-0000-0000-00005B0F0000}"/>
    <cellStyle name="mm/dd/yy" xfId="1937" xr:uid="{00000000-0005-0000-0000-00005C0F0000}"/>
    <cellStyle name="mm/dd/yy 2" xfId="1995" xr:uid="{00000000-0005-0000-0000-00005D0F0000}"/>
    <cellStyle name="mm/dd/yy 2 2" xfId="11178" xr:uid="{00000000-0005-0000-0000-00005E0F0000}"/>
    <cellStyle name="mm/dd/yy 3" xfId="2066" xr:uid="{00000000-0005-0000-0000-00005F0F0000}"/>
    <cellStyle name="mm/dd/yy 3 2" xfId="11426" xr:uid="{00000000-0005-0000-0000-0000600F0000}"/>
    <cellStyle name="MM/YY" xfId="232" xr:uid="{00000000-0005-0000-0000-0000610F0000}"/>
    <cellStyle name="MM/YY 2" xfId="233" xr:uid="{00000000-0005-0000-0000-0000620F0000}"/>
    <cellStyle name="MM/YY 2 2" xfId="234" xr:uid="{00000000-0005-0000-0000-0000630F0000}"/>
    <cellStyle name="MM/YY 3" xfId="235" xr:uid="{00000000-0005-0000-0000-0000640F0000}"/>
    <cellStyle name="MMM 'YY" xfId="236" xr:uid="{00000000-0005-0000-0000-0000650F0000}"/>
    <cellStyle name="MMM 'YY 2" xfId="237" xr:uid="{00000000-0005-0000-0000-0000660F0000}"/>
    <cellStyle name="MMM 'YY 2 2" xfId="238" xr:uid="{00000000-0005-0000-0000-0000670F0000}"/>
    <cellStyle name="MMM 'YY 3" xfId="239" xr:uid="{00000000-0005-0000-0000-0000680F0000}"/>
    <cellStyle name="Moeda [0]_alocação por fontes" xfId="1938" xr:uid="{00000000-0005-0000-0000-0000690F0000}"/>
    <cellStyle name="Moeda_alocação por fontes" xfId="1939" xr:uid="{00000000-0005-0000-0000-00006A0F0000}"/>
    <cellStyle name="Moneda [0]_19 02 01" xfId="1940" xr:uid="{00000000-0005-0000-0000-00006B0F0000}"/>
    <cellStyle name="Moneda_19 02 01" xfId="1941" xr:uid="{00000000-0005-0000-0000-00006C0F0000}"/>
    <cellStyle name="mult" xfId="1202" xr:uid="{00000000-0005-0000-0000-00006D0F0000}"/>
    <cellStyle name="Multiple" xfId="1203" xr:uid="{00000000-0005-0000-0000-00006E0F0000}"/>
    <cellStyle name="Multiple []" xfId="1204" xr:uid="{00000000-0005-0000-0000-00006F0F0000}"/>
    <cellStyle name="Multiple [0]" xfId="1205" xr:uid="{00000000-0005-0000-0000-0000700F0000}"/>
    <cellStyle name="Multiple [0] []" xfId="1206" xr:uid="{00000000-0005-0000-0000-0000710F0000}"/>
    <cellStyle name="Multiple [0]_LANCE_Model_v0.6.DCF.MASTER.Name" xfId="1207" xr:uid="{00000000-0005-0000-0000-0000720F0000}"/>
    <cellStyle name="Multiple [1]" xfId="1208" xr:uid="{00000000-0005-0000-0000-0000730F0000}"/>
    <cellStyle name="Multiple [1] []" xfId="1209" xr:uid="{00000000-0005-0000-0000-0000740F0000}"/>
    <cellStyle name="Multiple [1]_LANCE_Model_v0.6.DCF.MASTER.Name" xfId="1210" xr:uid="{00000000-0005-0000-0000-0000750F0000}"/>
    <cellStyle name="Multiple_CapitalSum" xfId="1211" xr:uid="{00000000-0005-0000-0000-0000760F0000}"/>
    <cellStyle name="M-W" xfId="240" xr:uid="{00000000-0005-0000-0000-0000770F0000}"/>
    <cellStyle name="M-W 2" xfId="10423" xr:uid="{00000000-0005-0000-0000-0000780F0000}"/>
    <cellStyle name="M-W 3" xfId="11123" xr:uid="{00000000-0005-0000-0000-0000790F0000}"/>
    <cellStyle name="Neutra" xfId="1942" xr:uid="{00000000-0005-0000-0000-00007A0F0000}"/>
    <cellStyle name="Neutral" xfId="396" builtinId="28" customBuiltin="1"/>
    <cellStyle name="Neutral 10" xfId="11276" xr:uid="{00000000-0005-0000-0000-00007C0F0000}"/>
    <cellStyle name="Neutral 11" xfId="11289" xr:uid="{00000000-0005-0000-0000-00007D0F0000}"/>
    <cellStyle name="Neutral 12" xfId="11321" xr:uid="{00000000-0005-0000-0000-00007E0F0000}"/>
    <cellStyle name="Neutral 13" xfId="11459" xr:uid="{00000000-0005-0000-0000-00007F0F0000}"/>
    <cellStyle name="Neutral 14" xfId="11340" xr:uid="{00000000-0005-0000-0000-0000800F0000}"/>
    <cellStyle name="Neutral 15" xfId="11500" xr:uid="{00000000-0005-0000-0000-0000810F0000}"/>
    <cellStyle name="Neutral 16" xfId="11517" xr:uid="{00000000-0005-0000-0000-0000820F0000}"/>
    <cellStyle name="Neutral 17" xfId="11532" xr:uid="{00000000-0005-0000-0000-0000830F0000}"/>
    <cellStyle name="Neutral 18" xfId="11549" xr:uid="{00000000-0005-0000-0000-0000840F0000}"/>
    <cellStyle name="Neutral 19" xfId="11565" xr:uid="{00000000-0005-0000-0000-0000850F0000}"/>
    <cellStyle name="Neutral 2" xfId="241" xr:uid="{00000000-0005-0000-0000-0000860F0000}"/>
    <cellStyle name="Neutral 2 2" xfId="242" xr:uid="{00000000-0005-0000-0000-0000870F0000}"/>
    <cellStyle name="Neutral 20" xfId="11581" xr:uid="{00000000-0005-0000-0000-0000880F0000}"/>
    <cellStyle name="Neutral 21" xfId="11597" xr:uid="{00000000-0005-0000-0000-0000890F0000}"/>
    <cellStyle name="Neutral 22" xfId="11613" xr:uid="{00000000-0005-0000-0000-00008A0F0000}"/>
    <cellStyle name="Neutral 23" xfId="11628" xr:uid="{00000000-0005-0000-0000-00008B0F0000}"/>
    <cellStyle name="Neutral 24" xfId="11645" xr:uid="{00000000-0005-0000-0000-00008C0F0000}"/>
    <cellStyle name="Neutral 25" xfId="11660" xr:uid="{00000000-0005-0000-0000-00008D0F0000}"/>
    <cellStyle name="Neutral 26" xfId="11676" xr:uid="{00000000-0005-0000-0000-00008E0F0000}"/>
    <cellStyle name="Neutral 27" xfId="11690" xr:uid="{00000000-0005-0000-0000-00008F0F0000}"/>
    <cellStyle name="Neutral 28" xfId="11705" xr:uid="{00000000-0005-0000-0000-0000900F0000}"/>
    <cellStyle name="Neutral 29" xfId="11720" xr:uid="{00000000-0005-0000-0000-0000910F0000}"/>
    <cellStyle name="Neutral 3" xfId="1212" xr:uid="{00000000-0005-0000-0000-0000920F0000}"/>
    <cellStyle name="Neutral 3 2" xfId="11144" xr:uid="{00000000-0005-0000-0000-0000930F0000}"/>
    <cellStyle name="Neutral 30" xfId="11735" xr:uid="{00000000-0005-0000-0000-0000940F0000}"/>
    <cellStyle name="Neutral 31" xfId="11750" xr:uid="{00000000-0005-0000-0000-0000950F0000}"/>
    <cellStyle name="Neutral 32" xfId="11765" xr:uid="{00000000-0005-0000-0000-0000960F0000}"/>
    <cellStyle name="Neutral 33" xfId="11782" xr:uid="{00000000-0005-0000-0000-0000970F0000}"/>
    <cellStyle name="Neutral 34" xfId="19655" xr:uid="{00000000-0005-0000-0000-0000980F0000}"/>
    <cellStyle name="Neutral 35" xfId="19672" xr:uid="{00000000-0005-0000-0000-0000990F0000}"/>
    <cellStyle name="Neutral 36" xfId="19691" xr:uid="{00000000-0005-0000-0000-00009A0F0000}"/>
    <cellStyle name="Neutral 37" xfId="19705" xr:uid="{00000000-0005-0000-0000-00009B0F0000}"/>
    <cellStyle name="Neutral 38" xfId="19733" xr:uid="{00000000-0005-0000-0000-00009C0F0000}"/>
    <cellStyle name="Neutral 39" xfId="19749" xr:uid="{00000000-0005-0000-0000-00009D0F0000}"/>
    <cellStyle name="Neutral 4" xfId="11160" xr:uid="{00000000-0005-0000-0000-00009E0F0000}"/>
    <cellStyle name="Neutral 40" xfId="19723" xr:uid="{00000000-0005-0000-0000-00009F0F0000}"/>
    <cellStyle name="Neutral 41" xfId="19771" xr:uid="{00000000-0005-0000-0000-0000A00F0000}"/>
    <cellStyle name="Neutral 42" xfId="19784" xr:uid="{00000000-0005-0000-0000-0000A10F0000}"/>
    <cellStyle name="Neutral 43" xfId="19803" xr:uid="{00000000-0005-0000-0000-0000A20F0000}"/>
    <cellStyle name="Neutral 44" xfId="19932" xr:uid="{00000000-0005-0000-0000-0000A30F0000}"/>
    <cellStyle name="Neutral 45" xfId="19818" xr:uid="{00000000-0005-0000-0000-0000A40F0000}"/>
    <cellStyle name="Neutral 46" xfId="19970" xr:uid="{00000000-0005-0000-0000-0000A50F0000}"/>
    <cellStyle name="Neutral 47" xfId="19986" xr:uid="{00000000-0005-0000-0000-0000A60F0000}"/>
    <cellStyle name="Neutral 48" xfId="20001" xr:uid="{00000000-0005-0000-0000-0000A70F0000}"/>
    <cellStyle name="Neutral 49" xfId="20017" xr:uid="{00000000-0005-0000-0000-0000A80F0000}"/>
    <cellStyle name="Neutral 5" xfId="11190" xr:uid="{00000000-0005-0000-0000-0000A90F0000}"/>
    <cellStyle name="Neutral 50" xfId="20032" xr:uid="{00000000-0005-0000-0000-0000AA0F0000}"/>
    <cellStyle name="Neutral 51" xfId="20048" xr:uid="{00000000-0005-0000-0000-0000AB0F0000}"/>
    <cellStyle name="Neutral 52" xfId="20063" xr:uid="{00000000-0005-0000-0000-0000AC0F0000}"/>
    <cellStyle name="Neutral 53" xfId="20078" xr:uid="{00000000-0005-0000-0000-0000AD0F0000}"/>
    <cellStyle name="Neutral 54" xfId="20092" xr:uid="{00000000-0005-0000-0000-0000AE0F0000}"/>
    <cellStyle name="Neutral 55" xfId="20108" xr:uid="{00000000-0005-0000-0000-0000AF0F0000}"/>
    <cellStyle name="Neutral 56" xfId="20122" xr:uid="{00000000-0005-0000-0000-0000B00F0000}"/>
    <cellStyle name="Neutral 57" xfId="20137" xr:uid="{00000000-0005-0000-0000-0000B10F0000}"/>
    <cellStyle name="Neutral 58" xfId="20150" xr:uid="{00000000-0005-0000-0000-0000B20F0000}"/>
    <cellStyle name="Neutral 59" xfId="20164" xr:uid="{00000000-0005-0000-0000-0000B30F0000}"/>
    <cellStyle name="Neutral 6" xfId="11205" xr:uid="{00000000-0005-0000-0000-0000B40F0000}"/>
    <cellStyle name="Neutral 60" xfId="20179" xr:uid="{00000000-0005-0000-0000-0000B50F0000}"/>
    <cellStyle name="Neutral 61" xfId="20194" xr:uid="{00000000-0005-0000-0000-0000B60F0000}"/>
    <cellStyle name="Neutral 62" xfId="20210" xr:uid="{00000000-0005-0000-0000-0000B70F0000}"/>
    <cellStyle name="Neutral 63" xfId="20225" xr:uid="{00000000-0005-0000-0000-0000B80F0000}"/>
    <cellStyle name="Neutral 64" xfId="20242" xr:uid="{00000000-0005-0000-0000-0000B90F0000}"/>
    <cellStyle name="Neutral 7" xfId="11238" xr:uid="{00000000-0005-0000-0000-0000BA0F0000}"/>
    <cellStyle name="Neutral 8" xfId="11254" xr:uid="{00000000-0005-0000-0000-0000BB0F0000}"/>
    <cellStyle name="Neutral 9" xfId="11228" xr:uid="{00000000-0005-0000-0000-0000BC0F0000}"/>
    <cellStyle name="NewColumnHeaderNormal" xfId="46" xr:uid="{00000000-0005-0000-0000-0000BD0F0000}"/>
    <cellStyle name="NewColumnHeaderNormal 2" xfId="1213" xr:uid="{00000000-0005-0000-0000-0000BE0F0000}"/>
    <cellStyle name="NewSectionHeaderNormal" xfId="47" xr:uid="{00000000-0005-0000-0000-0000BF0F0000}"/>
    <cellStyle name="NewSectionHeaderNormal 2" xfId="441" xr:uid="{00000000-0005-0000-0000-0000C00F0000}"/>
    <cellStyle name="NewSectionHeaderNormal 3" xfId="1214" xr:uid="{00000000-0005-0000-0000-0000C10F0000}"/>
    <cellStyle name="NewTitleNormal" xfId="48" xr:uid="{00000000-0005-0000-0000-0000C20F0000}"/>
    <cellStyle name="NewTitleNormal 2" xfId="1215" xr:uid="{00000000-0005-0000-0000-0000C30F0000}"/>
    <cellStyle name="No-definido" xfId="1943" xr:uid="{00000000-0005-0000-0000-0000C40F0000}"/>
    <cellStyle name="Normal" xfId="0" builtinId="0"/>
    <cellStyle name="Normal - Style1" xfId="1216" xr:uid="{00000000-0005-0000-0000-0000C60F0000}"/>
    <cellStyle name="Normal - Style1 2" xfId="1944" xr:uid="{00000000-0005-0000-0000-0000C70F0000}"/>
    <cellStyle name="Normal 10" xfId="73" xr:uid="{00000000-0005-0000-0000-0000C80F0000}"/>
    <cellStyle name="Normal 10 10" xfId="11982" xr:uid="{00000000-0005-0000-0000-0000C90F0000}"/>
    <cellStyle name="Normal 10 10 2" xfId="28504" xr:uid="{00000000-0005-0000-0000-0000CA0F0000}"/>
    <cellStyle name="Normal 10 10 3" xfId="6732" xr:uid="{00000000-0005-0000-0000-0000CB0F0000}"/>
    <cellStyle name="Normal 10 10 3 2" xfId="15914" xr:uid="{00000000-0005-0000-0000-0000CC0F0000}"/>
    <cellStyle name="Normal 10 10 3 2 2" xfId="32488" xr:uid="{00000000-0005-0000-0000-0000CD0F0000}"/>
    <cellStyle name="Normal 10 10 3 3" xfId="24441" xr:uid="{00000000-0005-0000-0000-0000CE0F0000}"/>
    <cellStyle name="Normal 10 11" xfId="20461" xr:uid="{00000000-0005-0000-0000-0000CF0F0000}"/>
    <cellStyle name="Normal 10 2" xfId="6" xr:uid="{00000000-0005-0000-0000-0000D00F0000}"/>
    <cellStyle name="Normal 10 2 2" xfId="243" xr:uid="{00000000-0005-0000-0000-0000D10F0000}"/>
    <cellStyle name="Normal 10 2 2 2" xfId="2456" xr:uid="{00000000-0005-0000-0000-0000D20F0000}"/>
    <cellStyle name="Normal 10 2 3" xfId="442" xr:uid="{00000000-0005-0000-0000-0000D30F0000}"/>
    <cellStyle name="Normal 10 2 3 2" xfId="28505" xr:uid="{00000000-0005-0000-0000-0000D40F0000}"/>
    <cellStyle name="Normal 10 2 4" xfId="1768" xr:uid="{00000000-0005-0000-0000-0000D50F0000}"/>
    <cellStyle name="Normal 10 2 4 2" xfId="20462" xr:uid="{00000000-0005-0000-0000-0000D60F0000}"/>
    <cellStyle name="Normal 10 2 5" xfId="1728" xr:uid="{00000000-0005-0000-0000-0000D70F0000}"/>
    <cellStyle name="Normal 10 3" xfId="244" xr:uid="{00000000-0005-0000-0000-0000D80F0000}"/>
    <cellStyle name="Normal 10 3 2" xfId="2458" xr:uid="{00000000-0005-0000-0000-0000D90F0000}"/>
    <cellStyle name="Normal 10 3 2 2" xfId="2459" xr:uid="{00000000-0005-0000-0000-0000DA0F0000}"/>
    <cellStyle name="Normal 10 3 2 2 2" xfId="2460" xr:uid="{00000000-0005-0000-0000-0000DB0F0000}"/>
    <cellStyle name="Normal 10 3 2 2 2 2" xfId="6733" xr:uid="{00000000-0005-0000-0000-0000DC0F0000}"/>
    <cellStyle name="Normal 10 3 2 2 2 2 2" xfId="15915" xr:uid="{00000000-0005-0000-0000-0000DD0F0000}"/>
    <cellStyle name="Normal 10 3 2 2 2 2 2 2" xfId="32489" xr:uid="{00000000-0005-0000-0000-0000DE0F0000}"/>
    <cellStyle name="Normal 10 3 2 2 2 2 3" xfId="24442" xr:uid="{00000000-0005-0000-0000-0000DF0F0000}"/>
    <cellStyle name="Normal 10 3 2 2 2 3" xfId="11985" xr:uid="{00000000-0005-0000-0000-0000E00F0000}"/>
    <cellStyle name="Normal 10 3 2 2 2 3 2" xfId="28508" xr:uid="{00000000-0005-0000-0000-0000E10F0000}"/>
    <cellStyle name="Normal 10 3 2 2 2 4" xfId="20465" xr:uid="{00000000-0005-0000-0000-0000E20F0000}"/>
    <cellStyle name="Normal 10 3 2 2 3" xfId="2461" xr:uid="{00000000-0005-0000-0000-0000E30F0000}"/>
    <cellStyle name="Normal 10 3 2 2 3 2" xfId="11986" xr:uid="{00000000-0005-0000-0000-0000E40F0000}"/>
    <cellStyle name="Normal 10 3 2 2 3 2 2" xfId="28509" xr:uid="{00000000-0005-0000-0000-0000E50F0000}"/>
    <cellStyle name="Normal 10 3 2 2 3 3" xfId="20466" xr:uid="{00000000-0005-0000-0000-0000E60F0000}"/>
    <cellStyle name="Normal 10 3 2 2 4" xfId="11984" xr:uid="{00000000-0005-0000-0000-0000E70F0000}"/>
    <cellStyle name="Normal 10 3 2 2 4 2" xfId="28507" xr:uid="{00000000-0005-0000-0000-0000E80F0000}"/>
    <cellStyle name="Normal 10 3 2 2 5" xfId="20464" xr:uid="{00000000-0005-0000-0000-0000E90F0000}"/>
    <cellStyle name="Normal 10 3 2 3" xfId="2462" xr:uid="{00000000-0005-0000-0000-0000EA0F0000}"/>
    <cellStyle name="Normal 10 3 2 3 2" xfId="6734" xr:uid="{00000000-0005-0000-0000-0000EB0F0000}"/>
    <cellStyle name="Normal 10 3 2 3 2 2" xfId="15916" xr:uid="{00000000-0005-0000-0000-0000EC0F0000}"/>
    <cellStyle name="Normal 10 3 2 3 2 2 2" xfId="32490" xr:uid="{00000000-0005-0000-0000-0000ED0F0000}"/>
    <cellStyle name="Normal 10 3 2 3 2 3" xfId="24443" xr:uid="{00000000-0005-0000-0000-0000EE0F0000}"/>
    <cellStyle name="Normal 10 3 2 3 3" xfId="11987" xr:uid="{00000000-0005-0000-0000-0000EF0F0000}"/>
    <cellStyle name="Normal 10 3 2 3 3 2" xfId="28510" xr:uid="{00000000-0005-0000-0000-0000F00F0000}"/>
    <cellStyle name="Normal 10 3 2 3 4" xfId="20467" xr:uid="{00000000-0005-0000-0000-0000F10F0000}"/>
    <cellStyle name="Normal 10 3 2 4" xfId="6735" xr:uid="{00000000-0005-0000-0000-0000F20F0000}"/>
    <cellStyle name="Normal 10 3 2 4 2" xfId="15917" xr:uid="{00000000-0005-0000-0000-0000F30F0000}"/>
    <cellStyle name="Normal 10 3 2 4 2 2" xfId="32491" xr:uid="{00000000-0005-0000-0000-0000F40F0000}"/>
    <cellStyle name="Normal 10 3 2 4 3" xfId="24444" xr:uid="{00000000-0005-0000-0000-0000F50F0000}"/>
    <cellStyle name="Normal 10 3 2 5" xfId="11983" xr:uid="{00000000-0005-0000-0000-0000F60F0000}"/>
    <cellStyle name="Normal 10 3 2 5 2" xfId="28506" xr:uid="{00000000-0005-0000-0000-0000F70F0000}"/>
    <cellStyle name="Normal 10 3 2 6" xfId="20463" xr:uid="{00000000-0005-0000-0000-0000F80F0000}"/>
    <cellStyle name="Normal 10 3 3" xfId="2463" xr:uid="{00000000-0005-0000-0000-0000F90F0000}"/>
    <cellStyle name="Normal 10 3 3 2" xfId="2464" xr:uid="{00000000-0005-0000-0000-0000FA0F0000}"/>
    <cellStyle name="Normal 10 3 3 2 2" xfId="6736" xr:uid="{00000000-0005-0000-0000-0000FB0F0000}"/>
    <cellStyle name="Normal 10 3 3 2 2 2" xfId="15918" xr:uid="{00000000-0005-0000-0000-0000FC0F0000}"/>
    <cellStyle name="Normal 10 3 3 2 2 2 2" xfId="32492" xr:uid="{00000000-0005-0000-0000-0000FD0F0000}"/>
    <cellStyle name="Normal 10 3 3 2 2 3" xfId="24445" xr:uid="{00000000-0005-0000-0000-0000FE0F0000}"/>
    <cellStyle name="Normal 10 3 3 2 3" xfId="11989" xr:uid="{00000000-0005-0000-0000-0000FF0F0000}"/>
    <cellStyle name="Normal 10 3 3 2 3 2" xfId="28512" xr:uid="{00000000-0005-0000-0000-000000100000}"/>
    <cellStyle name="Normal 10 3 3 2 4" xfId="20469" xr:uid="{00000000-0005-0000-0000-000001100000}"/>
    <cellStyle name="Normal 10 3 3 3" xfId="6737" xr:uid="{00000000-0005-0000-0000-000002100000}"/>
    <cellStyle name="Normal 10 3 3 3 2" xfId="15919" xr:uid="{00000000-0005-0000-0000-000003100000}"/>
    <cellStyle name="Normal 10 3 3 3 2 2" xfId="32493" xr:uid="{00000000-0005-0000-0000-000004100000}"/>
    <cellStyle name="Normal 10 3 3 3 3" xfId="24446" xr:uid="{00000000-0005-0000-0000-000005100000}"/>
    <cellStyle name="Normal 10 3 3 4" xfId="11988" xr:uid="{00000000-0005-0000-0000-000006100000}"/>
    <cellStyle name="Normal 10 3 3 4 2" xfId="28511" xr:uid="{00000000-0005-0000-0000-000007100000}"/>
    <cellStyle name="Normal 10 3 3 5" xfId="20468" xr:uid="{00000000-0005-0000-0000-000008100000}"/>
    <cellStyle name="Normal 10 3 4" xfId="2465" xr:uid="{00000000-0005-0000-0000-000009100000}"/>
    <cellStyle name="Normal 10 3 4 2" xfId="6738" xr:uid="{00000000-0005-0000-0000-00000A100000}"/>
    <cellStyle name="Normal 10 3 4 2 2" xfId="15920" xr:uid="{00000000-0005-0000-0000-00000B100000}"/>
    <cellStyle name="Normal 10 3 4 2 2 2" xfId="32494" xr:uid="{00000000-0005-0000-0000-00000C100000}"/>
    <cellStyle name="Normal 10 3 4 2 3" xfId="24447" xr:uid="{00000000-0005-0000-0000-00000D100000}"/>
    <cellStyle name="Normal 10 3 4 3" xfId="11990" xr:uid="{00000000-0005-0000-0000-00000E100000}"/>
    <cellStyle name="Normal 10 3 4 3 2" xfId="28513" xr:uid="{00000000-0005-0000-0000-00000F100000}"/>
    <cellStyle name="Normal 10 3 4 4" xfId="20470" xr:uid="{00000000-0005-0000-0000-000010100000}"/>
    <cellStyle name="Normal 10 3 5" xfId="2466" xr:uid="{00000000-0005-0000-0000-000011100000}"/>
    <cellStyle name="Normal 10 3 5 2" xfId="11991" xr:uid="{00000000-0005-0000-0000-000012100000}"/>
    <cellStyle name="Normal 10 3 5 2 2" xfId="28514" xr:uid="{00000000-0005-0000-0000-000013100000}"/>
    <cellStyle name="Normal 10 3 5 3" xfId="20471" xr:uid="{00000000-0005-0000-0000-000014100000}"/>
    <cellStyle name="Normal 10 3 6" xfId="2457" xr:uid="{00000000-0005-0000-0000-000015100000}"/>
    <cellStyle name="Normal 10 4" xfId="443" xr:uid="{00000000-0005-0000-0000-000016100000}"/>
    <cellStyle name="Normal 10 4 2" xfId="2467" xr:uid="{00000000-0005-0000-0000-000017100000}"/>
    <cellStyle name="Normal 10 4 2 2" xfId="2468" xr:uid="{00000000-0005-0000-0000-000018100000}"/>
    <cellStyle name="Normal 10 4 2 2 2" xfId="2469" xr:uid="{00000000-0005-0000-0000-000019100000}"/>
    <cellStyle name="Normal 10 4 2 2 2 2" xfId="6739" xr:uid="{00000000-0005-0000-0000-00001A100000}"/>
    <cellStyle name="Normal 10 4 2 2 2 2 2" xfId="15921" xr:uid="{00000000-0005-0000-0000-00001B100000}"/>
    <cellStyle name="Normal 10 4 2 2 2 2 2 2" xfId="32495" xr:uid="{00000000-0005-0000-0000-00001C100000}"/>
    <cellStyle name="Normal 10 4 2 2 2 2 3" xfId="24448" xr:uid="{00000000-0005-0000-0000-00001D100000}"/>
    <cellStyle name="Normal 10 4 2 2 2 3" xfId="11995" xr:uid="{00000000-0005-0000-0000-00001E100000}"/>
    <cellStyle name="Normal 10 4 2 2 2 3 2" xfId="28518" xr:uid="{00000000-0005-0000-0000-00001F100000}"/>
    <cellStyle name="Normal 10 4 2 2 2 4" xfId="20475" xr:uid="{00000000-0005-0000-0000-000020100000}"/>
    <cellStyle name="Normal 10 4 2 2 3" xfId="6740" xr:uid="{00000000-0005-0000-0000-000021100000}"/>
    <cellStyle name="Normal 10 4 2 2 3 2" xfId="15922" xr:uid="{00000000-0005-0000-0000-000022100000}"/>
    <cellStyle name="Normal 10 4 2 2 3 2 2" xfId="32496" xr:uid="{00000000-0005-0000-0000-000023100000}"/>
    <cellStyle name="Normal 10 4 2 2 3 3" xfId="24449" xr:uid="{00000000-0005-0000-0000-000024100000}"/>
    <cellStyle name="Normal 10 4 2 2 4" xfId="11994" xr:uid="{00000000-0005-0000-0000-000025100000}"/>
    <cellStyle name="Normal 10 4 2 2 4 2" xfId="28517" xr:uid="{00000000-0005-0000-0000-000026100000}"/>
    <cellStyle name="Normal 10 4 2 2 5" xfId="20474" xr:uid="{00000000-0005-0000-0000-000027100000}"/>
    <cellStyle name="Normal 10 4 2 3" xfId="2470" xr:uid="{00000000-0005-0000-0000-000028100000}"/>
    <cellStyle name="Normal 10 4 2 3 2" xfId="6741" xr:uid="{00000000-0005-0000-0000-000029100000}"/>
    <cellStyle name="Normal 10 4 2 3 2 2" xfId="15923" xr:uid="{00000000-0005-0000-0000-00002A100000}"/>
    <cellStyle name="Normal 10 4 2 3 2 2 2" xfId="32497" xr:uid="{00000000-0005-0000-0000-00002B100000}"/>
    <cellStyle name="Normal 10 4 2 3 2 3" xfId="24450" xr:uid="{00000000-0005-0000-0000-00002C100000}"/>
    <cellStyle name="Normal 10 4 2 3 3" xfId="11996" xr:uid="{00000000-0005-0000-0000-00002D100000}"/>
    <cellStyle name="Normal 10 4 2 3 3 2" xfId="28519" xr:uid="{00000000-0005-0000-0000-00002E100000}"/>
    <cellStyle name="Normal 10 4 2 3 4" xfId="20476" xr:uid="{00000000-0005-0000-0000-00002F100000}"/>
    <cellStyle name="Normal 10 4 2 4" xfId="6742" xr:uid="{00000000-0005-0000-0000-000030100000}"/>
    <cellStyle name="Normal 10 4 2 4 2" xfId="15924" xr:uid="{00000000-0005-0000-0000-000031100000}"/>
    <cellStyle name="Normal 10 4 2 4 2 2" xfId="32498" xr:uid="{00000000-0005-0000-0000-000032100000}"/>
    <cellStyle name="Normal 10 4 2 4 3" xfId="24451" xr:uid="{00000000-0005-0000-0000-000033100000}"/>
    <cellStyle name="Normal 10 4 2 5" xfId="11993" xr:uid="{00000000-0005-0000-0000-000034100000}"/>
    <cellStyle name="Normal 10 4 2 5 2" xfId="28516" xr:uid="{00000000-0005-0000-0000-000035100000}"/>
    <cellStyle name="Normal 10 4 2 6" xfId="20473" xr:uid="{00000000-0005-0000-0000-000036100000}"/>
    <cellStyle name="Normal 10 4 3" xfId="2471" xr:uid="{00000000-0005-0000-0000-000037100000}"/>
    <cellStyle name="Normal 10 4 3 2" xfId="2472" xr:uid="{00000000-0005-0000-0000-000038100000}"/>
    <cellStyle name="Normal 10 4 3 2 2" xfId="6743" xr:uid="{00000000-0005-0000-0000-000039100000}"/>
    <cellStyle name="Normal 10 4 3 2 2 2" xfId="15925" xr:uid="{00000000-0005-0000-0000-00003A100000}"/>
    <cellStyle name="Normal 10 4 3 2 2 2 2" xfId="32499" xr:uid="{00000000-0005-0000-0000-00003B100000}"/>
    <cellStyle name="Normal 10 4 3 2 2 3" xfId="24452" xr:uid="{00000000-0005-0000-0000-00003C100000}"/>
    <cellStyle name="Normal 10 4 3 2 3" xfId="11998" xr:uid="{00000000-0005-0000-0000-00003D100000}"/>
    <cellStyle name="Normal 10 4 3 2 3 2" xfId="28521" xr:uid="{00000000-0005-0000-0000-00003E100000}"/>
    <cellStyle name="Normal 10 4 3 2 4" xfId="20478" xr:uid="{00000000-0005-0000-0000-00003F100000}"/>
    <cellStyle name="Normal 10 4 3 3" xfId="6744" xr:uid="{00000000-0005-0000-0000-000040100000}"/>
    <cellStyle name="Normal 10 4 3 3 2" xfId="15926" xr:uid="{00000000-0005-0000-0000-000041100000}"/>
    <cellStyle name="Normal 10 4 3 3 2 2" xfId="32500" xr:uid="{00000000-0005-0000-0000-000042100000}"/>
    <cellStyle name="Normal 10 4 3 3 3" xfId="24453" xr:uid="{00000000-0005-0000-0000-000043100000}"/>
    <cellStyle name="Normal 10 4 3 4" xfId="11997" xr:uid="{00000000-0005-0000-0000-000044100000}"/>
    <cellStyle name="Normal 10 4 3 4 2" xfId="28520" xr:uid="{00000000-0005-0000-0000-000045100000}"/>
    <cellStyle name="Normal 10 4 3 5" xfId="20477" xr:uid="{00000000-0005-0000-0000-000046100000}"/>
    <cellStyle name="Normal 10 4 4" xfId="2473" xr:uid="{00000000-0005-0000-0000-000047100000}"/>
    <cellStyle name="Normal 10 4 4 2" xfId="6745" xr:uid="{00000000-0005-0000-0000-000048100000}"/>
    <cellStyle name="Normal 10 4 4 2 2" xfId="15927" xr:uid="{00000000-0005-0000-0000-000049100000}"/>
    <cellStyle name="Normal 10 4 4 2 2 2" xfId="32501" xr:uid="{00000000-0005-0000-0000-00004A100000}"/>
    <cellStyle name="Normal 10 4 4 2 3" xfId="24454" xr:uid="{00000000-0005-0000-0000-00004B100000}"/>
    <cellStyle name="Normal 10 4 4 3" xfId="11999" xr:uid="{00000000-0005-0000-0000-00004C100000}"/>
    <cellStyle name="Normal 10 4 4 3 2" xfId="28522" xr:uid="{00000000-0005-0000-0000-00004D100000}"/>
    <cellStyle name="Normal 10 4 4 4" xfId="20479" xr:uid="{00000000-0005-0000-0000-00004E100000}"/>
    <cellStyle name="Normal 10 4 5" xfId="6746" xr:uid="{00000000-0005-0000-0000-00004F100000}"/>
    <cellStyle name="Normal 10 4 5 2" xfId="15928" xr:uid="{00000000-0005-0000-0000-000050100000}"/>
    <cellStyle name="Normal 10 4 5 2 2" xfId="32502" xr:uid="{00000000-0005-0000-0000-000051100000}"/>
    <cellStyle name="Normal 10 4 5 3" xfId="24455" xr:uid="{00000000-0005-0000-0000-000052100000}"/>
    <cellStyle name="Normal 10 4 6" xfId="11992" xr:uid="{00000000-0005-0000-0000-000053100000}"/>
    <cellStyle name="Normal 10 4 6 2" xfId="28515" xr:uid="{00000000-0005-0000-0000-000054100000}"/>
    <cellStyle name="Normal 10 4 7" xfId="20472" xr:uid="{00000000-0005-0000-0000-000055100000}"/>
    <cellStyle name="Normal 10 5" xfId="1739" xr:uid="{00000000-0005-0000-0000-000056100000}"/>
    <cellStyle name="Normal 10 5 2" xfId="2475" xr:uid="{00000000-0005-0000-0000-000057100000}"/>
    <cellStyle name="Normal 10 5 2 2" xfId="2476" xr:uid="{00000000-0005-0000-0000-000058100000}"/>
    <cellStyle name="Normal 10 5 2 2 2" xfId="2477" xr:uid="{00000000-0005-0000-0000-000059100000}"/>
    <cellStyle name="Normal 10 5 2 2 2 2" xfId="6747" xr:uid="{00000000-0005-0000-0000-00005A100000}"/>
    <cellStyle name="Normal 10 5 2 2 2 2 2" xfId="15929" xr:uid="{00000000-0005-0000-0000-00005B100000}"/>
    <cellStyle name="Normal 10 5 2 2 2 2 2 2" xfId="32503" xr:uid="{00000000-0005-0000-0000-00005C100000}"/>
    <cellStyle name="Normal 10 5 2 2 2 2 3" xfId="24456" xr:uid="{00000000-0005-0000-0000-00005D100000}"/>
    <cellStyle name="Normal 10 5 2 2 2 3" xfId="12002" xr:uid="{00000000-0005-0000-0000-00005E100000}"/>
    <cellStyle name="Normal 10 5 2 2 2 3 2" xfId="28526" xr:uid="{00000000-0005-0000-0000-00005F100000}"/>
    <cellStyle name="Normal 10 5 2 2 2 4" xfId="20483" xr:uid="{00000000-0005-0000-0000-000060100000}"/>
    <cellStyle name="Normal 10 5 2 2 3" xfId="6748" xr:uid="{00000000-0005-0000-0000-000061100000}"/>
    <cellStyle name="Normal 10 5 2 2 3 2" xfId="15930" xr:uid="{00000000-0005-0000-0000-000062100000}"/>
    <cellStyle name="Normal 10 5 2 2 3 2 2" xfId="32504" xr:uid="{00000000-0005-0000-0000-000063100000}"/>
    <cellStyle name="Normal 10 5 2 2 3 3" xfId="24457" xr:uid="{00000000-0005-0000-0000-000064100000}"/>
    <cellStyle name="Normal 10 5 2 2 4" xfId="12001" xr:uid="{00000000-0005-0000-0000-000065100000}"/>
    <cellStyle name="Normal 10 5 2 2 4 2" xfId="28525" xr:uid="{00000000-0005-0000-0000-000066100000}"/>
    <cellStyle name="Normal 10 5 2 2 5" xfId="20482" xr:uid="{00000000-0005-0000-0000-000067100000}"/>
    <cellStyle name="Normal 10 5 2 3" xfId="2478" xr:uid="{00000000-0005-0000-0000-000068100000}"/>
    <cellStyle name="Normal 10 5 2 3 2" xfId="6749" xr:uid="{00000000-0005-0000-0000-000069100000}"/>
    <cellStyle name="Normal 10 5 2 3 2 2" xfId="15931" xr:uid="{00000000-0005-0000-0000-00006A100000}"/>
    <cellStyle name="Normal 10 5 2 3 2 2 2" xfId="32505" xr:uid="{00000000-0005-0000-0000-00006B100000}"/>
    <cellStyle name="Normal 10 5 2 3 2 3" xfId="24458" xr:uid="{00000000-0005-0000-0000-00006C100000}"/>
    <cellStyle name="Normal 10 5 2 3 3" xfId="12003" xr:uid="{00000000-0005-0000-0000-00006D100000}"/>
    <cellStyle name="Normal 10 5 2 3 3 2" xfId="28527" xr:uid="{00000000-0005-0000-0000-00006E100000}"/>
    <cellStyle name="Normal 10 5 2 3 4" xfId="20484" xr:uid="{00000000-0005-0000-0000-00006F100000}"/>
    <cellStyle name="Normal 10 5 2 4" xfId="6750" xr:uid="{00000000-0005-0000-0000-000070100000}"/>
    <cellStyle name="Normal 10 5 2 4 2" xfId="15932" xr:uid="{00000000-0005-0000-0000-000071100000}"/>
    <cellStyle name="Normal 10 5 2 4 2 2" xfId="32506" xr:uid="{00000000-0005-0000-0000-000072100000}"/>
    <cellStyle name="Normal 10 5 2 4 3" xfId="24459" xr:uid="{00000000-0005-0000-0000-000073100000}"/>
    <cellStyle name="Normal 10 5 2 5" xfId="12000" xr:uid="{00000000-0005-0000-0000-000074100000}"/>
    <cellStyle name="Normal 10 5 2 5 2" xfId="28524" xr:uid="{00000000-0005-0000-0000-000075100000}"/>
    <cellStyle name="Normal 10 5 2 6" xfId="20481" xr:uid="{00000000-0005-0000-0000-000076100000}"/>
    <cellStyle name="Normal 10 5 3" xfId="2479" xr:uid="{00000000-0005-0000-0000-000077100000}"/>
    <cellStyle name="Normal 10 5 3 2" xfId="2480" xr:uid="{00000000-0005-0000-0000-000078100000}"/>
    <cellStyle name="Normal 10 5 3 2 2" xfId="6751" xr:uid="{00000000-0005-0000-0000-000079100000}"/>
    <cellStyle name="Normal 10 5 3 2 2 2" xfId="15933" xr:uid="{00000000-0005-0000-0000-00007A100000}"/>
    <cellStyle name="Normal 10 5 3 2 2 2 2" xfId="32507" xr:uid="{00000000-0005-0000-0000-00007B100000}"/>
    <cellStyle name="Normal 10 5 3 2 2 3" xfId="24460" xr:uid="{00000000-0005-0000-0000-00007C100000}"/>
    <cellStyle name="Normal 10 5 3 2 3" xfId="12005" xr:uid="{00000000-0005-0000-0000-00007D100000}"/>
    <cellStyle name="Normal 10 5 3 2 3 2" xfId="28529" xr:uid="{00000000-0005-0000-0000-00007E100000}"/>
    <cellStyle name="Normal 10 5 3 2 4" xfId="20486" xr:uid="{00000000-0005-0000-0000-00007F100000}"/>
    <cellStyle name="Normal 10 5 3 3" xfId="6752" xr:uid="{00000000-0005-0000-0000-000080100000}"/>
    <cellStyle name="Normal 10 5 3 3 2" xfId="15934" xr:uid="{00000000-0005-0000-0000-000081100000}"/>
    <cellStyle name="Normal 10 5 3 3 2 2" xfId="32508" xr:uid="{00000000-0005-0000-0000-000082100000}"/>
    <cellStyle name="Normal 10 5 3 3 3" xfId="24461" xr:uid="{00000000-0005-0000-0000-000083100000}"/>
    <cellStyle name="Normal 10 5 3 4" xfId="12004" xr:uid="{00000000-0005-0000-0000-000084100000}"/>
    <cellStyle name="Normal 10 5 3 4 2" xfId="28528" xr:uid="{00000000-0005-0000-0000-000085100000}"/>
    <cellStyle name="Normal 10 5 3 5" xfId="20485" xr:uid="{00000000-0005-0000-0000-000086100000}"/>
    <cellStyle name="Normal 10 5 4" xfId="2481" xr:uid="{00000000-0005-0000-0000-000087100000}"/>
    <cellStyle name="Normal 10 5 4 2" xfId="6753" xr:uid="{00000000-0005-0000-0000-000088100000}"/>
    <cellStyle name="Normal 10 5 4 2 2" xfId="15935" xr:uid="{00000000-0005-0000-0000-000089100000}"/>
    <cellStyle name="Normal 10 5 4 2 2 2" xfId="32509" xr:uid="{00000000-0005-0000-0000-00008A100000}"/>
    <cellStyle name="Normal 10 5 4 2 3" xfId="24462" xr:uid="{00000000-0005-0000-0000-00008B100000}"/>
    <cellStyle name="Normal 10 5 4 3" xfId="12006" xr:uid="{00000000-0005-0000-0000-00008C100000}"/>
    <cellStyle name="Normal 10 5 4 3 2" xfId="28530" xr:uid="{00000000-0005-0000-0000-00008D100000}"/>
    <cellStyle name="Normal 10 5 4 4" xfId="20487" xr:uid="{00000000-0005-0000-0000-00008E100000}"/>
    <cellStyle name="Normal 10 5 5" xfId="6754" xr:uid="{00000000-0005-0000-0000-00008F100000}"/>
    <cellStyle name="Normal 10 5 5 2" xfId="15936" xr:uid="{00000000-0005-0000-0000-000090100000}"/>
    <cellStyle name="Normal 10 5 5 2 2" xfId="32510" xr:uid="{00000000-0005-0000-0000-000091100000}"/>
    <cellStyle name="Normal 10 5 5 3" xfId="24463" xr:uid="{00000000-0005-0000-0000-000092100000}"/>
    <cellStyle name="Normal 10 5 6" xfId="2474" xr:uid="{00000000-0005-0000-0000-000093100000}"/>
    <cellStyle name="Normal 10 5 6 2" xfId="28523" xr:uid="{00000000-0005-0000-0000-000094100000}"/>
    <cellStyle name="Normal 10 5 7" xfId="20480" xr:uid="{00000000-0005-0000-0000-000095100000}"/>
    <cellStyle name="Normal 10 6" xfId="2482" xr:uid="{00000000-0005-0000-0000-000096100000}"/>
    <cellStyle name="Normal 10 6 2" xfId="2483" xr:uid="{00000000-0005-0000-0000-000097100000}"/>
    <cellStyle name="Normal 10 6 2 2" xfId="2484" xr:uid="{00000000-0005-0000-0000-000098100000}"/>
    <cellStyle name="Normal 10 6 2 2 2" xfId="6755" xr:uid="{00000000-0005-0000-0000-000099100000}"/>
    <cellStyle name="Normal 10 6 2 2 2 2" xfId="15937" xr:uid="{00000000-0005-0000-0000-00009A100000}"/>
    <cellStyle name="Normal 10 6 2 2 2 2 2" xfId="32511" xr:uid="{00000000-0005-0000-0000-00009B100000}"/>
    <cellStyle name="Normal 10 6 2 2 2 3" xfId="24464" xr:uid="{00000000-0005-0000-0000-00009C100000}"/>
    <cellStyle name="Normal 10 6 2 2 3" xfId="12009" xr:uid="{00000000-0005-0000-0000-00009D100000}"/>
    <cellStyle name="Normal 10 6 2 2 3 2" xfId="28533" xr:uid="{00000000-0005-0000-0000-00009E100000}"/>
    <cellStyle name="Normal 10 6 2 2 4" xfId="20490" xr:uid="{00000000-0005-0000-0000-00009F100000}"/>
    <cellStyle name="Normal 10 6 2 3" xfId="6756" xr:uid="{00000000-0005-0000-0000-0000A0100000}"/>
    <cellStyle name="Normal 10 6 2 3 2" xfId="15938" xr:uid="{00000000-0005-0000-0000-0000A1100000}"/>
    <cellStyle name="Normal 10 6 2 3 2 2" xfId="32512" xr:uid="{00000000-0005-0000-0000-0000A2100000}"/>
    <cellStyle name="Normal 10 6 2 3 3" xfId="24465" xr:uid="{00000000-0005-0000-0000-0000A3100000}"/>
    <cellStyle name="Normal 10 6 2 4" xfId="12008" xr:uid="{00000000-0005-0000-0000-0000A4100000}"/>
    <cellStyle name="Normal 10 6 2 4 2" xfId="28532" xr:uid="{00000000-0005-0000-0000-0000A5100000}"/>
    <cellStyle name="Normal 10 6 2 5" xfId="20489" xr:uid="{00000000-0005-0000-0000-0000A6100000}"/>
    <cellStyle name="Normal 10 6 3" xfId="2485" xr:uid="{00000000-0005-0000-0000-0000A7100000}"/>
    <cellStyle name="Normal 10 6 3 2" xfId="6757" xr:uid="{00000000-0005-0000-0000-0000A8100000}"/>
    <cellStyle name="Normal 10 6 3 2 2" xfId="15939" xr:uid="{00000000-0005-0000-0000-0000A9100000}"/>
    <cellStyle name="Normal 10 6 3 2 2 2" xfId="32513" xr:uid="{00000000-0005-0000-0000-0000AA100000}"/>
    <cellStyle name="Normal 10 6 3 2 3" xfId="24466" xr:uid="{00000000-0005-0000-0000-0000AB100000}"/>
    <cellStyle name="Normal 10 6 3 3" xfId="12010" xr:uid="{00000000-0005-0000-0000-0000AC100000}"/>
    <cellStyle name="Normal 10 6 3 3 2" xfId="28534" xr:uid="{00000000-0005-0000-0000-0000AD100000}"/>
    <cellStyle name="Normal 10 6 3 4" xfId="20491" xr:uid="{00000000-0005-0000-0000-0000AE100000}"/>
    <cellStyle name="Normal 10 6 4" xfId="6758" xr:uid="{00000000-0005-0000-0000-0000AF100000}"/>
    <cellStyle name="Normal 10 6 4 2" xfId="15940" xr:uid="{00000000-0005-0000-0000-0000B0100000}"/>
    <cellStyle name="Normal 10 6 4 2 2" xfId="32514" xr:uid="{00000000-0005-0000-0000-0000B1100000}"/>
    <cellStyle name="Normal 10 6 4 3" xfId="24467" xr:uid="{00000000-0005-0000-0000-0000B2100000}"/>
    <cellStyle name="Normal 10 6 5" xfId="12007" xr:uid="{00000000-0005-0000-0000-0000B3100000}"/>
    <cellStyle name="Normal 10 6 5 2" xfId="28531" xr:uid="{00000000-0005-0000-0000-0000B4100000}"/>
    <cellStyle name="Normal 10 6 6" xfId="20488" xr:uid="{00000000-0005-0000-0000-0000B5100000}"/>
    <cellStyle name="Normal 10 7" xfId="2486" xr:uid="{00000000-0005-0000-0000-0000B6100000}"/>
    <cellStyle name="Normal 10 7 2" xfId="2487" xr:uid="{00000000-0005-0000-0000-0000B7100000}"/>
    <cellStyle name="Normal 10 7 2 2" xfId="6759" xr:uid="{00000000-0005-0000-0000-0000B8100000}"/>
    <cellStyle name="Normal 10 7 2 2 2" xfId="15941" xr:uid="{00000000-0005-0000-0000-0000B9100000}"/>
    <cellStyle name="Normal 10 7 2 2 2 2" xfId="32515" xr:uid="{00000000-0005-0000-0000-0000BA100000}"/>
    <cellStyle name="Normal 10 7 2 2 3" xfId="24468" xr:uid="{00000000-0005-0000-0000-0000BB100000}"/>
    <cellStyle name="Normal 10 7 2 3" xfId="12012" xr:uid="{00000000-0005-0000-0000-0000BC100000}"/>
    <cellStyle name="Normal 10 7 2 3 2" xfId="28536" xr:uid="{00000000-0005-0000-0000-0000BD100000}"/>
    <cellStyle name="Normal 10 7 2 4" xfId="20493" xr:uid="{00000000-0005-0000-0000-0000BE100000}"/>
    <cellStyle name="Normal 10 7 3" xfId="6760" xr:uid="{00000000-0005-0000-0000-0000BF100000}"/>
    <cellStyle name="Normal 10 7 3 2" xfId="15942" xr:uid="{00000000-0005-0000-0000-0000C0100000}"/>
    <cellStyle name="Normal 10 7 3 2 2" xfId="32516" xr:uid="{00000000-0005-0000-0000-0000C1100000}"/>
    <cellStyle name="Normal 10 7 3 3" xfId="24469" xr:uid="{00000000-0005-0000-0000-0000C2100000}"/>
    <cellStyle name="Normal 10 7 4" xfId="12011" xr:uid="{00000000-0005-0000-0000-0000C3100000}"/>
    <cellStyle name="Normal 10 7 4 2" xfId="28535" xr:uid="{00000000-0005-0000-0000-0000C4100000}"/>
    <cellStyle name="Normal 10 7 5" xfId="20492" xr:uid="{00000000-0005-0000-0000-0000C5100000}"/>
    <cellStyle name="Normal 10 8" xfId="2488" xr:uid="{00000000-0005-0000-0000-0000C6100000}"/>
    <cellStyle name="Normal 10 8 2" xfId="6761" xr:uid="{00000000-0005-0000-0000-0000C7100000}"/>
    <cellStyle name="Normal 10 8 2 2" xfId="15943" xr:uid="{00000000-0005-0000-0000-0000C8100000}"/>
    <cellStyle name="Normal 10 8 2 2 2" xfId="32517" xr:uid="{00000000-0005-0000-0000-0000C9100000}"/>
    <cellStyle name="Normal 10 8 2 3" xfId="24470" xr:uid="{00000000-0005-0000-0000-0000CA100000}"/>
    <cellStyle name="Normal 10 8 3" xfId="12013" xr:uid="{00000000-0005-0000-0000-0000CB100000}"/>
    <cellStyle name="Normal 10 8 3 2" xfId="28537" xr:uid="{00000000-0005-0000-0000-0000CC100000}"/>
    <cellStyle name="Normal 10 8 4" xfId="20494" xr:uid="{00000000-0005-0000-0000-0000CD100000}"/>
    <cellStyle name="Normal 10 9" xfId="6762" xr:uid="{00000000-0005-0000-0000-0000CE100000}"/>
    <cellStyle name="Normal 10 9 2" xfId="15944" xr:uid="{00000000-0005-0000-0000-0000CF100000}"/>
    <cellStyle name="Normal 10 9 2 2" xfId="32518" xr:uid="{00000000-0005-0000-0000-0000D0100000}"/>
    <cellStyle name="Normal 10 9 3" xfId="24471" xr:uid="{00000000-0005-0000-0000-0000D1100000}"/>
    <cellStyle name="Normal 100" xfId="2489" xr:uid="{00000000-0005-0000-0000-0000D2100000}"/>
    <cellStyle name="Normal 100 10" xfId="12014" xr:uid="{00000000-0005-0000-0000-0000D3100000}"/>
    <cellStyle name="Normal 100 10 2" xfId="28538" xr:uid="{00000000-0005-0000-0000-0000D4100000}"/>
    <cellStyle name="Normal 100 11" xfId="20495" xr:uid="{00000000-0005-0000-0000-0000D5100000}"/>
    <cellStyle name="Normal 100 2" xfId="2490" xr:uid="{00000000-0005-0000-0000-0000D6100000}"/>
    <cellStyle name="Normal 100 2 2" xfId="2491" xr:uid="{00000000-0005-0000-0000-0000D7100000}"/>
    <cellStyle name="Normal 100 2 3" xfId="12015" xr:uid="{00000000-0005-0000-0000-0000D8100000}"/>
    <cellStyle name="Normal 100 2 3 2" xfId="28539" xr:uid="{00000000-0005-0000-0000-0000D9100000}"/>
    <cellStyle name="Normal 100 2 4" xfId="20496" xr:uid="{00000000-0005-0000-0000-0000DA100000}"/>
    <cellStyle name="Normal 100 3" xfId="2492" xr:uid="{00000000-0005-0000-0000-0000DB100000}"/>
    <cellStyle name="Normal 100 3 2" xfId="2493" xr:uid="{00000000-0005-0000-0000-0000DC100000}"/>
    <cellStyle name="Normal 100 3 2 2" xfId="2494" xr:uid="{00000000-0005-0000-0000-0000DD100000}"/>
    <cellStyle name="Normal 100 3 2 2 2" xfId="2495" xr:uid="{00000000-0005-0000-0000-0000DE100000}"/>
    <cellStyle name="Normal 100 3 2 2 2 2" xfId="6763" xr:uid="{00000000-0005-0000-0000-0000DF100000}"/>
    <cellStyle name="Normal 100 3 2 2 2 2 2" xfId="15945" xr:uid="{00000000-0005-0000-0000-0000E0100000}"/>
    <cellStyle name="Normal 100 3 2 2 2 2 2 2" xfId="32519" xr:uid="{00000000-0005-0000-0000-0000E1100000}"/>
    <cellStyle name="Normal 100 3 2 2 2 2 3" xfId="24472" xr:uid="{00000000-0005-0000-0000-0000E2100000}"/>
    <cellStyle name="Normal 100 3 2 2 2 3" xfId="12018" xr:uid="{00000000-0005-0000-0000-0000E3100000}"/>
    <cellStyle name="Normal 100 3 2 2 2 3 2" xfId="28542" xr:uid="{00000000-0005-0000-0000-0000E4100000}"/>
    <cellStyle name="Normal 100 3 2 2 2 4" xfId="20499" xr:uid="{00000000-0005-0000-0000-0000E5100000}"/>
    <cellStyle name="Normal 100 3 2 2 3" xfId="6764" xr:uid="{00000000-0005-0000-0000-0000E6100000}"/>
    <cellStyle name="Normal 100 3 2 2 3 2" xfId="15946" xr:uid="{00000000-0005-0000-0000-0000E7100000}"/>
    <cellStyle name="Normal 100 3 2 2 3 2 2" xfId="32520" xr:uid="{00000000-0005-0000-0000-0000E8100000}"/>
    <cellStyle name="Normal 100 3 2 2 3 3" xfId="24473" xr:uid="{00000000-0005-0000-0000-0000E9100000}"/>
    <cellStyle name="Normal 100 3 2 2 4" xfId="12017" xr:uid="{00000000-0005-0000-0000-0000EA100000}"/>
    <cellStyle name="Normal 100 3 2 2 4 2" xfId="28541" xr:uid="{00000000-0005-0000-0000-0000EB100000}"/>
    <cellStyle name="Normal 100 3 2 2 5" xfId="20498" xr:uid="{00000000-0005-0000-0000-0000EC100000}"/>
    <cellStyle name="Normal 100 3 2 3" xfId="2496" xr:uid="{00000000-0005-0000-0000-0000ED100000}"/>
    <cellStyle name="Normal 100 3 2 3 2" xfId="6765" xr:uid="{00000000-0005-0000-0000-0000EE100000}"/>
    <cellStyle name="Normal 100 3 2 3 2 2" xfId="15947" xr:uid="{00000000-0005-0000-0000-0000EF100000}"/>
    <cellStyle name="Normal 100 3 2 3 2 2 2" xfId="32521" xr:uid="{00000000-0005-0000-0000-0000F0100000}"/>
    <cellStyle name="Normal 100 3 2 3 2 3" xfId="24474" xr:uid="{00000000-0005-0000-0000-0000F1100000}"/>
    <cellStyle name="Normal 100 3 2 3 3" xfId="12019" xr:uid="{00000000-0005-0000-0000-0000F2100000}"/>
    <cellStyle name="Normal 100 3 2 3 3 2" xfId="28543" xr:uid="{00000000-0005-0000-0000-0000F3100000}"/>
    <cellStyle name="Normal 100 3 2 3 4" xfId="20500" xr:uid="{00000000-0005-0000-0000-0000F4100000}"/>
    <cellStyle name="Normal 100 3 2 4" xfId="6766" xr:uid="{00000000-0005-0000-0000-0000F5100000}"/>
    <cellStyle name="Normal 100 3 2 4 2" xfId="15948" xr:uid="{00000000-0005-0000-0000-0000F6100000}"/>
    <cellStyle name="Normal 100 3 2 4 2 2" xfId="32522" xr:uid="{00000000-0005-0000-0000-0000F7100000}"/>
    <cellStyle name="Normal 100 3 2 4 3" xfId="24475" xr:uid="{00000000-0005-0000-0000-0000F8100000}"/>
    <cellStyle name="Normal 100 3 2 5" xfId="12016" xr:uid="{00000000-0005-0000-0000-0000F9100000}"/>
    <cellStyle name="Normal 100 3 2 5 2" xfId="28540" xr:uid="{00000000-0005-0000-0000-0000FA100000}"/>
    <cellStyle name="Normal 100 3 2 6" xfId="20497" xr:uid="{00000000-0005-0000-0000-0000FB100000}"/>
    <cellStyle name="Normal 100 3 3" xfId="2497" xr:uid="{00000000-0005-0000-0000-0000FC100000}"/>
    <cellStyle name="Normal 100 3 3 2" xfId="2498" xr:uid="{00000000-0005-0000-0000-0000FD100000}"/>
    <cellStyle name="Normal 100 3 3 2 2" xfId="6767" xr:uid="{00000000-0005-0000-0000-0000FE100000}"/>
    <cellStyle name="Normal 100 3 3 2 2 2" xfId="15949" xr:uid="{00000000-0005-0000-0000-0000FF100000}"/>
    <cellStyle name="Normal 100 3 3 2 2 2 2" xfId="32523" xr:uid="{00000000-0005-0000-0000-000000110000}"/>
    <cellStyle name="Normal 100 3 3 2 2 3" xfId="24476" xr:uid="{00000000-0005-0000-0000-000001110000}"/>
    <cellStyle name="Normal 100 3 3 2 3" xfId="12021" xr:uid="{00000000-0005-0000-0000-000002110000}"/>
    <cellStyle name="Normal 100 3 3 2 3 2" xfId="28545" xr:uid="{00000000-0005-0000-0000-000003110000}"/>
    <cellStyle name="Normal 100 3 3 2 4" xfId="20502" xr:uid="{00000000-0005-0000-0000-000004110000}"/>
    <cellStyle name="Normal 100 3 3 3" xfId="6768" xr:uid="{00000000-0005-0000-0000-000005110000}"/>
    <cellStyle name="Normal 100 3 3 3 2" xfId="15950" xr:uid="{00000000-0005-0000-0000-000006110000}"/>
    <cellStyle name="Normal 100 3 3 3 2 2" xfId="32524" xr:uid="{00000000-0005-0000-0000-000007110000}"/>
    <cellStyle name="Normal 100 3 3 3 3" xfId="24477" xr:uid="{00000000-0005-0000-0000-000008110000}"/>
    <cellStyle name="Normal 100 3 3 4" xfId="12020" xr:uid="{00000000-0005-0000-0000-000009110000}"/>
    <cellStyle name="Normal 100 3 3 4 2" xfId="28544" xr:uid="{00000000-0005-0000-0000-00000A110000}"/>
    <cellStyle name="Normal 100 3 3 5" xfId="20501" xr:uid="{00000000-0005-0000-0000-00000B110000}"/>
    <cellStyle name="Normal 100 3 4" xfId="2499" xr:uid="{00000000-0005-0000-0000-00000C110000}"/>
    <cellStyle name="Normal 100 3 4 2" xfId="6769" xr:uid="{00000000-0005-0000-0000-00000D110000}"/>
    <cellStyle name="Normal 100 3 4 2 2" xfId="15951" xr:uid="{00000000-0005-0000-0000-00000E110000}"/>
    <cellStyle name="Normal 100 3 4 2 2 2" xfId="32525" xr:uid="{00000000-0005-0000-0000-00000F110000}"/>
    <cellStyle name="Normal 100 3 4 2 3" xfId="24478" xr:uid="{00000000-0005-0000-0000-000010110000}"/>
    <cellStyle name="Normal 100 3 4 3" xfId="12022" xr:uid="{00000000-0005-0000-0000-000011110000}"/>
    <cellStyle name="Normal 100 3 4 3 2" xfId="28546" xr:uid="{00000000-0005-0000-0000-000012110000}"/>
    <cellStyle name="Normal 100 3 4 4" xfId="20503" xr:uid="{00000000-0005-0000-0000-000013110000}"/>
    <cellStyle name="Normal 100 3 5" xfId="6770" xr:uid="{00000000-0005-0000-0000-000014110000}"/>
    <cellStyle name="Normal 100 3 5 2" xfId="15952" xr:uid="{00000000-0005-0000-0000-000015110000}"/>
    <cellStyle name="Normal 100 3 5 2 2" xfId="32526" xr:uid="{00000000-0005-0000-0000-000016110000}"/>
    <cellStyle name="Normal 100 3 5 3" xfId="24479" xr:uid="{00000000-0005-0000-0000-000017110000}"/>
    <cellStyle name="Normal 100 4" xfId="2500" xr:uid="{00000000-0005-0000-0000-000018110000}"/>
    <cellStyle name="Normal 100 4 2" xfId="2501" xr:uid="{00000000-0005-0000-0000-000019110000}"/>
    <cellStyle name="Normal 100 4 2 2" xfId="2502" xr:uid="{00000000-0005-0000-0000-00001A110000}"/>
    <cellStyle name="Normal 100 4 2 2 2" xfId="2503" xr:uid="{00000000-0005-0000-0000-00001B110000}"/>
    <cellStyle name="Normal 100 4 2 2 2 2" xfId="6771" xr:uid="{00000000-0005-0000-0000-00001C110000}"/>
    <cellStyle name="Normal 100 4 2 2 2 2 2" xfId="15953" xr:uid="{00000000-0005-0000-0000-00001D110000}"/>
    <cellStyle name="Normal 100 4 2 2 2 2 2 2" xfId="32527" xr:uid="{00000000-0005-0000-0000-00001E110000}"/>
    <cellStyle name="Normal 100 4 2 2 2 2 3" xfId="24480" xr:uid="{00000000-0005-0000-0000-00001F110000}"/>
    <cellStyle name="Normal 100 4 2 2 2 3" xfId="12026" xr:uid="{00000000-0005-0000-0000-000020110000}"/>
    <cellStyle name="Normal 100 4 2 2 2 3 2" xfId="28550" xr:uid="{00000000-0005-0000-0000-000021110000}"/>
    <cellStyle name="Normal 100 4 2 2 2 4" xfId="20507" xr:uid="{00000000-0005-0000-0000-000022110000}"/>
    <cellStyle name="Normal 100 4 2 2 3" xfId="6772" xr:uid="{00000000-0005-0000-0000-000023110000}"/>
    <cellStyle name="Normal 100 4 2 2 3 2" xfId="15954" xr:uid="{00000000-0005-0000-0000-000024110000}"/>
    <cellStyle name="Normal 100 4 2 2 3 2 2" xfId="32528" xr:uid="{00000000-0005-0000-0000-000025110000}"/>
    <cellStyle name="Normal 100 4 2 2 3 3" xfId="24481" xr:uid="{00000000-0005-0000-0000-000026110000}"/>
    <cellStyle name="Normal 100 4 2 2 4" xfId="12025" xr:uid="{00000000-0005-0000-0000-000027110000}"/>
    <cellStyle name="Normal 100 4 2 2 4 2" xfId="28549" xr:uid="{00000000-0005-0000-0000-000028110000}"/>
    <cellStyle name="Normal 100 4 2 2 5" xfId="20506" xr:uid="{00000000-0005-0000-0000-000029110000}"/>
    <cellStyle name="Normal 100 4 2 3" xfId="2504" xr:uid="{00000000-0005-0000-0000-00002A110000}"/>
    <cellStyle name="Normal 100 4 2 3 2" xfId="6773" xr:uid="{00000000-0005-0000-0000-00002B110000}"/>
    <cellStyle name="Normal 100 4 2 3 2 2" xfId="15955" xr:uid="{00000000-0005-0000-0000-00002C110000}"/>
    <cellStyle name="Normal 100 4 2 3 2 2 2" xfId="32529" xr:uid="{00000000-0005-0000-0000-00002D110000}"/>
    <cellStyle name="Normal 100 4 2 3 2 3" xfId="24482" xr:uid="{00000000-0005-0000-0000-00002E110000}"/>
    <cellStyle name="Normal 100 4 2 3 3" xfId="12027" xr:uid="{00000000-0005-0000-0000-00002F110000}"/>
    <cellStyle name="Normal 100 4 2 3 3 2" xfId="28551" xr:uid="{00000000-0005-0000-0000-000030110000}"/>
    <cellStyle name="Normal 100 4 2 3 4" xfId="20508" xr:uid="{00000000-0005-0000-0000-000031110000}"/>
    <cellStyle name="Normal 100 4 2 4" xfId="6774" xr:uid="{00000000-0005-0000-0000-000032110000}"/>
    <cellStyle name="Normal 100 4 2 4 2" xfId="15956" xr:uid="{00000000-0005-0000-0000-000033110000}"/>
    <cellStyle name="Normal 100 4 2 4 2 2" xfId="32530" xr:uid="{00000000-0005-0000-0000-000034110000}"/>
    <cellStyle name="Normal 100 4 2 4 3" xfId="24483" xr:uid="{00000000-0005-0000-0000-000035110000}"/>
    <cellStyle name="Normal 100 4 2 5" xfId="12024" xr:uid="{00000000-0005-0000-0000-000036110000}"/>
    <cellStyle name="Normal 100 4 2 5 2" xfId="28548" xr:uid="{00000000-0005-0000-0000-000037110000}"/>
    <cellStyle name="Normal 100 4 2 6" xfId="20505" xr:uid="{00000000-0005-0000-0000-000038110000}"/>
    <cellStyle name="Normal 100 4 3" xfId="2505" xr:uid="{00000000-0005-0000-0000-000039110000}"/>
    <cellStyle name="Normal 100 4 3 2" xfId="2506" xr:uid="{00000000-0005-0000-0000-00003A110000}"/>
    <cellStyle name="Normal 100 4 3 2 2" xfId="6775" xr:uid="{00000000-0005-0000-0000-00003B110000}"/>
    <cellStyle name="Normal 100 4 3 2 2 2" xfId="15957" xr:uid="{00000000-0005-0000-0000-00003C110000}"/>
    <cellStyle name="Normal 100 4 3 2 2 2 2" xfId="32531" xr:uid="{00000000-0005-0000-0000-00003D110000}"/>
    <cellStyle name="Normal 100 4 3 2 2 3" xfId="24484" xr:uid="{00000000-0005-0000-0000-00003E110000}"/>
    <cellStyle name="Normal 100 4 3 2 3" xfId="12029" xr:uid="{00000000-0005-0000-0000-00003F110000}"/>
    <cellStyle name="Normal 100 4 3 2 3 2" xfId="28553" xr:uid="{00000000-0005-0000-0000-000040110000}"/>
    <cellStyle name="Normal 100 4 3 2 4" xfId="20510" xr:uid="{00000000-0005-0000-0000-000041110000}"/>
    <cellStyle name="Normal 100 4 3 3" xfId="6776" xr:uid="{00000000-0005-0000-0000-000042110000}"/>
    <cellStyle name="Normal 100 4 3 3 2" xfId="15958" xr:uid="{00000000-0005-0000-0000-000043110000}"/>
    <cellStyle name="Normal 100 4 3 3 2 2" xfId="32532" xr:uid="{00000000-0005-0000-0000-000044110000}"/>
    <cellStyle name="Normal 100 4 3 3 3" xfId="24485" xr:uid="{00000000-0005-0000-0000-000045110000}"/>
    <cellStyle name="Normal 100 4 3 4" xfId="12028" xr:uid="{00000000-0005-0000-0000-000046110000}"/>
    <cellStyle name="Normal 100 4 3 4 2" xfId="28552" xr:uid="{00000000-0005-0000-0000-000047110000}"/>
    <cellStyle name="Normal 100 4 3 5" xfId="20509" xr:uid="{00000000-0005-0000-0000-000048110000}"/>
    <cellStyle name="Normal 100 4 4" xfId="2507" xr:uid="{00000000-0005-0000-0000-000049110000}"/>
    <cellStyle name="Normal 100 4 4 2" xfId="6777" xr:uid="{00000000-0005-0000-0000-00004A110000}"/>
    <cellStyle name="Normal 100 4 4 2 2" xfId="15959" xr:uid="{00000000-0005-0000-0000-00004B110000}"/>
    <cellStyle name="Normal 100 4 4 2 2 2" xfId="32533" xr:uid="{00000000-0005-0000-0000-00004C110000}"/>
    <cellStyle name="Normal 100 4 4 2 3" xfId="24486" xr:uid="{00000000-0005-0000-0000-00004D110000}"/>
    <cellStyle name="Normal 100 4 4 3" xfId="12030" xr:uid="{00000000-0005-0000-0000-00004E110000}"/>
    <cellStyle name="Normal 100 4 4 3 2" xfId="28554" xr:uid="{00000000-0005-0000-0000-00004F110000}"/>
    <cellStyle name="Normal 100 4 4 4" xfId="20511" xr:uid="{00000000-0005-0000-0000-000050110000}"/>
    <cellStyle name="Normal 100 4 5" xfId="6778" xr:uid="{00000000-0005-0000-0000-000051110000}"/>
    <cellStyle name="Normal 100 4 5 2" xfId="15960" xr:uid="{00000000-0005-0000-0000-000052110000}"/>
    <cellStyle name="Normal 100 4 5 2 2" xfId="32534" xr:uid="{00000000-0005-0000-0000-000053110000}"/>
    <cellStyle name="Normal 100 4 5 3" xfId="24487" xr:uid="{00000000-0005-0000-0000-000054110000}"/>
    <cellStyle name="Normal 100 4 6" xfId="12023" xr:uid="{00000000-0005-0000-0000-000055110000}"/>
    <cellStyle name="Normal 100 4 6 2" xfId="28547" xr:uid="{00000000-0005-0000-0000-000056110000}"/>
    <cellStyle name="Normal 100 4 7" xfId="20504" xr:uid="{00000000-0005-0000-0000-000057110000}"/>
    <cellStyle name="Normal 100 5" xfId="2508" xr:uid="{00000000-0005-0000-0000-000058110000}"/>
    <cellStyle name="Normal 100 5 2" xfId="2509" xr:uid="{00000000-0005-0000-0000-000059110000}"/>
    <cellStyle name="Normal 100 5 2 2" xfId="2510" xr:uid="{00000000-0005-0000-0000-00005A110000}"/>
    <cellStyle name="Normal 100 5 2 2 2" xfId="2511" xr:uid="{00000000-0005-0000-0000-00005B110000}"/>
    <cellStyle name="Normal 100 5 2 2 2 2" xfId="6779" xr:uid="{00000000-0005-0000-0000-00005C110000}"/>
    <cellStyle name="Normal 100 5 2 2 2 2 2" xfId="15961" xr:uid="{00000000-0005-0000-0000-00005D110000}"/>
    <cellStyle name="Normal 100 5 2 2 2 2 2 2" xfId="32535" xr:uid="{00000000-0005-0000-0000-00005E110000}"/>
    <cellStyle name="Normal 100 5 2 2 2 2 3" xfId="24488" xr:uid="{00000000-0005-0000-0000-00005F110000}"/>
    <cellStyle name="Normal 100 5 2 2 2 3" xfId="12034" xr:uid="{00000000-0005-0000-0000-000060110000}"/>
    <cellStyle name="Normal 100 5 2 2 2 3 2" xfId="28558" xr:uid="{00000000-0005-0000-0000-000061110000}"/>
    <cellStyle name="Normal 100 5 2 2 2 4" xfId="20515" xr:uid="{00000000-0005-0000-0000-000062110000}"/>
    <cellStyle name="Normal 100 5 2 2 3" xfId="6780" xr:uid="{00000000-0005-0000-0000-000063110000}"/>
    <cellStyle name="Normal 100 5 2 2 3 2" xfId="15962" xr:uid="{00000000-0005-0000-0000-000064110000}"/>
    <cellStyle name="Normal 100 5 2 2 3 2 2" xfId="32536" xr:uid="{00000000-0005-0000-0000-000065110000}"/>
    <cellStyle name="Normal 100 5 2 2 3 3" xfId="24489" xr:uid="{00000000-0005-0000-0000-000066110000}"/>
    <cellStyle name="Normal 100 5 2 2 4" xfId="12033" xr:uid="{00000000-0005-0000-0000-000067110000}"/>
    <cellStyle name="Normal 100 5 2 2 4 2" xfId="28557" xr:uid="{00000000-0005-0000-0000-000068110000}"/>
    <cellStyle name="Normal 100 5 2 2 5" xfId="20514" xr:uid="{00000000-0005-0000-0000-000069110000}"/>
    <cellStyle name="Normal 100 5 2 3" xfId="2512" xr:uid="{00000000-0005-0000-0000-00006A110000}"/>
    <cellStyle name="Normal 100 5 2 3 2" xfId="6781" xr:uid="{00000000-0005-0000-0000-00006B110000}"/>
    <cellStyle name="Normal 100 5 2 3 2 2" xfId="15963" xr:uid="{00000000-0005-0000-0000-00006C110000}"/>
    <cellStyle name="Normal 100 5 2 3 2 2 2" xfId="32537" xr:uid="{00000000-0005-0000-0000-00006D110000}"/>
    <cellStyle name="Normal 100 5 2 3 2 3" xfId="24490" xr:uid="{00000000-0005-0000-0000-00006E110000}"/>
    <cellStyle name="Normal 100 5 2 3 3" xfId="12035" xr:uid="{00000000-0005-0000-0000-00006F110000}"/>
    <cellStyle name="Normal 100 5 2 3 3 2" xfId="28559" xr:uid="{00000000-0005-0000-0000-000070110000}"/>
    <cellStyle name="Normal 100 5 2 3 4" xfId="20516" xr:uid="{00000000-0005-0000-0000-000071110000}"/>
    <cellStyle name="Normal 100 5 2 4" xfId="6782" xr:uid="{00000000-0005-0000-0000-000072110000}"/>
    <cellStyle name="Normal 100 5 2 4 2" xfId="15964" xr:uid="{00000000-0005-0000-0000-000073110000}"/>
    <cellStyle name="Normal 100 5 2 4 2 2" xfId="32538" xr:uid="{00000000-0005-0000-0000-000074110000}"/>
    <cellStyle name="Normal 100 5 2 4 3" xfId="24491" xr:uid="{00000000-0005-0000-0000-000075110000}"/>
    <cellStyle name="Normal 100 5 2 5" xfId="12032" xr:uid="{00000000-0005-0000-0000-000076110000}"/>
    <cellStyle name="Normal 100 5 2 5 2" xfId="28556" xr:uid="{00000000-0005-0000-0000-000077110000}"/>
    <cellStyle name="Normal 100 5 2 6" xfId="20513" xr:uid="{00000000-0005-0000-0000-000078110000}"/>
    <cellStyle name="Normal 100 5 3" xfId="2513" xr:uid="{00000000-0005-0000-0000-000079110000}"/>
    <cellStyle name="Normal 100 5 3 2" xfId="2514" xr:uid="{00000000-0005-0000-0000-00007A110000}"/>
    <cellStyle name="Normal 100 5 3 2 2" xfId="6783" xr:uid="{00000000-0005-0000-0000-00007B110000}"/>
    <cellStyle name="Normal 100 5 3 2 2 2" xfId="15965" xr:uid="{00000000-0005-0000-0000-00007C110000}"/>
    <cellStyle name="Normal 100 5 3 2 2 2 2" xfId="32539" xr:uid="{00000000-0005-0000-0000-00007D110000}"/>
    <cellStyle name="Normal 100 5 3 2 2 3" xfId="24492" xr:uid="{00000000-0005-0000-0000-00007E110000}"/>
    <cellStyle name="Normal 100 5 3 2 3" xfId="12037" xr:uid="{00000000-0005-0000-0000-00007F110000}"/>
    <cellStyle name="Normal 100 5 3 2 3 2" xfId="28561" xr:uid="{00000000-0005-0000-0000-000080110000}"/>
    <cellStyle name="Normal 100 5 3 2 4" xfId="20518" xr:uid="{00000000-0005-0000-0000-000081110000}"/>
    <cellStyle name="Normal 100 5 3 3" xfId="6784" xr:uid="{00000000-0005-0000-0000-000082110000}"/>
    <cellStyle name="Normal 100 5 3 3 2" xfId="15966" xr:uid="{00000000-0005-0000-0000-000083110000}"/>
    <cellStyle name="Normal 100 5 3 3 2 2" xfId="32540" xr:uid="{00000000-0005-0000-0000-000084110000}"/>
    <cellStyle name="Normal 100 5 3 3 3" xfId="24493" xr:uid="{00000000-0005-0000-0000-000085110000}"/>
    <cellStyle name="Normal 100 5 3 4" xfId="12036" xr:uid="{00000000-0005-0000-0000-000086110000}"/>
    <cellStyle name="Normal 100 5 3 4 2" xfId="28560" xr:uid="{00000000-0005-0000-0000-000087110000}"/>
    <cellStyle name="Normal 100 5 3 5" xfId="20517" xr:uid="{00000000-0005-0000-0000-000088110000}"/>
    <cellStyle name="Normal 100 5 4" xfId="2515" xr:uid="{00000000-0005-0000-0000-000089110000}"/>
    <cellStyle name="Normal 100 5 4 2" xfId="6785" xr:uid="{00000000-0005-0000-0000-00008A110000}"/>
    <cellStyle name="Normal 100 5 4 2 2" xfId="15967" xr:uid="{00000000-0005-0000-0000-00008B110000}"/>
    <cellStyle name="Normal 100 5 4 2 2 2" xfId="32541" xr:uid="{00000000-0005-0000-0000-00008C110000}"/>
    <cellStyle name="Normal 100 5 4 2 3" xfId="24494" xr:uid="{00000000-0005-0000-0000-00008D110000}"/>
    <cellStyle name="Normal 100 5 4 3" xfId="12038" xr:uid="{00000000-0005-0000-0000-00008E110000}"/>
    <cellStyle name="Normal 100 5 4 3 2" xfId="28562" xr:uid="{00000000-0005-0000-0000-00008F110000}"/>
    <cellStyle name="Normal 100 5 4 4" xfId="20519" xr:uid="{00000000-0005-0000-0000-000090110000}"/>
    <cellStyle name="Normal 100 5 5" xfId="6786" xr:uid="{00000000-0005-0000-0000-000091110000}"/>
    <cellStyle name="Normal 100 5 5 2" xfId="15968" xr:uid="{00000000-0005-0000-0000-000092110000}"/>
    <cellStyle name="Normal 100 5 5 2 2" xfId="32542" xr:uid="{00000000-0005-0000-0000-000093110000}"/>
    <cellStyle name="Normal 100 5 5 3" xfId="24495" xr:uid="{00000000-0005-0000-0000-000094110000}"/>
    <cellStyle name="Normal 100 5 6" xfId="12031" xr:uid="{00000000-0005-0000-0000-000095110000}"/>
    <cellStyle name="Normal 100 5 6 2" xfId="28555" xr:uid="{00000000-0005-0000-0000-000096110000}"/>
    <cellStyle name="Normal 100 5 7" xfId="20512" xr:uid="{00000000-0005-0000-0000-000097110000}"/>
    <cellStyle name="Normal 100 6" xfId="2516" xr:uid="{00000000-0005-0000-0000-000098110000}"/>
    <cellStyle name="Normal 100 6 2" xfId="2517" xr:uid="{00000000-0005-0000-0000-000099110000}"/>
    <cellStyle name="Normal 100 6 2 2" xfId="2518" xr:uid="{00000000-0005-0000-0000-00009A110000}"/>
    <cellStyle name="Normal 100 6 2 2 2" xfId="6787" xr:uid="{00000000-0005-0000-0000-00009B110000}"/>
    <cellStyle name="Normal 100 6 2 2 2 2" xfId="15969" xr:uid="{00000000-0005-0000-0000-00009C110000}"/>
    <cellStyle name="Normal 100 6 2 2 2 2 2" xfId="32543" xr:uid="{00000000-0005-0000-0000-00009D110000}"/>
    <cellStyle name="Normal 100 6 2 2 2 3" xfId="24496" xr:uid="{00000000-0005-0000-0000-00009E110000}"/>
    <cellStyle name="Normal 100 6 2 2 3" xfId="12041" xr:uid="{00000000-0005-0000-0000-00009F110000}"/>
    <cellStyle name="Normal 100 6 2 2 3 2" xfId="28565" xr:uid="{00000000-0005-0000-0000-0000A0110000}"/>
    <cellStyle name="Normal 100 6 2 2 4" xfId="20522" xr:uid="{00000000-0005-0000-0000-0000A1110000}"/>
    <cellStyle name="Normal 100 6 2 3" xfId="6788" xr:uid="{00000000-0005-0000-0000-0000A2110000}"/>
    <cellStyle name="Normal 100 6 2 3 2" xfId="15970" xr:uid="{00000000-0005-0000-0000-0000A3110000}"/>
    <cellStyle name="Normal 100 6 2 3 2 2" xfId="32544" xr:uid="{00000000-0005-0000-0000-0000A4110000}"/>
    <cellStyle name="Normal 100 6 2 3 3" xfId="24497" xr:uid="{00000000-0005-0000-0000-0000A5110000}"/>
    <cellStyle name="Normal 100 6 2 4" xfId="12040" xr:uid="{00000000-0005-0000-0000-0000A6110000}"/>
    <cellStyle name="Normal 100 6 2 4 2" xfId="28564" xr:uid="{00000000-0005-0000-0000-0000A7110000}"/>
    <cellStyle name="Normal 100 6 2 5" xfId="20521" xr:uid="{00000000-0005-0000-0000-0000A8110000}"/>
    <cellStyle name="Normal 100 6 3" xfId="2519" xr:uid="{00000000-0005-0000-0000-0000A9110000}"/>
    <cellStyle name="Normal 100 6 3 2" xfId="6789" xr:uid="{00000000-0005-0000-0000-0000AA110000}"/>
    <cellStyle name="Normal 100 6 3 2 2" xfId="15971" xr:uid="{00000000-0005-0000-0000-0000AB110000}"/>
    <cellStyle name="Normal 100 6 3 2 2 2" xfId="32545" xr:uid="{00000000-0005-0000-0000-0000AC110000}"/>
    <cellStyle name="Normal 100 6 3 2 3" xfId="24498" xr:uid="{00000000-0005-0000-0000-0000AD110000}"/>
    <cellStyle name="Normal 100 6 3 3" xfId="12042" xr:uid="{00000000-0005-0000-0000-0000AE110000}"/>
    <cellStyle name="Normal 100 6 3 3 2" xfId="28566" xr:uid="{00000000-0005-0000-0000-0000AF110000}"/>
    <cellStyle name="Normal 100 6 3 4" xfId="20523" xr:uid="{00000000-0005-0000-0000-0000B0110000}"/>
    <cellStyle name="Normal 100 6 4" xfId="6790" xr:uid="{00000000-0005-0000-0000-0000B1110000}"/>
    <cellStyle name="Normal 100 6 4 2" xfId="15972" xr:uid="{00000000-0005-0000-0000-0000B2110000}"/>
    <cellStyle name="Normal 100 6 4 2 2" xfId="32546" xr:uid="{00000000-0005-0000-0000-0000B3110000}"/>
    <cellStyle name="Normal 100 6 4 3" xfId="24499" xr:uid="{00000000-0005-0000-0000-0000B4110000}"/>
    <cellStyle name="Normal 100 6 5" xfId="12039" xr:uid="{00000000-0005-0000-0000-0000B5110000}"/>
    <cellStyle name="Normal 100 6 5 2" xfId="28563" xr:uid="{00000000-0005-0000-0000-0000B6110000}"/>
    <cellStyle name="Normal 100 6 6" xfId="20520" xr:uid="{00000000-0005-0000-0000-0000B7110000}"/>
    <cellStyle name="Normal 100 7" xfId="2520" xr:uid="{00000000-0005-0000-0000-0000B8110000}"/>
    <cellStyle name="Normal 100 7 2" xfId="2521" xr:uid="{00000000-0005-0000-0000-0000B9110000}"/>
    <cellStyle name="Normal 100 7 2 2" xfId="6791" xr:uid="{00000000-0005-0000-0000-0000BA110000}"/>
    <cellStyle name="Normal 100 7 2 2 2" xfId="15973" xr:uid="{00000000-0005-0000-0000-0000BB110000}"/>
    <cellStyle name="Normal 100 7 2 2 2 2" xfId="32547" xr:uid="{00000000-0005-0000-0000-0000BC110000}"/>
    <cellStyle name="Normal 100 7 2 2 3" xfId="24500" xr:uid="{00000000-0005-0000-0000-0000BD110000}"/>
    <cellStyle name="Normal 100 7 2 3" xfId="12044" xr:uid="{00000000-0005-0000-0000-0000BE110000}"/>
    <cellStyle name="Normal 100 7 2 3 2" xfId="28568" xr:uid="{00000000-0005-0000-0000-0000BF110000}"/>
    <cellStyle name="Normal 100 7 2 4" xfId="20525" xr:uid="{00000000-0005-0000-0000-0000C0110000}"/>
    <cellStyle name="Normal 100 7 3" xfId="6792" xr:uid="{00000000-0005-0000-0000-0000C1110000}"/>
    <cellStyle name="Normal 100 7 3 2" xfId="15974" xr:uid="{00000000-0005-0000-0000-0000C2110000}"/>
    <cellStyle name="Normal 100 7 3 2 2" xfId="32548" xr:uid="{00000000-0005-0000-0000-0000C3110000}"/>
    <cellStyle name="Normal 100 7 3 3" xfId="24501" xr:uid="{00000000-0005-0000-0000-0000C4110000}"/>
    <cellStyle name="Normal 100 7 4" xfId="12043" xr:uid="{00000000-0005-0000-0000-0000C5110000}"/>
    <cellStyle name="Normal 100 7 4 2" xfId="28567" xr:uid="{00000000-0005-0000-0000-0000C6110000}"/>
    <cellStyle name="Normal 100 7 5" xfId="20524" xr:uid="{00000000-0005-0000-0000-0000C7110000}"/>
    <cellStyle name="Normal 100 8" xfId="2522" xr:uid="{00000000-0005-0000-0000-0000C8110000}"/>
    <cellStyle name="Normal 100 8 2" xfId="6793" xr:uid="{00000000-0005-0000-0000-0000C9110000}"/>
    <cellStyle name="Normal 100 8 2 2" xfId="15975" xr:uid="{00000000-0005-0000-0000-0000CA110000}"/>
    <cellStyle name="Normal 100 8 2 2 2" xfId="32549" xr:uid="{00000000-0005-0000-0000-0000CB110000}"/>
    <cellStyle name="Normal 100 8 2 3" xfId="24502" xr:uid="{00000000-0005-0000-0000-0000CC110000}"/>
    <cellStyle name="Normal 100 8 3" xfId="12045" xr:uid="{00000000-0005-0000-0000-0000CD110000}"/>
    <cellStyle name="Normal 100 8 3 2" xfId="28569" xr:uid="{00000000-0005-0000-0000-0000CE110000}"/>
    <cellStyle name="Normal 100 8 4" xfId="20526" xr:uid="{00000000-0005-0000-0000-0000CF110000}"/>
    <cellStyle name="Normal 100 9" xfId="6794" xr:uid="{00000000-0005-0000-0000-0000D0110000}"/>
    <cellStyle name="Normal 100 9 2" xfId="15976" xr:uid="{00000000-0005-0000-0000-0000D1110000}"/>
    <cellStyle name="Normal 100 9 2 2" xfId="32550" xr:uid="{00000000-0005-0000-0000-0000D2110000}"/>
    <cellStyle name="Normal 100 9 3" xfId="24503" xr:uid="{00000000-0005-0000-0000-0000D3110000}"/>
    <cellStyle name="Normal 101" xfId="2523" xr:uid="{00000000-0005-0000-0000-0000D4110000}"/>
    <cellStyle name="Normal 101 10" xfId="12046" xr:uid="{00000000-0005-0000-0000-0000D5110000}"/>
    <cellStyle name="Normal 101 10 2" xfId="28570" xr:uid="{00000000-0005-0000-0000-0000D6110000}"/>
    <cellStyle name="Normal 101 11" xfId="20527" xr:uid="{00000000-0005-0000-0000-0000D7110000}"/>
    <cellStyle name="Normal 101 2" xfId="2524" xr:uid="{00000000-0005-0000-0000-0000D8110000}"/>
    <cellStyle name="Normal 101 2 2" xfId="2525" xr:uid="{00000000-0005-0000-0000-0000D9110000}"/>
    <cellStyle name="Normal 101 2 3" xfId="12047" xr:uid="{00000000-0005-0000-0000-0000DA110000}"/>
    <cellStyle name="Normal 101 2 3 2" xfId="28571" xr:uid="{00000000-0005-0000-0000-0000DB110000}"/>
    <cellStyle name="Normal 101 2 4" xfId="20528" xr:uid="{00000000-0005-0000-0000-0000DC110000}"/>
    <cellStyle name="Normal 101 3" xfId="2526" xr:uid="{00000000-0005-0000-0000-0000DD110000}"/>
    <cellStyle name="Normal 101 3 2" xfId="2527" xr:uid="{00000000-0005-0000-0000-0000DE110000}"/>
    <cellStyle name="Normal 101 3 2 2" xfId="2528" xr:uid="{00000000-0005-0000-0000-0000DF110000}"/>
    <cellStyle name="Normal 101 3 2 2 2" xfId="2529" xr:uid="{00000000-0005-0000-0000-0000E0110000}"/>
    <cellStyle name="Normal 101 3 2 2 2 2" xfId="6795" xr:uid="{00000000-0005-0000-0000-0000E1110000}"/>
    <cellStyle name="Normal 101 3 2 2 2 2 2" xfId="15977" xr:uid="{00000000-0005-0000-0000-0000E2110000}"/>
    <cellStyle name="Normal 101 3 2 2 2 2 2 2" xfId="32551" xr:uid="{00000000-0005-0000-0000-0000E3110000}"/>
    <cellStyle name="Normal 101 3 2 2 2 2 3" xfId="24504" xr:uid="{00000000-0005-0000-0000-0000E4110000}"/>
    <cellStyle name="Normal 101 3 2 2 2 3" xfId="12050" xr:uid="{00000000-0005-0000-0000-0000E5110000}"/>
    <cellStyle name="Normal 101 3 2 2 2 3 2" xfId="28574" xr:uid="{00000000-0005-0000-0000-0000E6110000}"/>
    <cellStyle name="Normal 101 3 2 2 2 4" xfId="20531" xr:uid="{00000000-0005-0000-0000-0000E7110000}"/>
    <cellStyle name="Normal 101 3 2 2 3" xfId="6796" xr:uid="{00000000-0005-0000-0000-0000E8110000}"/>
    <cellStyle name="Normal 101 3 2 2 3 2" xfId="15978" xr:uid="{00000000-0005-0000-0000-0000E9110000}"/>
    <cellStyle name="Normal 101 3 2 2 3 2 2" xfId="32552" xr:uid="{00000000-0005-0000-0000-0000EA110000}"/>
    <cellStyle name="Normal 101 3 2 2 3 3" xfId="24505" xr:uid="{00000000-0005-0000-0000-0000EB110000}"/>
    <cellStyle name="Normal 101 3 2 2 4" xfId="12049" xr:uid="{00000000-0005-0000-0000-0000EC110000}"/>
    <cellStyle name="Normal 101 3 2 2 4 2" xfId="28573" xr:uid="{00000000-0005-0000-0000-0000ED110000}"/>
    <cellStyle name="Normal 101 3 2 2 5" xfId="20530" xr:uid="{00000000-0005-0000-0000-0000EE110000}"/>
    <cellStyle name="Normal 101 3 2 3" xfId="2530" xr:uid="{00000000-0005-0000-0000-0000EF110000}"/>
    <cellStyle name="Normal 101 3 2 3 2" xfId="6797" xr:uid="{00000000-0005-0000-0000-0000F0110000}"/>
    <cellStyle name="Normal 101 3 2 3 2 2" xfId="15979" xr:uid="{00000000-0005-0000-0000-0000F1110000}"/>
    <cellStyle name="Normal 101 3 2 3 2 2 2" xfId="32553" xr:uid="{00000000-0005-0000-0000-0000F2110000}"/>
    <cellStyle name="Normal 101 3 2 3 2 3" xfId="24506" xr:uid="{00000000-0005-0000-0000-0000F3110000}"/>
    <cellStyle name="Normal 101 3 2 3 3" xfId="12051" xr:uid="{00000000-0005-0000-0000-0000F4110000}"/>
    <cellStyle name="Normal 101 3 2 3 3 2" xfId="28575" xr:uid="{00000000-0005-0000-0000-0000F5110000}"/>
    <cellStyle name="Normal 101 3 2 3 4" xfId="20532" xr:uid="{00000000-0005-0000-0000-0000F6110000}"/>
    <cellStyle name="Normal 101 3 2 4" xfId="6798" xr:uid="{00000000-0005-0000-0000-0000F7110000}"/>
    <cellStyle name="Normal 101 3 2 4 2" xfId="15980" xr:uid="{00000000-0005-0000-0000-0000F8110000}"/>
    <cellStyle name="Normal 101 3 2 4 2 2" xfId="32554" xr:uid="{00000000-0005-0000-0000-0000F9110000}"/>
    <cellStyle name="Normal 101 3 2 4 3" xfId="24507" xr:uid="{00000000-0005-0000-0000-0000FA110000}"/>
    <cellStyle name="Normal 101 3 2 5" xfId="12048" xr:uid="{00000000-0005-0000-0000-0000FB110000}"/>
    <cellStyle name="Normal 101 3 2 5 2" xfId="28572" xr:uid="{00000000-0005-0000-0000-0000FC110000}"/>
    <cellStyle name="Normal 101 3 2 6" xfId="20529" xr:uid="{00000000-0005-0000-0000-0000FD110000}"/>
    <cellStyle name="Normal 101 3 3" xfId="2531" xr:uid="{00000000-0005-0000-0000-0000FE110000}"/>
    <cellStyle name="Normal 101 3 3 2" xfId="2532" xr:uid="{00000000-0005-0000-0000-0000FF110000}"/>
    <cellStyle name="Normal 101 3 3 2 2" xfId="6799" xr:uid="{00000000-0005-0000-0000-000000120000}"/>
    <cellStyle name="Normal 101 3 3 2 2 2" xfId="15981" xr:uid="{00000000-0005-0000-0000-000001120000}"/>
    <cellStyle name="Normal 101 3 3 2 2 2 2" xfId="32555" xr:uid="{00000000-0005-0000-0000-000002120000}"/>
    <cellStyle name="Normal 101 3 3 2 2 3" xfId="24508" xr:uid="{00000000-0005-0000-0000-000003120000}"/>
    <cellStyle name="Normal 101 3 3 2 3" xfId="12053" xr:uid="{00000000-0005-0000-0000-000004120000}"/>
    <cellStyle name="Normal 101 3 3 2 3 2" xfId="28577" xr:uid="{00000000-0005-0000-0000-000005120000}"/>
    <cellStyle name="Normal 101 3 3 2 4" xfId="20534" xr:uid="{00000000-0005-0000-0000-000006120000}"/>
    <cellStyle name="Normal 101 3 3 3" xfId="6800" xr:uid="{00000000-0005-0000-0000-000007120000}"/>
    <cellStyle name="Normal 101 3 3 3 2" xfId="15982" xr:uid="{00000000-0005-0000-0000-000008120000}"/>
    <cellStyle name="Normal 101 3 3 3 2 2" xfId="32556" xr:uid="{00000000-0005-0000-0000-000009120000}"/>
    <cellStyle name="Normal 101 3 3 3 3" xfId="24509" xr:uid="{00000000-0005-0000-0000-00000A120000}"/>
    <cellStyle name="Normal 101 3 3 4" xfId="12052" xr:uid="{00000000-0005-0000-0000-00000B120000}"/>
    <cellStyle name="Normal 101 3 3 4 2" xfId="28576" xr:uid="{00000000-0005-0000-0000-00000C120000}"/>
    <cellStyle name="Normal 101 3 3 5" xfId="20533" xr:uid="{00000000-0005-0000-0000-00000D120000}"/>
    <cellStyle name="Normal 101 3 4" xfId="2533" xr:uid="{00000000-0005-0000-0000-00000E120000}"/>
    <cellStyle name="Normal 101 3 4 2" xfId="6801" xr:uid="{00000000-0005-0000-0000-00000F120000}"/>
    <cellStyle name="Normal 101 3 4 2 2" xfId="15983" xr:uid="{00000000-0005-0000-0000-000010120000}"/>
    <cellStyle name="Normal 101 3 4 2 2 2" xfId="32557" xr:uid="{00000000-0005-0000-0000-000011120000}"/>
    <cellStyle name="Normal 101 3 4 2 3" xfId="24510" xr:uid="{00000000-0005-0000-0000-000012120000}"/>
    <cellStyle name="Normal 101 3 4 3" xfId="12054" xr:uid="{00000000-0005-0000-0000-000013120000}"/>
    <cellStyle name="Normal 101 3 4 3 2" xfId="28578" xr:uid="{00000000-0005-0000-0000-000014120000}"/>
    <cellStyle name="Normal 101 3 4 4" xfId="20535" xr:uid="{00000000-0005-0000-0000-000015120000}"/>
    <cellStyle name="Normal 101 3 5" xfId="2534" xr:uid="{00000000-0005-0000-0000-000016120000}"/>
    <cellStyle name="Normal 101 3 5 2" xfId="12055" xr:uid="{00000000-0005-0000-0000-000017120000}"/>
    <cellStyle name="Normal 101 3 5 2 2" xfId="28579" xr:uid="{00000000-0005-0000-0000-000018120000}"/>
    <cellStyle name="Normal 101 3 5 3" xfId="20536" xr:uid="{00000000-0005-0000-0000-000019120000}"/>
    <cellStyle name="Normal 101 4" xfId="2535" xr:uid="{00000000-0005-0000-0000-00001A120000}"/>
    <cellStyle name="Normal 101 4 2" xfId="2536" xr:uid="{00000000-0005-0000-0000-00001B120000}"/>
    <cellStyle name="Normal 101 4 2 2" xfId="2537" xr:uid="{00000000-0005-0000-0000-00001C120000}"/>
    <cellStyle name="Normal 101 4 2 2 2" xfId="2538" xr:uid="{00000000-0005-0000-0000-00001D120000}"/>
    <cellStyle name="Normal 101 4 2 2 2 2" xfId="6802" xr:uid="{00000000-0005-0000-0000-00001E120000}"/>
    <cellStyle name="Normal 101 4 2 2 2 2 2" xfId="15984" xr:uid="{00000000-0005-0000-0000-00001F120000}"/>
    <cellStyle name="Normal 101 4 2 2 2 2 2 2" xfId="32558" xr:uid="{00000000-0005-0000-0000-000020120000}"/>
    <cellStyle name="Normal 101 4 2 2 2 2 3" xfId="24511" xr:uid="{00000000-0005-0000-0000-000021120000}"/>
    <cellStyle name="Normal 101 4 2 2 2 3" xfId="12059" xr:uid="{00000000-0005-0000-0000-000022120000}"/>
    <cellStyle name="Normal 101 4 2 2 2 3 2" xfId="28583" xr:uid="{00000000-0005-0000-0000-000023120000}"/>
    <cellStyle name="Normal 101 4 2 2 2 4" xfId="20540" xr:uid="{00000000-0005-0000-0000-000024120000}"/>
    <cellStyle name="Normal 101 4 2 2 3" xfId="6803" xr:uid="{00000000-0005-0000-0000-000025120000}"/>
    <cellStyle name="Normal 101 4 2 2 3 2" xfId="15985" xr:uid="{00000000-0005-0000-0000-000026120000}"/>
    <cellStyle name="Normal 101 4 2 2 3 2 2" xfId="32559" xr:uid="{00000000-0005-0000-0000-000027120000}"/>
    <cellStyle name="Normal 101 4 2 2 3 3" xfId="24512" xr:uid="{00000000-0005-0000-0000-000028120000}"/>
    <cellStyle name="Normal 101 4 2 2 4" xfId="12058" xr:uid="{00000000-0005-0000-0000-000029120000}"/>
    <cellStyle name="Normal 101 4 2 2 4 2" xfId="28582" xr:uid="{00000000-0005-0000-0000-00002A120000}"/>
    <cellStyle name="Normal 101 4 2 2 5" xfId="20539" xr:uid="{00000000-0005-0000-0000-00002B120000}"/>
    <cellStyle name="Normal 101 4 2 3" xfId="2539" xr:uid="{00000000-0005-0000-0000-00002C120000}"/>
    <cellStyle name="Normal 101 4 2 3 2" xfId="6804" xr:uid="{00000000-0005-0000-0000-00002D120000}"/>
    <cellStyle name="Normal 101 4 2 3 2 2" xfId="15986" xr:uid="{00000000-0005-0000-0000-00002E120000}"/>
    <cellStyle name="Normal 101 4 2 3 2 2 2" xfId="32560" xr:uid="{00000000-0005-0000-0000-00002F120000}"/>
    <cellStyle name="Normal 101 4 2 3 2 3" xfId="24513" xr:uid="{00000000-0005-0000-0000-000030120000}"/>
    <cellStyle name="Normal 101 4 2 3 3" xfId="12060" xr:uid="{00000000-0005-0000-0000-000031120000}"/>
    <cellStyle name="Normal 101 4 2 3 3 2" xfId="28584" xr:uid="{00000000-0005-0000-0000-000032120000}"/>
    <cellStyle name="Normal 101 4 2 3 4" xfId="20541" xr:uid="{00000000-0005-0000-0000-000033120000}"/>
    <cellStyle name="Normal 101 4 2 4" xfId="6805" xr:uid="{00000000-0005-0000-0000-000034120000}"/>
    <cellStyle name="Normal 101 4 2 4 2" xfId="15987" xr:uid="{00000000-0005-0000-0000-000035120000}"/>
    <cellStyle name="Normal 101 4 2 4 2 2" xfId="32561" xr:uid="{00000000-0005-0000-0000-000036120000}"/>
    <cellStyle name="Normal 101 4 2 4 3" xfId="24514" xr:uid="{00000000-0005-0000-0000-000037120000}"/>
    <cellStyle name="Normal 101 4 2 5" xfId="12057" xr:uid="{00000000-0005-0000-0000-000038120000}"/>
    <cellStyle name="Normal 101 4 2 5 2" xfId="28581" xr:uid="{00000000-0005-0000-0000-000039120000}"/>
    <cellStyle name="Normal 101 4 2 6" xfId="20538" xr:uid="{00000000-0005-0000-0000-00003A120000}"/>
    <cellStyle name="Normal 101 4 3" xfId="2540" xr:uid="{00000000-0005-0000-0000-00003B120000}"/>
    <cellStyle name="Normal 101 4 3 2" xfId="2541" xr:uid="{00000000-0005-0000-0000-00003C120000}"/>
    <cellStyle name="Normal 101 4 3 2 2" xfId="6806" xr:uid="{00000000-0005-0000-0000-00003D120000}"/>
    <cellStyle name="Normal 101 4 3 2 2 2" xfId="15988" xr:uid="{00000000-0005-0000-0000-00003E120000}"/>
    <cellStyle name="Normal 101 4 3 2 2 2 2" xfId="32562" xr:uid="{00000000-0005-0000-0000-00003F120000}"/>
    <cellStyle name="Normal 101 4 3 2 2 3" xfId="24515" xr:uid="{00000000-0005-0000-0000-000040120000}"/>
    <cellStyle name="Normal 101 4 3 2 3" xfId="12062" xr:uid="{00000000-0005-0000-0000-000041120000}"/>
    <cellStyle name="Normal 101 4 3 2 3 2" xfId="28586" xr:uid="{00000000-0005-0000-0000-000042120000}"/>
    <cellStyle name="Normal 101 4 3 2 4" xfId="20543" xr:uid="{00000000-0005-0000-0000-000043120000}"/>
    <cellStyle name="Normal 101 4 3 3" xfId="6807" xr:uid="{00000000-0005-0000-0000-000044120000}"/>
    <cellStyle name="Normal 101 4 3 3 2" xfId="15989" xr:uid="{00000000-0005-0000-0000-000045120000}"/>
    <cellStyle name="Normal 101 4 3 3 2 2" xfId="32563" xr:uid="{00000000-0005-0000-0000-000046120000}"/>
    <cellStyle name="Normal 101 4 3 3 3" xfId="24516" xr:uid="{00000000-0005-0000-0000-000047120000}"/>
    <cellStyle name="Normal 101 4 3 4" xfId="12061" xr:uid="{00000000-0005-0000-0000-000048120000}"/>
    <cellStyle name="Normal 101 4 3 4 2" xfId="28585" xr:uid="{00000000-0005-0000-0000-000049120000}"/>
    <cellStyle name="Normal 101 4 3 5" xfId="20542" xr:uid="{00000000-0005-0000-0000-00004A120000}"/>
    <cellStyle name="Normal 101 4 4" xfId="2542" xr:uid="{00000000-0005-0000-0000-00004B120000}"/>
    <cellStyle name="Normal 101 4 4 2" xfId="6808" xr:uid="{00000000-0005-0000-0000-00004C120000}"/>
    <cellStyle name="Normal 101 4 4 2 2" xfId="15990" xr:uid="{00000000-0005-0000-0000-00004D120000}"/>
    <cellStyle name="Normal 101 4 4 2 2 2" xfId="32564" xr:uid="{00000000-0005-0000-0000-00004E120000}"/>
    <cellStyle name="Normal 101 4 4 2 3" xfId="24517" xr:uid="{00000000-0005-0000-0000-00004F120000}"/>
    <cellStyle name="Normal 101 4 4 3" xfId="12063" xr:uid="{00000000-0005-0000-0000-000050120000}"/>
    <cellStyle name="Normal 101 4 4 3 2" xfId="28587" xr:uid="{00000000-0005-0000-0000-000051120000}"/>
    <cellStyle name="Normal 101 4 4 4" xfId="20544" xr:uid="{00000000-0005-0000-0000-000052120000}"/>
    <cellStyle name="Normal 101 4 5" xfId="6809" xr:uid="{00000000-0005-0000-0000-000053120000}"/>
    <cellStyle name="Normal 101 4 5 2" xfId="15991" xr:uid="{00000000-0005-0000-0000-000054120000}"/>
    <cellStyle name="Normal 101 4 5 2 2" xfId="32565" xr:uid="{00000000-0005-0000-0000-000055120000}"/>
    <cellStyle name="Normal 101 4 5 3" xfId="24518" xr:uid="{00000000-0005-0000-0000-000056120000}"/>
    <cellStyle name="Normal 101 4 6" xfId="12056" xr:uid="{00000000-0005-0000-0000-000057120000}"/>
    <cellStyle name="Normal 101 4 6 2" xfId="28580" xr:uid="{00000000-0005-0000-0000-000058120000}"/>
    <cellStyle name="Normal 101 4 7" xfId="20537" xr:uid="{00000000-0005-0000-0000-000059120000}"/>
    <cellStyle name="Normal 101 5" xfId="2543" xr:uid="{00000000-0005-0000-0000-00005A120000}"/>
    <cellStyle name="Normal 101 5 2" xfId="2544" xr:uid="{00000000-0005-0000-0000-00005B120000}"/>
    <cellStyle name="Normal 101 5 2 2" xfId="2545" xr:uid="{00000000-0005-0000-0000-00005C120000}"/>
    <cellStyle name="Normal 101 5 2 2 2" xfId="2546" xr:uid="{00000000-0005-0000-0000-00005D120000}"/>
    <cellStyle name="Normal 101 5 2 2 2 2" xfId="6810" xr:uid="{00000000-0005-0000-0000-00005E120000}"/>
    <cellStyle name="Normal 101 5 2 2 2 2 2" xfId="15992" xr:uid="{00000000-0005-0000-0000-00005F120000}"/>
    <cellStyle name="Normal 101 5 2 2 2 2 2 2" xfId="32566" xr:uid="{00000000-0005-0000-0000-000060120000}"/>
    <cellStyle name="Normal 101 5 2 2 2 2 3" xfId="24519" xr:uid="{00000000-0005-0000-0000-000061120000}"/>
    <cellStyle name="Normal 101 5 2 2 2 3" xfId="12067" xr:uid="{00000000-0005-0000-0000-000062120000}"/>
    <cellStyle name="Normal 101 5 2 2 2 3 2" xfId="28591" xr:uid="{00000000-0005-0000-0000-000063120000}"/>
    <cellStyle name="Normal 101 5 2 2 2 4" xfId="20548" xr:uid="{00000000-0005-0000-0000-000064120000}"/>
    <cellStyle name="Normal 101 5 2 2 3" xfId="6811" xr:uid="{00000000-0005-0000-0000-000065120000}"/>
    <cellStyle name="Normal 101 5 2 2 3 2" xfId="15993" xr:uid="{00000000-0005-0000-0000-000066120000}"/>
    <cellStyle name="Normal 101 5 2 2 3 2 2" xfId="32567" xr:uid="{00000000-0005-0000-0000-000067120000}"/>
    <cellStyle name="Normal 101 5 2 2 3 3" xfId="24520" xr:uid="{00000000-0005-0000-0000-000068120000}"/>
    <cellStyle name="Normal 101 5 2 2 4" xfId="12066" xr:uid="{00000000-0005-0000-0000-000069120000}"/>
    <cellStyle name="Normal 101 5 2 2 4 2" xfId="28590" xr:uid="{00000000-0005-0000-0000-00006A120000}"/>
    <cellStyle name="Normal 101 5 2 2 5" xfId="20547" xr:uid="{00000000-0005-0000-0000-00006B120000}"/>
    <cellStyle name="Normal 101 5 2 3" xfId="2547" xr:uid="{00000000-0005-0000-0000-00006C120000}"/>
    <cellStyle name="Normal 101 5 2 3 2" xfId="6812" xr:uid="{00000000-0005-0000-0000-00006D120000}"/>
    <cellStyle name="Normal 101 5 2 3 2 2" xfId="15994" xr:uid="{00000000-0005-0000-0000-00006E120000}"/>
    <cellStyle name="Normal 101 5 2 3 2 2 2" xfId="32568" xr:uid="{00000000-0005-0000-0000-00006F120000}"/>
    <cellStyle name="Normal 101 5 2 3 2 3" xfId="24521" xr:uid="{00000000-0005-0000-0000-000070120000}"/>
    <cellStyle name="Normal 101 5 2 3 3" xfId="12068" xr:uid="{00000000-0005-0000-0000-000071120000}"/>
    <cellStyle name="Normal 101 5 2 3 3 2" xfId="28592" xr:uid="{00000000-0005-0000-0000-000072120000}"/>
    <cellStyle name="Normal 101 5 2 3 4" xfId="20549" xr:uid="{00000000-0005-0000-0000-000073120000}"/>
    <cellStyle name="Normal 101 5 2 4" xfId="6813" xr:uid="{00000000-0005-0000-0000-000074120000}"/>
    <cellStyle name="Normal 101 5 2 4 2" xfId="15995" xr:uid="{00000000-0005-0000-0000-000075120000}"/>
    <cellStyle name="Normal 101 5 2 4 2 2" xfId="32569" xr:uid="{00000000-0005-0000-0000-000076120000}"/>
    <cellStyle name="Normal 101 5 2 4 3" xfId="24522" xr:uid="{00000000-0005-0000-0000-000077120000}"/>
    <cellStyle name="Normal 101 5 2 5" xfId="12065" xr:uid="{00000000-0005-0000-0000-000078120000}"/>
    <cellStyle name="Normal 101 5 2 5 2" xfId="28589" xr:uid="{00000000-0005-0000-0000-000079120000}"/>
    <cellStyle name="Normal 101 5 2 6" xfId="20546" xr:uid="{00000000-0005-0000-0000-00007A120000}"/>
    <cellStyle name="Normal 101 5 3" xfId="2548" xr:uid="{00000000-0005-0000-0000-00007B120000}"/>
    <cellStyle name="Normal 101 5 3 2" xfId="2549" xr:uid="{00000000-0005-0000-0000-00007C120000}"/>
    <cellStyle name="Normal 101 5 3 2 2" xfId="6814" xr:uid="{00000000-0005-0000-0000-00007D120000}"/>
    <cellStyle name="Normal 101 5 3 2 2 2" xfId="15996" xr:uid="{00000000-0005-0000-0000-00007E120000}"/>
    <cellStyle name="Normal 101 5 3 2 2 2 2" xfId="32570" xr:uid="{00000000-0005-0000-0000-00007F120000}"/>
    <cellStyle name="Normal 101 5 3 2 2 3" xfId="24523" xr:uid="{00000000-0005-0000-0000-000080120000}"/>
    <cellStyle name="Normal 101 5 3 2 3" xfId="12070" xr:uid="{00000000-0005-0000-0000-000081120000}"/>
    <cellStyle name="Normal 101 5 3 2 3 2" xfId="28594" xr:uid="{00000000-0005-0000-0000-000082120000}"/>
    <cellStyle name="Normal 101 5 3 2 4" xfId="20551" xr:uid="{00000000-0005-0000-0000-000083120000}"/>
    <cellStyle name="Normal 101 5 3 3" xfId="6815" xr:uid="{00000000-0005-0000-0000-000084120000}"/>
    <cellStyle name="Normal 101 5 3 3 2" xfId="15997" xr:uid="{00000000-0005-0000-0000-000085120000}"/>
    <cellStyle name="Normal 101 5 3 3 2 2" xfId="32571" xr:uid="{00000000-0005-0000-0000-000086120000}"/>
    <cellStyle name="Normal 101 5 3 3 3" xfId="24524" xr:uid="{00000000-0005-0000-0000-000087120000}"/>
    <cellStyle name="Normal 101 5 3 4" xfId="12069" xr:uid="{00000000-0005-0000-0000-000088120000}"/>
    <cellStyle name="Normal 101 5 3 4 2" xfId="28593" xr:uid="{00000000-0005-0000-0000-000089120000}"/>
    <cellStyle name="Normal 101 5 3 5" xfId="20550" xr:uid="{00000000-0005-0000-0000-00008A120000}"/>
    <cellStyle name="Normal 101 5 4" xfId="2550" xr:uid="{00000000-0005-0000-0000-00008B120000}"/>
    <cellStyle name="Normal 101 5 4 2" xfId="6816" xr:uid="{00000000-0005-0000-0000-00008C120000}"/>
    <cellStyle name="Normal 101 5 4 2 2" xfId="15998" xr:uid="{00000000-0005-0000-0000-00008D120000}"/>
    <cellStyle name="Normal 101 5 4 2 2 2" xfId="32572" xr:uid="{00000000-0005-0000-0000-00008E120000}"/>
    <cellStyle name="Normal 101 5 4 2 3" xfId="24525" xr:uid="{00000000-0005-0000-0000-00008F120000}"/>
    <cellStyle name="Normal 101 5 4 3" xfId="12071" xr:uid="{00000000-0005-0000-0000-000090120000}"/>
    <cellStyle name="Normal 101 5 4 3 2" xfId="28595" xr:uid="{00000000-0005-0000-0000-000091120000}"/>
    <cellStyle name="Normal 101 5 4 4" xfId="20552" xr:uid="{00000000-0005-0000-0000-000092120000}"/>
    <cellStyle name="Normal 101 5 5" xfId="6817" xr:uid="{00000000-0005-0000-0000-000093120000}"/>
    <cellStyle name="Normal 101 5 5 2" xfId="15999" xr:uid="{00000000-0005-0000-0000-000094120000}"/>
    <cellStyle name="Normal 101 5 5 2 2" xfId="32573" xr:uid="{00000000-0005-0000-0000-000095120000}"/>
    <cellStyle name="Normal 101 5 5 3" xfId="24526" xr:uid="{00000000-0005-0000-0000-000096120000}"/>
    <cellStyle name="Normal 101 5 6" xfId="12064" xr:uid="{00000000-0005-0000-0000-000097120000}"/>
    <cellStyle name="Normal 101 5 6 2" xfId="28588" xr:uid="{00000000-0005-0000-0000-000098120000}"/>
    <cellStyle name="Normal 101 5 7" xfId="20545" xr:uid="{00000000-0005-0000-0000-000099120000}"/>
    <cellStyle name="Normal 101 6" xfId="2551" xr:uid="{00000000-0005-0000-0000-00009A120000}"/>
    <cellStyle name="Normal 101 6 2" xfId="2552" xr:uid="{00000000-0005-0000-0000-00009B120000}"/>
    <cellStyle name="Normal 101 6 2 2" xfId="2553" xr:uid="{00000000-0005-0000-0000-00009C120000}"/>
    <cellStyle name="Normal 101 6 2 2 2" xfId="6818" xr:uid="{00000000-0005-0000-0000-00009D120000}"/>
    <cellStyle name="Normal 101 6 2 2 2 2" xfId="16000" xr:uid="{00000000-0005-0000-0000-00009E120000}"/>
    <cellStyle name="Normal 101 6 2 2 2 2 2" xfId="32574" xr:uid="{00000000-0005-0000-0000-00009F120000}"/>
    <cellStyle name="Normal 101 6 2 2 2 3" xfId="24527" xr:uid="{00000000-0005-0000-0000-0000A0120000}"/>
    <cellStyle name="Normal 101 6 2 2 3" xfId="12074" xr:uid="{00000000-0005-0000-0000-0000A1120000}"/>
    <cellStyle name="Normal 101 6 2 2 3 2" xfId="28598" xr:uid="{00000000-0005-0000-0000-0000A2120000}"/>
    <cellStyle name="Normal 101 6 2 2 4" xfId="20555" xr:uid="{00000000-0005-0000-0000-0000A3120000}"/>
    <cellStyle name="Normal 101 6 2 3" xfId="6819" xr:uid="{00000000-0005-0000-0000-0000A4120000}"/>
    <cellStyle name="Normal 101 6 2 3 2" xfId="16001" xr:uid="{00000000-0005-0000-0000-0000A5120000}"/>
    <cellStyle name="Normal 101 6 2 3 2 2" xfId="32575" xr:uid="{00000000-0005-0000-0000-0000A6120000}"/>
    <cellStyle name="Normal 101 6 2 3 3" xfId="24528" xr:uid="{00000000-0005-0000-0000-0000A7120000}"/>
    <cellStyle name="Normal 101 6 2 4" xfId="12073" xr:uid="{00000000-0005-0000-0000-0000A8120000}"/>
    <cellStyle name="Normal 101 6 2 4 2" xfId="28597" xr:uid="{00000000-0005-0000-0000-0000A9120000}"/>
    <cellStyle name="Normal 101 6 2 5" xfId="20554" xr:uid="{00000000-0005-0000-0000-0000AA120000}"/>
    <cellStyle name="Normal 101 6 3" xfId="2554" xr:uid="{00000000-0005-0000-0000-0000AB120000}"/>
    <cellStyle name="Normal 101 6 3 2" xfId="6820" xr:uid="{00000000-0005-0000-0000-0000AC120000}"/>
    <cellStyle name="Normal 101 6 3 2 2" xfId="16002" xr:uid="{00000000-0005-0000-0000-0000AD120000}"/>
    <cellStyle name="Normal 101 6 3 2 2 2" xfId="32576" xr:uid="{00000000-0005-0000-0000-0000AE120000}"/>
    <cellStyle name="Normal 101 6 3 2 3" xfId="24529" xr:uid="{00000000-0005-0000-0000-0000AF120000}"/>
    <cellStyle name="Normal 101 6 3 3" xfId="12075" xr:uid="{00000000-0005-0000-0000-0000B0120000}"/>
    <cellStyle name="Normal 101 6 3 3 2" xfId="28599" xr:uid="{00000000-0005-0000-0000-0000B1120000}"/>
    <cellStyle name="Normal 101 6 3 4" xfId="20556" xr:uid="{00000000-0005-0000-0000-0000B2120000}"/>
    <cellStyle name="Normal 101 6 4" xfId="6821" xr:uid="{00000000-0005-0000-0000-0000B3120000}"/>
    <cellStyle name="Normal 101 6 4 2" xfId="16003" xr:uid="{00000000-0005-0000-0000-0000B4120000}"/>
    <cellStyle name="Normal 101 6 4 2 2" xfId="32577" xr:uid="{00000000-0005-0000-0000-0000B5120000}"/>
    <cellStyle name="Normal 101 6 4 3" xfId="24530" xr:uid="{00000000-0005-0000-0000-0000B6120000}"/>
    <cellStyle name="Normal 101 6 5" xfId="12072" xr:uid="{00000000-0005-0000-0000-0000B7120000}"/>
    <cellStyle name="Normal 101 6 5 2" xfId="28596" xr:uid="{00000000-0005-0000-0000-0000B8120000}"/>
    <cellStyle name="Normal 101 6 6" xfId="20553" xr:uid="{00000000-0005-0000-0000-0000B9120000}"/>
    <cellStyle name="Normal 101 7" xfId="2555" xr:uid="{00000000-0005-0000-0000-0000BA120000}"/>
    <cellStyle name="Normal 101 7 2" xfId="2556" xr:uid="{00000000-0005-0000-0000-0000BB120000}"/>
    <cellStyle name="Normal 101 7 2 2" xfId="6822" xr:uid="{00000000-0005-0000-0000-0000BC120000}"/>
    <cellStyle name="Normal 101 7 2 2 2" xfId="16004" xr:uid="{00000000-0005-0000-0000-0000BD120000}"/>
    <cellStyle name="Normal 101 7 2 2 2 2" xfId="32578" xr:uid="{00000000-0005-0000-0000-0000BE120000}"/>
    <cellStyle name="Normal 101 7 2 2 3" xfId="24531" xr:uid="{00000000-0005-0000-0000-0000BF120000}"/>
    <cellStyle name="Normal 101 7 2 3" xfId="12077" xr:uid="{00000000-0005-0000-0000-0000C0120000}"/>
    <cellStyle name="Normal 101 7 2 3 2" xfId="28601" xr:uid="{00000000-0005-0000-0000-0000C1120000}"/>
    <cellStyle name="Normal 101 7 2 4" xfId="20558" xr:uid="{00000000-0005-0000-0000-0000C2120000}"/>
    <cellStyle name="Normal 101 7 3" xfId="6823" xr:uid="{00000000-0005-0000-0000-0000C3120000}"/>
    <cellStyle name="Normal 101 7 3 2" xfId="16005" xr:uid="{00000000-0005-0000-0000-0000C4120000}"/>
    <cellStyle name="Normal 101 7 3 2 2" xfId="32579" xr:uid="{00000000-0005-0000-0000-0000C5120000}"/>
    <cellStyle name="Normal 101 7 3 3" xfId="24532" xr:uid="{00000000-0005-0000-0000-0000C6120000}"/>
    <cellStyle name="Normal 101 7 4" xfId="12076" xr:uid="{00000000-0005-0000-0000-0000C7120000}"/>
    <cellStyle name="Normal 101 7 4 2" xfId="28600" xr:uid="{00000000-0005-0000-0000-0000C8120000}"/>
    <cellStyle name="Normal 101 7 5" xfId="20557" xr:uid="{00000000-0005-0000-0000-0000C9120000}"/>
    <cellStyle name="Normal 101 8" xfId="2557" xr:uid="{00000000-0005-0000-0000-0000CA120000}"/>
    <cellStyle name="Normal 101 8 2" xfId="6824" xr:uid="{00000000-0005-0000-0000-0000CB120000}"/>
    <cellStyle name="Normal 101 8 2 2" xfId="16006" xr:uid="{00000000-0005-0000-0000-0000CC120000}"/>
    <cellStyle name="Normal 101 8 2 2 2" xfId="32580" xr:uid="{00000000-0005-0000-0000-0000CD120000}"/>
    <cellStyle name="Normal 101 8 2 3" xfId="24533" xr:uid="{00000000-0005-0000-0000-0000CE120000}"/>
    <cellStyle name="Normal 101 8 3" xfId="12078" xr:uid="{00000000-0005-0000-0000-0000CF120000}"/>
    <cellStyle name="Normal 101 8 3 2" xfId="28602" xr:uid="{00000000-0005-0000-0000-0000D0120000}"/>
    <cellStyle name="Normal 101 8 4" xfId="20559" xr:uid="{00000000-0005-0000-0000-0000D1120000}"/>
    <cellStyle name="Normal 101 9" xfId="6825" xr:uid="{00000000-0005-0000-0000-0000D2120000}"/>
    <cellStyle name="Normal 101 9 2" xfId="16007" xr:uid="{00000000-0005-0000-0000-0000D3120000}"/>
    <cellStyle name="Normal 101 9 2 2" xfId="32581" xr:uid="{00000000-0005-0000-0000-0000D4120000}"/>
    <cellStyle name="Normal 101 9 3" xfId="24534" xr:uid="{00000000-0005-0000-0000-0000D5120000}"/>
    <cellStyle name="Normal 102" xfId="2558" xr:uid="{00000000-0005-0000-0000-0000D6120000}"/>
    <cellStyle name="Normal 102 10" xfId="12079" xr:uid="{00000000-0005-0000-0000-0000D7120000}"/>
    <cellStyle name="Normal 102 10 2" xfId="28603" xr:uid="{00000000-0005-0000-0000-0000D8120000}"/>
    <cellStyle name="Normal 102 11" xfId="20560" xr:uid="{00000000-0005-0000-0000-0000D9120000}"/>
    <cellStyle name="Normal 102 2" xfId="2559" xr:uid="{00000000-0005-0000-0000-0000DA120000}"/>
    <cellStyle name="Normal 102 2 2" xfId="2560" xr:uid="{00000000-0005-0000-0000-0000DB120000}"/>
    <cellStyle name="Normal 102 2 3" xfId="12080" xr:uid="{00000000-0005-0000-0000-0000DC120000}"/>
    <cellStyle name="Normal 102 2 3 2" xfId="28604" xr:uid="{00000000-0005-0000-0000-0000DD120000}"/>
    <cellStyle name="Normal 102 2 4" xfId="20561" xr:uid="{00000000-0005-0000-0000-0000DE120000}"/>
    <cellStyle name="Normal 102 3" xfId="2561" xr:uid="{00000000-0005-0000-0000-0000DF120000}"/>
    <cellStyle name="Normal 102 3 2" xfId="2562" xr:uid="{00000000-0005-0000-0000-0000E0120000}"/>
    <cellStyle name="Normal 102 3 2 2" xfId="2563" xr:uid="{00000000-0005-0000-0000-0000E1120000}"/>
    <cellStyle name="Normal 102 3 2 2 2" xfId="2564" xr:uid="{00000000-0005-0000-0000-0000E2120000}"/>
    <cellStyle name="Normal 102 3 2 2 2 2" xfId="6826" xr:uid="{00000000-0005-0000-0000-0000E3120000}"/>
    <cellStyle name="Normal 102 3 2 2 2 2 2" xfId="16008" xr:uid="{00000000-0005-0000-0000-0000E4120000}"/>
    <cellStyle name="Normal 102 3 2 2 2 2 2 2" xfId="32582" xr:uid="{00000000-0005-0000-0000-0000E5120000}"/>
    <cellStyle name="Normal 102 3 2 2 2 2 3" xfId="24535" xr:uid="{00000000-0005-0000-0000-0000E6120000}"/>
    <cellStyle name="Normal 102 3 2 2 2 3" xfId="12083" xr:uid="{00000000-0005-0000-0000-0000E7120000}"/>
    <cellStyle name="Normal 102 3 2 2 2 3 2" xfId="28607" xr:uid="{00000000-0005-0000-0000-0000E8120000}"/>
    <cellStyle name="Normal 102 3 2 2 2 4" xfId="20564" xr:uid="{00000000-0005-0000-0000-0000E9120000}"/>
    <cellStyle name="Normal 102 3 2 2 3" xfId="6827" xr:uid="{00000000-0005-0000-0000-0000EA120000}"/>
    <cellStyle name="Normal 102 3 2 2 3 2" xfId="16009" xr:uid="{00000000-0005-0000-0000-0000EB120000}"/>
    <cellStyle name="Normal 102 3 2 2 3 2 2" xfId="32583" xr:uid="{00000000-0005-0000-0000-0000EC120000}"/>
    <cellStyle name="Normal 102 3 2 2 3 3" xfId="24536" xr:uid="{00000000-0005-0000-0000-0000ED120000}"/>
    <cellStyle name="Normal 102 3 2 2 4" xfId="12082" xr:uid="{00000000-0005-0000-0000-0000EE120000}"/>
    <cellStyle name="Normal 102 3 2 2 4 2" xfId="28606" xr:uid="{00000000-0005-0000-0000-0000EF120000}"/>
    <cellStyle name="Normal 102 3 2 2 5" xfId="20563" xr:uid="{00000000-0005-0000-0000-0000F0120000}"/>
    <cellStyle name="Normal 102 3 2 3" xfId="2565" xr:uid="{00000000-0005-0000-0000-0000F1120000}"/>
    <cellStyle name="Normal 102 3 2 3 2" xfId="6828" xr:uid="{00000000-0005-0000-0000-0000F2120000}"/>
    <cellStyle name="Normal 102 3 2 3 2 2" xfId="16010" xr:uid="{00000000-0005-0000-0000-0000F3120000}"/>
    <cellStyle name="Normal 102 3 2 3 2 2 2" xfId="32584" xr:uid="{00000000-0005-0000-0000-0000F4120000}"/>
    <cellStyle name="Normal 102 3 2 3 2 3" xfId="24537" xr:uid="{00000000-0005-0000-0000-0000F5120000}"/>
    <cellStyle name="Normal 102 3 2 3 3" xfId="12084" xr:uid="{00000000-0005-0000-0000-0000F6120000}"/>
    <cellStyle name="Normal 102 3 2 3 3 2" xfId="28608" xr:uid="{00000000-0005-0000-0000-0000F7120000}"/>
    <cellStyle name="Normal 102 3 2 3 4" xfId="20565" xr:uid="{00000000-0005-0000-0000-0000F8120000}"/>
    <cellStyle name="Normal 102 3 2 4" xfId="6829" xr:uid="{00000000-0005-0000-0000-0000F9120000}"/>
    <cellStyle name="Normal 102 3 2 4 2" xfId="16011" xr:uid="{00000000-0005-0000-0000-0000FA120000}"/>
    <cellStyle name="Normal 102 3 2 4 2 2" xfId="32585" xr:uid="{00000000-0005-0000-0000-0000FB120000}"/>
    <cellStyle name="Normal 102 3 2 4 3" xfId="24538" xr:uid="{00000000-0005-0000-0000-0000FC120000}"/>
    <cellStyle name="Normal 102 3 2 5" xfId="12081" xr:uid="{00000000-0005-0000-0000-0000FD120000}"/>
    <cellStyle name="Normal 102 3 2 5 2" xfId="28605" xr:uid="{00000000-0005-0000-0000-0000FE120000}"/>
    <cellStyle name="Normal 102 3 2 6" xfId="20562" xr:uid="{00000000-0005-0000-0000-0000FF120000}"/>
    <cellStyle name="Normal 102 3 3" xfId="2566" xr:uid="{00000000-0005-0000-0000-000000130000}"/>
    <cellStyle name="Normal 102 3 3 2" xfId="2567" xr:uid="{00000000-0005-0000-0000-000001130000}"/>
    <cellStyle name="Normal 102 3 3 2 2" xfId="6830" xr:uid="{00000000-0005-0000-0000-000002130000}"/>
    <cellStyle name="Normal 102 3 3 2 2 2" xfId="16012" xr:uid="{00000000-0005-0000-0000-000003130000}"/>
    <cellStyle name="Normal 102 3 3 2 2 2 2" xfId="32586" xr:uid="{00000000-0005-0000-0000-000004130000}"/>
    <cellStyle name="Normal 102 3 3 2 2 3" xfId="24539" xr:uid="{00000000-0005-0000-0000-000005130000}"/>
    <cellStyle name="Normal 102 3 3 2 3" xfId="12086" xr:uid="{00000000-0005-0000-0000-000006130000}"/>
    <cellStyle name="Normal 102 3 3 2 3 2" xfId="28610" xr:uid="{00000000-0005-0000-0000-000007130000}"/>
    <cellStyle name="Normal 102 3 3 2 4" xfId="20567" xr:uid="{00000000-0005-0000-0000-000008130000}"/>
    <cellStyle name="Normal 102 3 3 3" xfId="6831" xr:uid="{00000000-0005-0000-0000-000009130000}"/>
    <cellStyle name="Normal 102 3 3 3 2" xfId="16013" xr:uid="{00000000-0005-0000-0000-00000A130000}"/>
    <cellStyle name="Normal 102 3 3 3 2 2" xfId="32587" xr:uid="{00000000-0005-0000-0000-00000B130000}"/>
    <cellStyle name="Normal 102 3 3 3 3" xfId="24540" xr:uid="{00000000-0005-0000-0000-00000C130000}"/>
    <cellStyle name="Normal 102 3 3 4" xfId="12085" xr:uid="{00000000-0005-0000-0000-00000D130000}"/>
    <cellStyle name="Normal 102 3 3 4 2" xfId="28609" xr:uid="{00000000-0005-0000-0000-00000E130000}"/>
    <cellStyle name="Normal 102 3 3 5" xfId="20566" xr:uid="{00000000-0005-0000-0000-00000F130000}"/>
    <cellStyle name="Normal 102 3 4" xfId="2568" xr:uid="{00000000-0005-0000-0000-000010130000}"/>
    <cellStyle name="Normal 102 3 4 2" xfId="6832" xr:uid="{00000000-0005-0000-0000-000011130000}"/>
    <cellStyle name="Normal 102 3 4 2 2" xfId="16014" xr:uid="{00000000-0005-0000-0000-000012130000}"/>
    <cellStyle name="Normal 102 3 4 2 2 2" xfId="32588" xr:uid="{00000000-0005-0000-0000-000013130000}"/>
    <cellStyle name="Normal 102 3 4 2 3" xfId="24541" xr:uid="{00000000-0005-0000-0000-000014130000}"/>
    <cellStyle name="Normal 102 3 4 3" xfId="12087" xr:uid="{00000000-0005-0000-0000-000015130000}"/>
    <cellStyle name="Normal 102 3 4 3 2" xfId="28611" xr:uid="{00000000-0005-0000-0000-000016130000}"/>
    <cellStyle name="Normal 102 3 4 4" xfId="20568" xr:uid="{00000000-0005-0000-0000-000017130000}"/>
    <cellStyle name="Normal 102 3 5" xfId="2569" xr:uid="{00000000-0005-0000-0000-000018130000}"/>
    <cellStyle name="Normal 102 3 5 2" xfId="12088" xr:uid="{00000000-0005-0000-0000-000019130000}"/>
    <cellStyle name="Normal 102 3 5 2 2" xfId="28612" xr:uid="{00000000-0005-0000-0000-00001A130000}"/>
    <cellStyle name="Normal 102 3 5 3" xfId="20569" xr:uid="{00000000-0005-0000-0000-00001B130000}"/>
    <cellStyle name="Normal 102 4" xfId="2570" xr:uid="{00000000-0005-0000-0000-00001C130000}"/>
    <cellStyle name="Normal 102 4 2" xfId="2571" xr:uid="{00000000-0005-0000-0000-00001D130000}"/>
    <cellStyle name="Normal 102 4 2 2" xfId="2572" xr:uid="{00000000-0005-0000-0000-00001E130000}"/>
    <cellStyle name="Normal 102 4 2 2 2" xfId="2573" xr:uid="{00000000-0005-0000-0000-00001F130000}"/>
    <cellStyle name="Normal 102 4 2 2 2 2" xfId="6833" xr:uid="{00000000-0005-0000-0000-000020130000}"/>
    <cellStyle name="Normal 102 4 2 2 2 2 2" xfId="16015" xr:uid="{00000000-0005-0000-0000-000021130000}"/>
    <cellStyle name="Normal 102 4 2 2 2 2 2 2" xfId="32589" xr:uid="{00000000-0005-0000-0000-000022130000}"/>
    <cellStyle name="Normal 102 4 2 2 2 2 3" xfId="24542" xr:uid="{00000000-0005-0000-0000-000023130000}"/>
    <cellStyle name="Normal 102 4 2 2 2 3" xfId="12092" xr:uid="{00000000-0005-0000-0000-000024130000}"/>
    <cellStyle name="Normal 102 4 2 2 2 3 2" xfId="28616" xr:uid="{00000000-0005-0000-0000-000025130000}"/>
    <cellStyle name="Normal 102 4 2 2 2 4" xfId="20573" xr:uid="{00000000-0005-0000-0000-000026130000}"/>
    <cellStyle name="Normal 102 4 2 2 3" xfId="6834" xr:uid="{00000000-0005-0000-0000-000027130000}"/>
    <cellStyle name="Normal 102 4 2 2 3 2" xfId="16016" xr:uid="{00000000-0005-0000-0000-000028130000}"/>
    <cellStyle name="Normal 102 4 2 2 3 2 2" xfId="32590" xr:uid="{00000000-0005-0000-0000-000029130000}"/>
    <cellStyle name="Normal 102 4 2 2 3 3" xfId="24543" xr:uid="{00000000-0005-0000-0000-00002A130000}"/>
    <cellStyle name="Normal 102 4 2 2 4" xfId="12091" xr:uid="{00000000-0005-0000-0000-00002B130000}"/>
    <cellStyle name="Normal 102 4 2 2 4 2" xfId="28615" xr:uid="{00000000-0005-0000-0000-00002C130000}"/>
    <cellStyle name="Normal 102 4 2 2 5" xfId="20572" xr:uid="{00000000-0005-0000-0000-00002D130000}"/>
    <cellStyle name="Normal 102 4 2 3" xfId="2574" xr:uid="{00000000-0005-0000-0000-00002E130000}"/>
    <cellStyle name="Normal 102 4 2 3 2" xfId="6835" xr:uid="{00000000-0005-0000-0000-00002F130000}"/>
    <cellStyle name="Normal 102 4 2 3 2 2" xfId="16017" xr:uid="{00000000-0005-0000-0000-000030130000}"/>
    <cellStyle name="Normal 102 4 2 3 2 2 2" xfId="32591" xr:uid="{00000000-0005-0000-0000-000031130000}"/>
    <cellStyle name="Normal 102 4 2 3 2 3" xfId="24544" xr:uid="{00000000-0005-0000-0000-000032130000}"/>
    <cellStyle name="Normal 102 4 2 3 3" xfId="12093" xr:uid="{00000000-0005-0000-0000-000033130000}"/>
    <cellStyle name="Normal 102 4 2 3 3 2" xfId="28617" xr:uid="{00000000-0005-0000-0000-000034130000}"/>
    <cellStyle name="Normal 102 4 2 3 4" xfId="20574" xr:uid="{00000000-0005-0000-0000-000035130000}"/>
    <cellStyle name="Normal 102 4 2 4" xfId="6836" xr:uid="{00000000-0005-0000-0000-000036130000}"/>
    <cellStyle name="Normal 102 4 2 4 2" xfId="16018" xr:uid="{00000000-0005-0000-0000-000037130000}"/>
    <cellStyle name="Normal 102 4 2 4 2 2" xfId="32592" xr:uid="{00000000-0005-0000-0000-000038130000}"/>
    <cellStyle name="Normal 102 4 2 4 3" xfId="24545" xr:uid="{00000000-0005-0000-0000-000039130000}"/>
    <cellStyle name="Normal 102 4 2 5" xfId="12090" xr:uid="{00000000-0005-0000-0000-00003A130000}"/>
    <cellStyle name="Normal 102 4 2 5 2" xfId="28614" xr:uid="{00000000-0005-0000-0000-00003B130000}"/>
    <cellStyle name="Normal 102 4 2 6" xfId="20571" xr:uid="{00000000-0005-0000-0000-00003C130000}"/>
    <cellStyle name="Normal 102 4 3" xfId="2575" xr:uid="{00000000-0005-0000-0000-00003D130000}"/>
    <cellStyle name="Normal 102 4 3 2" xfId="2576" xr:uid="{00000000-0005-0000-0000-00003E130000}"/>
    <cellStyle name="Normal 102 4 3 2 2" xfId="6837" xr:uid="{00000000-0005-0000-0000-00003F130000}"/>
    <cellStyle name="Normal 102 4 3 2 2 2" xfId="16019" xr:uid="{00000000-0005-0000-0000-000040130000}"/>
    <cellStyle name="Normal 102 4 3 2 2 2 2" xfId="32593" xr:uid="{00000000-0005-0000-0000-000041130000}"/>
    <cellStyle name="Normal 102 4 3 2 2 3" xfId="24546" xr:uid="{00000000-0005-0000-0000-000042130000}"/>
    <cellStyle name="Normal 102 4 3 2 3" xfId="12095" xr:uid="{00000000-0005-0000-0000-000043130000}"/>
    <cellStyle name="Normal 102 4 3 2 3 2" xfId="28619" xr:uid="{00000000-0005-0000-0000-000044130000}"/>
    <cellStyle name="Normal 102 4 3 2 4" xfId="20576" xr:uid="{00000000-0005-0000-0000-000045130000}"/>
    <cellStyle name="Normal 102 4 3 3" xfId="6838" xr:uid="{00000000-0005-0000-0000-000046130000}"/>
    <cellStyle name="Normal 102 4 3 3 2" xfId="16020" xr:uid="{00000000-0005-0000-0000-000047130000}"/>
    <cellStyle name="Normal 102 4 3 3 2 2" xfId="32594" xr:uid="{00000000-0005-0000-0000-000048130000}"/>
    <cellStyle name="Normal 102 4 3 3 3" xfId="24547" xr:uid="{00000000-0005-0000-0000-000049130000}"/>
    <cellStyle name="Normal 102 4 3 4" xfId="12094" xr:uid="{00000000-0005-0000-0000-00004A130000}"/>
    <cellStyle name="Normal 102 4 3 4 2" xfId="28618" xr:uid="{00000000-0005-0000-0000-00004B130000}"/>
    <cellStyle name="Normal 102 4 3 5" xfId="20575" xr:uid="{00000000-0005-0000-0000-00004C130000}"/>
    <cellStyle name="Normal 102 4 4" xfId="2577" xr:uid="{00000000-0005-0000-0000-00004D130000}"/>
    <cellStyle name="Normal 102 4 4 2" xfId="6839" xr:uid="{00000000-0005-0000-0000-00004E130000}"/>
    <cellStyle name="Normal 102 4 4 2 2" xfId="16021" xr:uid="{00000000-0005-0000-0000-00004F130000}"/>
    <cellStyle name="Normal 102 4 4 2 2 2" xfId="32595" xr:uid="{00000000-0005-0000-0000-000050130000}"/>
    <cellStyle name="Normal 102 4 4 2 3" xfId="24548" xr:uid="{00000000-0005-0000-0000-000051130000}"/>
    <cellStyle name="Normal 102 4 4 3" xfId="12096" xr:uid="{00000000-0005-0000-0000-000052130000}"/>
    <cellStyle name="Normal 102 4 4 3 2" xfId="28620" xr:uid="{00000000-0005-0000-0000-000053130000}"/>
    <cellStyle name="Normal 102 4 4 4" xfId="20577" xr:uid="{00000000-0005-0000-0000-000054130000}"/>
    <cellStyle name="Normal 102 4 5" xfId="6840" xr:uid="{00000000-0005-0000-0000-000055130000}"/>
    <cellStyle name="Normal 102 4 5 2" xfId="16022" xr:uid="{00000000-0005-0000-0000-000056130000}"/>
    <cellStyle name="Normal 102 4 5 2 2" xfId="32596" xr:uid="{00000000-0005-0000-0000-000057130000}"/>
    <cellStyle name="Normal 102 4 5 3" xfId="24549" xr:uid="{00000000-0005-0000-0000-000058130000}"/>
    <cellStyle name="Normal 102 4 6" xfId="12089" xr:uid="{00000000-0005-0000-0000-000059130000}"/>
    <cellStyle name="Normal 102 4 6 2" xfId="28613" xr:uid="{00000000-0005-0000-0000-00005A130000}"/>
    <cellStyle name="Normal 102 4 7" xfId="20570" xr:uid="{00000000-0005-0000-0000-00005B130000}"/>
    <cellStyle name="Normal 102 5" xfId="2578" xr:uid="{00000000-0005-0000-0000-00005C130000}"/>
    <cellStyle name="Normal 102 5 2" xfId="2579" xr:uid="{00000000-0005-0000-0000-00005D130000}"/>
    <cellStyle name="Normal 102 5 2 2" xfId="2580" xr:uid="{00000000-0005-0000-0000-00005E130000}"/>
    <cellStyle name="Normal 102 5 2 2 2" xfId="2581" xr:uid="{00000000-0005-0000-0000-00005F130000}"/>
    <cellStyle name="Normal 102 5 2 2 2 2" xfId="6841" xr:uid="{00000000-0005-0000-0000-000060130000}"/>
    <cellStyle name="Normal 102 5 2 2 2 2 2" xfId="16023" xr:uid="{00000000-0005-0000-0000-000061130000}"/>
    <cellStyle name="Normal 102 5 2 2 2 2 2 2" xfId="32597" xr:uid="{00000000-0005-0000-0000-000062130000}"/>
    <cellStyle name="Normal 102 5 2 2 2 2 3" xfId="24550" xr:uid="{00000000-0005-0000-0000-000063130000}"/>
    <cellStyle name="Normal 102 5 2 2 2 3" xfId="12100" xr:uid="{00000000-0005-0000-0000-000064130000}"/>
    <cellStyle name="Normal 102 5 2 2 2 3 2" xfId="28624" xr:uid="{00000000-0005-0000-0000-000065130000}"/>
    <cellStyle name="Normal 102 5 2 2 2 4" xfId="20581" xr:uid="{00000000-0005-0000-0000-000066130000}"/>
    <cellStyle name="Normal 102 5 2 2 3" xfId="6842" xr:uid="{00000000-0005-0000-0000-000067130000}"/>
    <cellStyle name="Normal 102 5 2 2 3 2" xfId="16024" xr:uid="{00000000-0005-0000-0000-000068130000}"/>
    <cellStyle name="Normal 102 5 2 2 3 2 2" xfId="32598" xr:uid="{00000000-0005-0000-0000-000069130000}"/>
    <cellStyle name="Normal 102 5 2 2 3 3" xfId="24551" xr:uid="{00000000-0005-0000-0000-00006A130000}"/>
    <cellStyle name="Normal 102 5 2 2 4" xfId="12099" xr:uid="{00000000-0005-0000-0000-00006B130000}"/>
    <cellStyle name="Normal 102 5 2 2 4 2" xfId="28623" xr:uid="{00000000-0005-0000-0000-00006C130000}"/>
    <cellStyle name="Normal 102 5 2 2 5" xfId="20580" xr:uid="{00000000-0005-0000-0000-00006D130000}"/>
    <cellStyle name="Normal 102 5 2 3" xfId="2582" xr:uid="{00000000-0005-0000-0000-00006E130000}"/>
    <cellStyle name="Normal 102 5 2 3 2" xfId="6843" xr:uid="{00000000-0005-0000-0000-00006F130000}"/>
    <cellStyle name="Normal 102 5 2 3 2 2" xfId="16025" xr:uid="{00000000-0005-0000-0000-000070130000}"/>
    <cellStyle name="Normal 102 5 2 3 2 2 2" xfId="32599" xr:uid="{00000000-0005-0000-0000-000071130000}"/>
    <cellStyle name="Normal 102 5 2 3 2 3" xfId="24552" xr:uid="{00000000-0005-0000-0000-000072130000}"/>
    <cellStyle name="Normal 102 5 2 3 3" xfId="12101" xr:uid="{00000000-0005-0000-0000-000073130000}"/>
    <cellStyle name="Normal 102 5 2 3 3 2" xfId="28625" xr:uid="{00000000-0005-0000-0000-000074130000}"/>
    <cellStyle name="Normal 102 5 2 3 4" xfId="20582" xr:uid="{00000000-0005-0000-0000-000075130000}"/>
    <cellStyle name="Normal 102 5 2 4" xfId="6844" xr:uid="{00000000-0005-0000-0000-000076130000}"/>
    <cellStyle name="Normal 102 5 2 4 2" xfId="16026" xr:uid="{00000000-0005-0000-0000-000077130000}"/>
    <cellStyle name="Normal 102 5 2 4 2 2" xfId="32600" xr:uid="{00000000-0005-0000-0000-000078130000}"/>
    <cellStyle name="Normal 102 5 2 4 3" xfId="24553" xr:uid="{00000000-0005-0000-0000-000079130000}"/>
    <cellStyle name="Normal 102 5 2 5" xfId="12098" xr:uid="{00000000-0005-0000-0000-00007A130000}"/>
    <cellStyle name="Normal 102 5 2 5 2" xfId="28622" xr:uid="{00000000-0005-0000-0000-00007B130000}"/>
    <cellStyle name="Normal 102 5 2 6" xfId="20579" xr:uid="{00000000-0005-0000-0000-00007C130000}"/>
    <cellStyle name="Normal 102 5 3" xfId="2583" xr:uid="{00000000-0005-0000-0000-00007D130000}"/>
    <cellStyle name="Normal 102 5 3 2" xfId="2584" xr:uid="{00000000-0005-0000-0000-00007E130000}"/>
    <cellStyle name="Normal 102 5 3 2 2" xfId="6845" xr:uid="{00000000-0005-0000-0000-00007F130000}"/>
    <cellStyle name="Normal 102 5 3 2 2 2" xfId="16027" xr:uid="{00000000-0005-0000-0000-000080130000}"/>
    <cellStyle name="Normal 102 5 3 2 2 2 2" xfId="32601" xr:uid="{00000000-0005-0000-0000-000081130000}"/>
    <cellStyle name="Normal 102 5 3 2 2 3" xfId="24554" xr:uid="{00000000-0005-0000-0000-000082130000}"/>
    <cellStyle name="Normal 102 5 3 2 3" xfId="12103" xr:uid="{00000000-0005-0000-0000-000083130000}"/>
    <cellStyle name="Normal 102 5 3 2 3 2" xfId="28627" xr:uid="{00000000-0005-0000-0000-000084130000}"/>
    <cellStyle name="Normal 102 5 3 2 4" xfId="20584" xr:uid="{00000000-0005-0000-0000-000085130000}"/>
    <cellStyle name="Normal 102 5 3 3" xfId="6846" xr:uid="{00000000-0005-0000-0000-000086130000}"/>
    <cellStyle name="Normal 102 5 3 3 2" xfId="16028" xr:uid="{00000000-0005-0000-0000-000087130000}"/>
    <cellStyle name="Normal 102 5 3 3 2 2" xfId="32602" xr:uid="{00000000-0005-0000-0000-000088130000}"/>
    <cellStyle name="Normal 102 5 3 3 3" xfId="24555" xr:uid="{00000000-0005-0000-0000-000089130000}"/>
    <cellStyle name="Normal 102 5 3 4" xfId="12102" xr:uid="{00000000-0005-0000-0000-00008A130000}"/>
    <cellStyle name="Normal 102 5 3 4 2" xfId="28626" xr:uid="{00000000-0005-0000-0000-00008B130000}"/>
    <cellStyle name="Normal 102 5 3 5" xfId="20583" xr:uid="{00000000-0005-0000-0000-00008C130000}"/>
    <cellStyle name="Normal 102 5 4" xfId="2585" xr:uid="{00000000-0005-0000-0000-00008D130000}"/>
    <cellStyle name="Normal 102 5 4 2" xfId="6847" xr:uid="{00000000-0005-0000-0000-00008E130000}"/>
    <cellStyle name="Normal 102 5 4 2 2" xfId="16029" xr:uid="{00000000-0005-0000-0000-00008F130000}"/>
    <cellStyle name="Normal 102 5 4 2 2 2" xfId="32603" xr:uid="{00000000-0005-0000-0000-000090130000}"/>
    <cellStyle name="Normal 102 5 4 2 3" xfId="24556" xr:uid="{00000000-0005-0000-0000-000091130000}"/>
    <cellStyle name="Normal 102 5 4 3" xfId="12104" xr:uid="{00000000-0005-0000-0000-000092130000}"/>
    <cellStyle name="Normal 102 5 4 3 2" xfId="28628" xr:uid="{00000000-0005-0000-0000-000093130000}"/>
    <cellStyle name="Normal 102 5 4 4" xfId="20585" xr:uid="{00000000-0005-0000-0000-000094130000}"/>
    <cellStyle name="Normal 102 5 5" xfId="6848" xr:uid="{00000000-0005-0000-0000-000095130000}"/>
    <cellStyle name="Normal 102 5 5 2" xfId="16030" xr:uid="{00000000-0005-0000-0000-000096130000}"/>
    <cellStyle name="Normal 102 5 5 2 2" xfId="32604" xr:uid="{00000000-0005-0000-0000-000097130000}"/>
    <cellStyle name="Normal 102 5 5 3" xfId="24557" xr:uid="{00000000-0005-0000-0000-000098130000}"/>
    <cellStyle name="Normal 102 5 6" xfId="12097" xr:uid="{00000000-0005-0000-0000-000099130000}"/>
    <cellStyle name="Normal 102 5 6 2" xfId="28621" xr:uid="{00000000-0005-0000-0000-00009A130000}"/>
    <cellStyle name="Normal 102 5 7" xfId="20578" xr:uid="{00000000-0005-0000-0000-00009B130000}"/>
    <cellStyle name="Normal 102 6" xfId="2586" xr:uid="{00000000-0005-0000-0000-00009C130000}"/>
    <cellStyle name="Normal 102 6 2" xfId="2587" xr:uid="{00000000-0005-0000-0000-00009D130000}"/>
    <cellStyle name="Normal 102 6 2 2" xfId="2588" xr:uid="{00000000-0005-0000-0000-00009E130000}"/>
    <cellStyle name="Normal 102 6 2 2 2" xfId="6849" xr:uid="{00000000-0005-0000-0000-00009F130000}"/>
    <cellStyle name="Normal 102 6 2 2 2 2" xfId="16031" xr:uid="{00000000-0005-0000-0000-0000A0130000}"/>
    <cellStyle name="Normal 102 6 2 2 2 2 2" xfId="32605" xr:uid="{00000000-0005-0000-0000-0000A1130000}"/>
    <cellStyle name="Normal 102 6 2 2 2 3" xfId="24558" xr:uid="{00000000-0005-0000-0000-0000A2130000}"/>
    <cellStyle name="Normal 102 6 2 2 3" xfId="12107" xr:uid="{00000000-0005-0000-0000-0000A3130000}"/>
    <cellStyle name="Normal 102 6 2 2 3 2" xfId="28631" xr:uid="{00000000-0005-0000-0000-0000A4130000}"/>
    <cellStyle name="Normal 102 6 2 2 4" xfId="20588" xr:uid="{00000000-0005-0000-0000-0000A5130000}"/>
    <cellStyle name="Normal 102 6 2 3" xfId="6850" xr:uid="{00000000-0005-0000-0000-0000A6130000}"/>
    <cellStyle name="Normal 102 6 2 3 2" xfId="16032" xr:uid="{00000000-0005-0000-0000-0000A7130000}"/>
    <cellStyle name="Normal 102 6 2 3 2 2" xfId="32606" xr:uid="{00000000-0005-0000-0000-0000A8130000}"/>
    <cellStyle name="Normal 102 6 2 3 3" xfId="24559" xr:uid="{00000000-0005-0000-0000-0000A9130000}"/>
    <cellStyle name="Normal 102 6 2 4" xfId="12106" xr:uid="{00000000-0005-0000-0000-0000AA130000}"/>
    <cellStyle name="Normal 102 6 2 4 2" xfId="28630" xr:uid="{00000000-0005-0000-0000-0000AB130000}"/>
    <cellStyle name="Normal 102 6 2 5" xfId="20587" xr:uid="{00000000-0005-0000-0000-0000AC130000}"/>
    <cellStyle name="Normal 102 6 3" xfId="2589" xr:uid="{00000000-0005-0000-0000-0000AD130000}"/>
    <cellStyle name="Normal 102 6 3 2" xfId="6851" xr:uid="{00000000-0005-0000-0000-0000AE130000}"/>
    <cellStyle name="Normal 102 6 3 2 2" xfId="16033" xr:uid="{00000000-0005-0000-0000-0000AF130000}"/>
    <cellStyle name="Normal 102 6 3 2 2 2" xfId="32607" xr:uid="{00000000-0005-0000-0000-0000B0130000}"/>
    <cellStyle name="Normal 102 6 3 2 3" xfId="24560" xr:uid="{00000000-0005-0000-0000-0000B1130000}"/>
    <cellStyle name="Normal 102 6 3 3" xfId="12108" xr:uid="{00000000-0005-0000-0000-0000B2130000}"/>
    <cellStyle name="Normal 102 6 3 3 2" xfId="28632" xr:uid="{00000000-0005-0000-0000-0000B3130000}"/>
    <cellStyle name="Normal 102 6 3 4" xfId="20589" xr:uid="{00000000-0005-0000-0000-0000B4130000}"/>
    <cellStyle name="Normal 102 6 4" xfId="6852" xr:uid="{00000000-0005-0000-0000-0000B5130000}"/>
    <cellStyle name="Normal 102 6 4 2" xfId="16034" xr:uid="{00000000-0005-0000-0000-0000B6130000}"/>
    <cellStyle name="Normal 102 6 4 2 2" xfId="32608" xr:uid="{00000000-0005-0000-0000-0000B7130000}"/>
    <cellStyle name="Normal 102 6 4 3" xfId="24561" xr:uid="{00000000-0005-0000-0000-0000B8130000}"/>
    <cellStyle name="Normal 102 6 5" xfId="12105" xr:uid="{00000000-0005-0000-0000-0000B9130000}"/>
    <cellStyle name="Normal 102 6 5 2" xfId="28629" xr:uid="{00000000-0005-0000-0000-0000BA130000}"/>
    <cellStyle name="Normal 102 6 6" xfId="20586" xr:uid="{00000000-0005-0000-0000-0000BB130000}"/>
    <cellStyle name="Normal 102 7" xfId="2590" xr:uid="{00000000-0005-0000-0000-0000BC130000}"/>
    <cellStyle name="Normal 102 7 2" xfId="2591" xr:uid="{00000000-0005-0000-0000-0000BD130000}"/>
    <cellStyle name="Normal 102 7 2 2" xfId="6853" xr:uid="{00000000-0005-0000-0000-0000BE130000}"/>
    <cellStyle name="Normal 102 7 2 2 2" xfId="16035" xr:uid="{00000000-0005-0000-0000-0000BF130000}"/>
    <cellStyle name="Normal 102 7 2 2 2 2" xfId="32609" xr:uid="{00000000-0005-0000-0000-0000C0130000}"/>
    <cellStyle name="Normal 102 7 2 2 3" xfId="24562" xr:uid="{00000000-0005-0000-0000-0000C1130000}"/>
    <cellStyle name="Normal 102 7 2 3" xfId="12110" xr:uid="{00000000-0005-0000-0000-0000C2130000}"/>
    <cellStyle name="Normal 102 7 2 3 2" xfId="28634" xr:uid="{00000000-0005-0000-0000-0000C3130000}"/>
    <cellStyle name="Normal 102 7 2 4" xfId="20591" xr:uid="{00000000-0005-0000-0000-0000C4130000}"/>
    <cellStyle name="Normal 102 7 3" xfId="6854" xr:uid="{00000000-0005-0000-0000-0000C5130000}"/>
    <cellStyle name="Normal 102 7 3 2" xfId="16036" xr:uid="{00000000-0005-0000-0000-0000C6130000}"/>
    <cellStyle name="Normal 102 7 3 2 2" xfId="32610" xr:uid="{00000000-0005-0000-0000-0000C7130000}"/>
    <cellStyle name="Normal 102 7 3 3" xfId="24563" xr:uid="{00000000-0005-0000-0000-0000C8130000}"/>
    <cellStyle name="Normal 102 7 4" xfId="12109" xr:uid="{00000000-0005-0000-0000-0000C9130000}"/>
    <cellStyle name="Normal 102 7 4 2" xfId="28633" xr:uid="{00000000-0005-0000-0000-0000CA130000}"/>
    <cellStyle name="Normal 102 7 5" xfId="20590" xr:uid="{00000000-0005-0000-0000-0000CB130000}"/>
    <cellStyle name="Normal 102 8" xfId="2592" xr:uid="{00000000-0005-0000-0000-0000CC130000}"/>
    <cellStyle name="Normal 102 8 2" xfId="6855" xr:uid="{00000000-0005-0000-0000-0000CD130000}"/>
    <cellStyle name="Normal 102 8 2 2" xfId="16037" xr:uid="{00000000-0005-0000-0000-0000CE130000}"/>
    <cellStyle name="Normal 102 8 2 2 2" xfId="32611" xr:uid="{00000000-0005-0000-0000-0000CF130000}"/>
    <cellStyle name="Normal 102 8 2 3" xfId="24564" xr:uid="{00000000-0005-0000-0000-0000D0130000}"/>
    <cellStyle name="Normal 102 8 3" xfId="12111" xr:uid="{00000000-0005-0000-0000-0000D1130000}"/>
    <cellStyle name="Normal 102 8 3 2" xfId="28635" xr:uid="{00000000-0005-0000-0000-0000D2130000}"/>
    <cellStyle name="Normal 102 8 4" xfId="20592" xr:uid="{00000000-0005-0000-0000-0000D3130000}"/>
    <cellStyle name="Normal 102 9" xfId="6856" xr:uid="{00000000-0005-0000-0000-0000D4130000}"/>
    <cellStyle name="Normal 102 9 2" xfId="16038" xr:uid="{00000000-0005-0000-0000-0000D5130000}"/>
    <cellStyle name="Normal 102 9 2 2" xfId="32612" xr:uid="{00000000-0005-0000-0000-0000D6130000}"/>
    <cellStyle name="Normal 102 9 3" xfId="24565" xr:uid="{00000000-0005-0000-0000-0000D7130000}"/>
    <cellStyle name="Normal 103" xfId="2593" xr:uid="{00000000-0005-0000-0000-0000D8130000}"/>
    <cellStyle name="Normal 103 10" xfId="12112" xr:uid="{00000000-0005-0000-0000-0000D9130000}"/>
    <cellStyle name="Normal 103 10 2" xfId="28636" xr:uid="{00000000-0005-0000-0000-0000DA130000}"/>
    <cellStyle name="Normal 103 11" xfId="20593" xr:uid="{00000000-0005-0000-0000-0000DB130000}"/>
    <cellStyle name="Normal 103 2" xfId="2594" xr:uid="{00000000-0005-0000-0000-0000DC130000}"/>
    <cellStyle name="Normal 103 2 2" xfId="2595" xr:uid="{00000000-0005-0000-0000-0000DD130000}"/>
    <cellStyle name="Normal 103 2 3" xfId="12113" xr:uid="{00000000-0005-0000-0000-0000DE130000}"/>
    <cellStyle name="Normal 103 2 3 2" xfId="28637" xr:uid="{00000000-0005-0000-0000-0000DF130000}"/>
    <cellStyle name="Normal 103 2 4" xfId="20594" xr:uid="{00000000-0005-0000-0000-0000E0130000}"/>
    <cellStyle name="Normal 103 3" xfId="2596" xr:uid="{00000000-0005-0000-0000-0000E1130000}"/>
    <cellStyle name="Normal 103 3 2" xfId="2597" xr:uid="{00000000-0005-0000-0000-0000E2130000}"/>
    <cellStyle name="Normal 103 3 2 2" xfId="2598" xr:uid="{00000000-0005-0000-0000-0000E3130000}"/>
    <cellStyle name="Normal 103 3 2 2 2" xfId="2599" xr:uid="{00000000-0005-0000-0000-0000E4130000}"/>
    <cellStyle name="Normal 103 3 2 2 2 2" xfId="6857" xr:uid="{00000000-0005-0000-0000-0000E5130000}"/>
    <cellStyle name="Normal 103 3 2 2 2 2 2" xfId="16039" xr:uid="{00000000-0005-0000-0000-0000E6130000}"/>
    <cellStyle name="Normal 103 3 2 2 2 2 2 2" xfId="32613" xr:uid="{00000000-0005-0000-0000-0000E7130000}"/>
    <cellStyle name="Normal 103 3 2 2 2 2 3" xfId="24566" xr:uid="{00000000-0005-0000-0000-0000E8130000}"/>
    <cellStyle name="Normal 103 3 2 2 2 3" xfId="12116" xr:uid="{00000000-0005-0000-0000-0000E9130000}"/>
    <cellStyle name="Normal 103 3 2 2 2 3 2" xfId="28640" xr:uid="{00000000-0005-0000-0000-0000EA130000}"/>
    <cellStyle name="Normal 103 3 2 2 2 4" xfId="20597" xr:uid="{00000000-0005-0000-0000-0000EB130000}"/>
    <cellStyle name="Normal 103 3 2 2 3" xfId="6858" xr:uid="{00000000-0005-0000-0000-0000EC130000}"/>
    <cellStyle name="Normal 103 3 2 2 3 2" xfId="16040" xr:uid="{00000000-0005-0000-0000-0000ED130000}"/>
    <cellStyle name="Normal 103 3 2 2 3 2 2" xfId="32614" xr:uid="{00000000-0005-0000-0000-0000EE130000}"/>
    <cellStyle name="Normal 103 3 2 2 3 3" xfId="24567" xr:uid="{00000000-0005-0000-0000-0000EF130000}"/>
    <cellStyle name="Normal 103 3 2 2 4" xfId="12115" xr:uid="{00000000-0005-0000-0000-0000F0130000}"/>
    <cellStyle name="Normal 103 3 2 2 4 2" xfId="28639" xr:uid="{00000000-0005-0000-0000-0000F1130000}"/>
    <cellStyle name="Normal 103 3 2 2 5" xfId="20596" xr:uid="{00000000-0005-0000-0000-0000F2130000}"/>
    <cellStyle name="Normal 103 3 2 3" xfId="2600" xr:uid="{00000000-0005-0000-0000-0000F3130000}"/>
    <cellStyle name="Normal 103 3 2 3 2" xfId="6859" xr:uid="{00000000-0005-0000-0000-0000F4130000}"/>
    <cellStyle name="Normal 103 3 2 3 2 2" xfId="16041" xr:uid="{00000000-0005-0000-0000-0000F5130000}"/>
    <cellStyle name="Normal 103 3 2 3 2 2 2" xfId="32615" xr:uid="{00000000-0005-0000-0000-0000F6130000}"/>
    <cellStyle name="Normal 103 3 2 3 2 3" xfId="24568" xr:uid="{00000000-0005-0000-0000-0000F7130000}"/>
    <cellStyle name="Normal 103 3 2 3 3" xfId="12117" xr:uid="{00000000-0005-0000-0000-0000F8130000}"/>
    <cellStyle name="Normal 103 3 2 3 3 2" xfId="28641" xr:uid="{00000000-0005-0000-0000-0000F9130000}"/>
    <cellStyle name="Normal 103 3 2 3 4" xfId="20598" xr:uid="{00000000-0005-0000-0000-0000FA130000}"/>
    <cellStyle name="Normal 103 3 2 4" xfId="6860" xr:uid="{00000000-0005-0000-0000-0000FB130000}"/>
    <cellStyle name="Normal 103 3 2 4 2" xfId="16042" xr:uid="{00000000-0005-0000-0000-0000FC130000}"/>
    <cellStyle name="Normal 103 3 2 4 2 2" xfId="32616" xr:uid="{00000000-0005-0000-0000-0000FD130000}"/>
    <cellStyle name="Normal 103 3 2 4 3" xfId="24569" xr:uid="{00000000-0005-0000-0000-0000FE130000}"/>
    <cellStyle name="Normal 103 3 2 5" xfId="12114" xr:uid="{00000000-0005-0000-0000-0000FF130000}"/>
    <cellStyle name="Normal 103 3 2 5 2" xfId="28638" xr:uid="{00000000-0005-0000-0000-000000140000}"/>
    <cellStyle name="Normal 103 3 2 6" xfId="20595" xr:uid="{00000000-0005-0000-0000-000001140000}"/>
    <cellStyle name="Normal 103 3 3" xfId="2601" xr:uid="{00000000-0005-0000-0000-000002140000}"/>
    <cellStyle name="Normal 103 3 3 2" xfId="2602" xr:uid="{00000000-0005-0000-0000-000003140000}"/>
    <cellStyle name="Normal 103 3 3 2 2" xfId="6861" xr:uid="{00000000-0005-0000-0000-000004140000}"/>
    <cellStyle name="Normal 103 3 3 2 2 2" xfId="16043" xr:uid="{00000000-0005-0000-0000-000005140000}"/>
    <cellStyle name="Normal 103 3 3 2 2 2 2" xfId="32617" xr:uid="{00000000-0005-0000-0000-000006140000}"/>
    <cellStyle name="Normal 103 3 3 2 2 3" xfId="24570" xr:uid="{00000000-0005-0000-0000-000007140000}"/>
    <cellStyle name="Normal 103 3 3 2 3" xfId="12119" xr:uid="{00000000-0005-0000-0000-000008140000}"/>
    <cellStyle name="Normal 103 3 3 2 3 2" xfId="28643" xr:uid="{00000000-0005-0000-0000-000009140000}"/>
    <cellStyle name="Normal 103 3 3 2 4" xfId="20600" xr:uid="{00000000-0005-0000-0000-00000A140000}"/>
    <cellStyle name="Normal 103 3 3 3" xfId="6862" xr:uid="{00000000-0005-0000-0000-00000B140000}"/>
    <cellStyle name="Normal 103 3 3 3 2" xfId="16044" xr:uid="{00000000-0005-0000-0000-00000C140000}"/>
    <cellStyle name="Normal 103 3 3 3 2 2" xfId="32618" xr:uid="{00000000-0005-0000-0000-00000D140000}"/>
    <cellStyle name="Normal 103 3 3 3 3" xfId="24571" xr:uid="{00000000-0005-0000-0000-00000E140000}"/>
    <cellStyle name="Normal 103 3 3 4" xfId="12118" xr:uid="{00000000-0005-0000-0000-00000F140000}"/>
    <cellStyle name="Normal 103 3 3 4 2" xfId="28642" xr:uid="{00000000-0005-0000-0000-000010140000}"/>
    <cellStyle name="Normal 103 3 3 5" xfId="20599" xr:uid="{00000000-0005-0000-0000-000011140000}"/>
    <cellStyle name="Normal 103 3 4" xfId="2603" xr:uid="{00000000-0005-0000-0000-000012140000}"/>
    <cellStyle name="Normal 103 3 4 2" xfId="6863" xr:uid="{00000000-0005-0000-0000-000013140000}"/>
    <cellStyle name="Normal 103 3 4 2 2" xfId="16045" xr:uid="{00000000-0005-0000-0000-000014140000}"/>
    <cellStyle name="Normal 103 3 4 2 2 2" xfId="32619" xr:uid="{00000000-0005-0000-0000-000015140000}"/>
    <cellStyle name="Normal 103 3 4 2 3" xfId="24572" xr:uid="{00000000-0005-0000-0000-000016140000}"/>
    <cellStyle name="Normal 103 3 4 3" xfId="12120" xr:uid="{00000000-0005-0000-0000-000017140000}"/>
    <cellStyle name="Normal 103 3 4 3 2" xfId="28644" xr:uid="{00000000-0005-0000-0000-000018140000}"/>
    <cellStyle name="Normal 103 3 4 4" xfId="20601" xr:uid="{00000000-0005-0000-0000-000019140000}"/>
    <cellStyle name="Normal 103 3 5" xfId="2604" xr:uid="{00000000-0005-0000-0000-00001A140000}"/>
    <cellStyle name="Normal 103 3 5 2" xfId="12121" xr:uid="{00000000-0005-0000-0000-00001B140000}"/>
    <cellStyle name="Normal 103 3 5 2 2" xfId="28645" xr:uid="{00000000-0005-0000-0000-00001C140000}"/>
    <cellStyle name="Normal 103 3 5 3" xfId="20602" xr:uid="{00000000-0005-0000-0000-00001D140000}"/>
    <cellStyle name="Normal 103 4" xfId="2605" xr:uid="{00000000-0005-0000-0000-00001E140000}"/>
    <cellStyle name="Normal 103 4 2" xfId="2606" xr:uid="{00000000-0005-0000-0000-00001F140000}"/>
    <cellStyle name="Normal 103 4 2 2" xfId="2607" xr:uid="{00000000-0005-0000-0000-000020140000}"/>
    <cellStyle name="Normal 103 4 2 2 2" xfId="2608" xr:uid="{00000000-0005-0000-0000-000021140000}"/>
    <cellStyle name="Normal 103 4 2 2 2 2" xfId="6864" xr:uid="{00000000-0005-0000-0000-000022140000}"/>
    <cellStyle name="Normal 103 4 2 2 2 2 2" xfId="16046" xr:uid="{00000000-0005-0000-0000-000023140000}"/>
    <cellStyle name="Normal 103 4 2 2 2 2 2 2" xfId="32620" xr:uid="{00000000-0005-0000-0000-000024140000}"/>
    <cellStyle name="Normal 103 4 2 2 2 2 3" xfId="24573" xr:uid="{00000000-0005-0000-0000-000025140000}"/>
    <cellStyle name="Normal 103 4 2 2 2 3" xfId="12125" xr:uid="{00000000-0005-0000-0000-000026140000}"/>
    <cellStyle name="Normal 103 4 2 2 2 3 2" xfId="28649" xr:uid="{00000000-0005-0000-0000-000027140000}"/>
    <cellStyle name="Normal 103 4 2 2 2 4" xfId="20606" xr:uid="{00000000-0005-0000-0000-000028140000}"/>
    <cellStyle name="Normal 103 4 2 2 3" xfId="6865" xr:uid="{00000000-0005-0000-0000-000029140000}"/>
    <cellStyle name="Normal 103 4 2 2 3 2" xfId="16047" xr:uid="{00000000-0005-0000-0000-00002A140000}"/>
    <cellStyle name="Normal 103 4 2 2 3 2 2" xfId="32621" xr:uid="{00000000-0005-0000-0000-00002B140000}"/>
    <cellStyle name="Normal 103 4 2 2 3 3" xfId="24574" xr:uid="{00000000-0005-0000-0000-00002C140000}"/>
    <cellStyle name="Normal 103 4 2 2 4" xfId="12124" xr:uid="{00000000-0005-0000-0000-00002D140000}"/>
    <cellStyle name="Normal 103 4 2 2 4 2" xfId="28648" xr:uid="{00000000-0005-0000-0000-00002E140000}"/>
    <cellStyle name="Normal 103 4 2 2 5" xfId="20605" xr:uid="{00000000-0005-0000-0000-00002F140000}"/>
    <cellStyle name="Normal 103 4 2 3" xfId="2609" xr:uid="{00000000-0005-0000-0000-000030140000}"/>
    <cellStyle name="Normal 103 4 2 3 2" xfId="6866" xr:uid="{00000000-0005-0000-0000-000031140000}"/>
    <cellStyle name="Normal 103 4 2 3 2 2" xfId="16048" xr:uid="{00000000-0005-0000-0000-000032140000}"/>
    <cellStyle name="Normal 103 4 2 3 2 2 2" xfId="32622" xr:uid="{00000000-0005-0000-0000-000033140000}"/>
    <cellStyle name="Normal 103 4 2 3 2 3" xfId="24575" xr:uid="{00000000-0005-0000-0000-000034140000}"/>
    <cellStyle name="Normal 103 4 2 3 3" xfId="12126" xr:uid="{00000000-0005-0000-0000-000035140000}"/>
    <cellStyle name="Normal 103 4 2 3 3 2" xfId="28650" xr:uid="{00000000-0005-0000-0000-000036140000}"/>
    <cellStyle name="Normal 103 4 2 3 4" xfId="20607" xr:uid="{00000000-0005-0000-0000-000037140000}"/>
    <cellStyle name="Normal 103 4 2 4" xfId="6867" xr:uid="{00000000-0005-0000-0000-000038140000}"/>
    <cellStyle name="Normal 103 4 2 4 2" xfId="16049" xr:uid="{00000000-0005-0000-0000-000039140000}"/>
    <cellStyle name="Normal 103 4 2 4 2 2" xfId="32623" xr:uid="{00000000-0005-0000-0000-00003A140000}"/>
    <cellStyle name="Normal 103 4 2 4 3" xfId="24576" xr:uid="{00000000-0005-0000-0000-00003B140000}"/>
    <cellStyle name="Normal 103 4 2 5" xfId="12123" xr:uid="{00000000-0005-0000-0000-00003C140000}"/>
    <cellStyle name="Normal 103 4 2 5 2" xfId="28647" xr:uid="{00000000-0005-0000-0000-00003D140000}"/>
    <cellStyle name="Normal 103 4 2 6" xfId="20604" xr:uid="{00000000-0005-0000-0000-00003E140000}"/>
    <cellStyle name="Normal 103 4 3" xfId="2610" xr:uid="{00000000-0005-0000-0000-00003F140000}"/>
    <cellStyle name="Normal 103 4 3 2" xfId="2611" xr:uid="{00000000-0005-0000-0000-000040140000}"/>
    <cellStyle name="Normal 103 4 3 2 2" xfId="6868" xr:uid="{00000000-0005-0000-0000-000041140000}"/>
    <cellStyle name="Normal 103 4 3 2 2 2" xfId="16050" xr:uid="{00000000-0005-0000-0000-000042140000}"/>
    <cellStyle name="Normal 103 4 3 2 2 2 2" xfId="32624" xr:uid="{00000000-0005-0000-0000-000043140000}"/>
    <cellStyle name="Normal 103 4 3 2 2 3" xfId="24577" xr:uid="{00000000-0005-0000-0000-000044140000}"/>
    <cellStyle name="Normal 103 4 3 2 3" xfId="12128" xr:uid="{00000000-0005-0000-0000-000045140000}"/>
    <cellStyle name="Normal 103 4 3 2 3 2" xfId="28652" xr:uid="{00000000-0005-0000-0000-000046140000}"/>
    <cellStyle name="Normal 103 4 3 2 4" xfId="20609" xr:uid="{00000000-0005-0000-0000-000047140000}"/>
    <cellStyle name="Normal 103 4 3 3" xfId="6869" xr:uid="{00000000-0005-0000-0000-000048140000}"/>
    <cellStyle name="Normal 103 4 3 3 2" xfId="16051" xr:uid="{00000000-0005-0000-0000-000049140000}"/>
    <cellStyle name="Normal 103 4 3 3 2 2" xfId="32625" xr:uid="{00000000-0005-0000-0000-00004A140000}"/>
    <cellStyle name="Normal 103 4 3 3 3" xfId="24578" xr:uid="{00000000-0005-0000-0000-00004B140000}"/>
    <cellStyle name="Normal 103 4 3 4" xfId="12127" xr:uid="{00000000-0005-0000-0000-00004C140000}"/>
    <cellStyle name="Normal 103 4 3 4 2" xfId="28651" xr:uid="{00000000-0005-0000-0000-00004D140000}"/>
    <cellStyle name="Normal 103 4 3 5" xfId="20608" xr:uid="{00000000-0005-0000-0000-00004E140000}"/>
    <cellStyle name="Normal 103 4 4" xfId="2612" xr:uid="{00000000-0005-0000-0000-00004F140000}"/>
    <cellStyle name="Normal 103 4 4 2" xfId="6870" xr:uid="{00000000-0005-0000-0000-000050140000}"/>
    <cellStyle name="Normal 103 4 4 2 2" xfId="16052" xr:uid="{00000000-0005-0000-0000-000051140000}"/>
    <cellStyle name="Normal 103 4 4 2 2 2" xfId="32626" xr:uid="{00000000-0005-0000-0000-000052140000}"/>
    <cellStyle name="Normal 103 4 4 2 3" xfId="24579" xr:uid="{00000000-0005-0000-0000-000053140000}"/>
    <cellStyle name="Normal 103 4 4 3" xfId="12129" xr:uid="{00000000-0005-0000-0000-000054140000}"/>
    <cellStyle name="Normal 103 4 4 3 2" xfId="28653" xr:uid="{00000000-0005-0000-0000-000055140000}"/>
    <cellStyle name="Normal 103 4 4 4" xfId="20610" xr:uid="{00000000-0005-0000-0000-000056140000}"/>
    <cellStyle name="Normal 103 4 5" xfId="6871" xr:uid="{00000000-0005-0000-0000-000057140000}"/>
    <cellStyle name="Normal 103 4 5 2" xfId="16053" xr:uid="{00000000-0005-0000-0000-000058140000}"/>
    <cellStyle name="Normal 103 4 5 2 2" xfId="32627" xr:uid="{00000000-0005-0000-0000-000059140000}"/>
    <cellStyle name="Normal 103 4 5 3" xfId="24580" xr:uid="{00000000-0005-0000-0000-00005A140000}"/>
    <cellStyle name="Normal 103 4 6" xfId="12122" xr:uid="{00000000-0005-0000-0000-00005B140000}"/>
    <cellStyle name="Normal 103 4 6 2" xfId="28646" xr:uid="{00000000-0005-0000-0000-00005C140000}"/>
    <cellStyle name="Normal 103 4 7" xfId="20603" xr:uid="{00000000-0005-0000-0000-00005D140000}"/>
    <cellStyle name="Normal 103 5" xfId="2613" xr:uid="{00000000-0005-0000-0000-00005E140000}"/>
    <cellStyle name="Normal 103 5 2" xfId="2614" xr:uid="{00000000-0005-0000-0000-00005F140000}"/>
    <cellStyle name="Normal 103 5 2 2" xfId="2615" xr:uid="{00000000-0005-0000-0000-000060140000}"/>
    <cellStyle name="Normal 103 5 2 2 2" xfId="2616" xr:uid="{00000000-0005-0000-0000-000061140000}"/>
    <cellStyle name="Normal 103 5 2 2 2 2" xfId="6872" xr:uid="{00000000-0005-0000-0000-000062140000}"/>
    <cellStyle name="Normal 103 5 2 2 2 2 2" xfId="16054" xr:uid="{00000000-0005-0000-0000-000063140000}"/>
    <cellStyle name="Normal 103 5 2 2 2 2 2 2" xfId="32628" xr:uid="{00000000-0005-0000-0000-000064140000}"/>
    <cellStyle name="Normal 103 5 2 2 2 2 3" xfId="24581" xr:uid="{00000000-0005-0000-0000-000065140000}"/>
    <cellStyle name="Normal 103 5 2 2 2 3" xfId="12133" xr:uid="{00000000-0005-0000-0000-000066140000}"/>
    <cellStyle name="Normal 103 5 2 2 2 3 2" xfId="28657" xr:uid="{00000000-0005-0000-0000-000067140000}"/>
    <cellStyle name="Normal 103 5 2 2 2 4" xfId="20614" xr:uid="{00000000-0005-0000-0000-000068140000}"/>
    <cellStyle name="Normal 103 5 2 2 3" xfId="6873" xr:uid="{00000000-0005-0000-0000-000069140000}"/>
    <cellStyle name="Normal 103 5 2 2 3 2" xfId="16055" xr:uid="{00000000-0005-0000-0000-00006A140000}"/>
    <cellStyle name="Normal 103 5 2 2 3 2 2" xfId="32629" xr:uid="{00000000-0005-0000-0000-00006B140000}"/>
    <cellStyle name="Normal 103 5 2 2 3 3" xfId="24582" xr:uid="{00000000-0005-0000-0000-00006C140000}"/>
    <cellStyle name="Normal 103 5 2 2 4" xfId="12132" xr:uid="{00000000-0005-0000-0000-00006D140000}"/>
    <cellStyle name="Normal 103 5 2 2 4 2" xfId="28656" xr:uid="{00000000-0005-0000-0000-00006E140000}"/>
    <cellStyle name="Normal 103 5 2 2 5" xfId="20613" xr:uid="{00000000-0005-0000-0000-00006F140000}"/>
    <cellStyle name="Normal 103 5 2 3" xfId="2617" xr:uid="{00000000-0005-0000-0000-000070140000}"/>
    <cellStyle name="Normal 103 5 2 3 2" xfId="6874" xr:uid="{00000000-0005-0000-0000-000071140000}"/>
    <cellStyle name="Normal 103 5 2 3 2 2" xfId="16056" xr:uid="{00000000-0005-0000-0000-000072140000}"/>
    <cellStyle name="Normal 103 5 2 3 2 2 2" xfId="32630" xr:uid="{00000000-0005-0000-0000-000073140000}"/>
    <cellStyle name="Normal 103 5 2 3 2 3" xfId="24583" xr:uid="{00000000-0005-0000-0000-000074140000}"/>
    <cellStyle name="Normal 103 5 2 3 3" xfId="12134" xr:uid="{00000000-0005-0000-0000-000075140000}"/>
    <cellStyle name="Normal 103 5 2 3 3 2" xfId="28658" xr:uid="{00000000-0005-0000-0000-000076140000}"/>
    <cellStyle name="Normal 103 5 2 3 4" xfId="20615" xr:uid="{00000000-0005-0000-0000-000077140000}"/>
    <cellStyle name="Normal 103 5 2 4" xfId="6875" xr:uid="{00000000-0005-0000-0000-000078140000}"/>
    <cellStyle name="Normal 103 5 2 4 2" xfId="16057" xr:uid="{00000000-0005-0000-0000-000079140000}"/>
    <cellStyle name="Normal 103 5 2 4 2 2" xfId="32631" xr:uid="{00000000-0005-0000-0000-00007A140000}"/>
    <cellStyle name="Normal 103 5 2 4 3" xfId="24584" xr:uid="{00000000-0005-0000-0000-00007B140000}"/>
    <cellStyle name="Normal 103 5 2 5" xfId="12131" xr:uid="{00000000-0005-0000-0000-00007C140000}"/>
    <cellStyle name="Normal 103 5 2 5 2" xfId="28655" xr:uid="{00000000-0005-0000-0000-00007D140000}"/>
    <cellStyle name="Normal 103 5 2 6" xfId="20612" xr:uid="{00000000-0005-0000-0000-00007E140000}"/>
    <cellStyle name="Normal 103 5 3" xfId="2618" xr:uid="{00000000-0005-0000-0000-00007F140000}"/>
    <cellStyle name="Normal 103 5 3 2" xfId="2619" xr:uid="{00000000-0005-0000-0000-000080140000}"/>
    <cellStyle name="Normal 103 5 3 2 2" xfId="6876" xr:uid="{00000000-0005-0000-0000-000081140000}"/>
    <cellStyle name="Normal 103 5 3 2 2 2" xfId="16058" xr:uid="{00000000-0005-0000-0000-000082140000}"/>
    <cellStyle name="Normal 103 5 3 2 2 2 2" xfId="32632" xr:uid="{00000000-0005-0000-0000-000083140000}"/>
    <cellStyle name="Normal 103 5 3 2 2 3" xfId="24585" xr:uid="{00000000-0005-0000-0000-000084140000}"/>
    <cellStyle name="Normal 103 5 3 2 3" xfId="12136" xr:uid="{00000000-0005-0000-0000-000085140000}"/>
    <cellStyle name="Normal 103 5 3 2 3 2" xfId="28660" xr:uid="{00000000-0005-0000-0000-000086140000}"/>
    <cellStyle name="Normal 103 5 3 2 4" xfId="20617" xr:uid="{00000000-0005-0000-0000-000087140000}"/>
    <cellStyle name="Normal 103 5 3 3" xfId="6877" xr:uid="{00000000-0005-0000-0000-000088140000}"/>
    <cellStyle name="Normal 103 5 3 3 2" xfId="16059" xr:uid="{00000000-0005-0000-0000-000089140000}"/>
    <cellStyle name="Normal 103 5 3 3 2 2" xfId="32633" xr:uid="{00000000-0005-0000-0000-00008A140000}"/>
    <cellStyle name="Normal 103 5 3 3 3" xfId="24586" xr:uid="{00000000-0005-0000-0000-00008B140000}"/>
    <cellStyle name="Normal 103 5 3 4" xfId="12135" xr:uid="{00000000-0005-0000-0000-00008C140000}"/>
    <cellStyle name="Normal 103 5 3 4 2" xfId="28659" xr:uid="{00000000-0005-0000-0000-00008D140000}"/>
    <cellStyle name="Normal 103 5 3 5" xfId="20616" xr:uid="{00000000-0005-0000-0000-00008E140000}"/>
    <cellStyle name="Normal 103 5 4" xfId="2620" xr:uid="{00000000-0005-0000-0000-00008F140000}"/>
    <cellStyle name="Normal 103 5 4 2" xfId="6878" xr:uid="{00000000-0005-0000-0000-000090140000}"/>
    <cellStyle name="Normal 103 5 4 2 2" xfId="16060" xr:uid="{00000000-0005-0000-0000-000091140000}"/>
    <cellStyle name="Normal 103 5 4 2 2 2" xfId="32634" xr:uid="{00000000-0005-0000-0000-000092140000}"/>
    <cellStyle name="Normal 103 5 4 2 3" xfId="24587" xr:uid="{00000000-0005-0000-0000-000093140000}"/>
    <cellStyle name="Normal 103 5 4 3" xfId="12137" xr:uid="{00000000-0005-0000-0000-000094140000}"/>
    <cellStyle name="Normal 103 5 4 3 2" xfId="28661" xr:uid="{00000000-0005-0000-0000-000095140000}"/>
    <cellStyle name="Normal 103 5 4 4" xfId="20618" xr:uid="{00000000-0005-0000-0000-000096140000}"/>
    <cellStyle name="Normal 103 5 5" xfId="6879" xr:uid="{00000000-0005-0000-0000-000097140000}"/>
    <cellStyle name="Normal 103 5 5 2" xfId="16061" xr:uid="{00000000-0005-0000-0000-000098140000}"/>
    <cellStyle name="Normal 103 5 5 2 2" xfId="32635" xr:uid="{00000000-0005-0000-0000-000099140000}"/>
    <cellStyle name="Normal 103 5 5 3" xfId="24588" xr:uid="{00000000-0005-0000-0000-00009A140000}"/>
    <cellStyle name="Normal 103 5 6" xfId="12130" xr:uid="{00000000-0005-0000-0000-00009B140000}"/>
    <cellStyle name="Normal 103 5 6 2" xfId="28654" xr:uid="{00000000-0005-0000-0000-00009C140000}"/>
    <cellStyle name="Normal 103 5 7" xfId="20611" xr:uid="{00000000-0005-0000-0000-00009D140000}"/>
    <cellStyle name="Normal 103 6" xfId="2621" xr:uid="{00000000-0005-0000-0000-00009E140000}"/>
    <cellStyle name="Normal 103 6 2" xfId="2622" xr:uid="{00000000-0005-0000-0000-00009F140000}"/>
    <cellStyle name="Normal 103 6 2 2" xfId="2623" xr:uid="{00000000-0005-0000-0000-0000A0140000}"/>
    <cellStyle name="Normal 103 6 2 2 2" xfId="6880" xr:uid="{00000000-0005-0000-0000-0000A1140000}"/>
    <cellStyle name="Normal 103 6 2 2 2 2" xfId="16062" xr:uid="{00000000-0005-0000-0000-0000A2140000}"/>
    <cellStyle name="Normal 103 6 2 2 2 2 2" xfId="32636" xr:uid="{00000000-0005-0000-0000-0000A3140000}"/>
    <cellStyle name="Normal 103 6 2 2 2 3" xfId="24589" xr:uid="{00000000-0005-0000-0000-0000A4140000}"/>
    <cellStyle name="Normal 103 6 2 2 3" xfId="12140" xr:uid="{00000000-0005-0000-0000-0000A5140000}"/>
    <cellStyle name="Normal 103 6 2 2 3 2" xfId="28664" xr:uid="{00000000-0005-0000-0000-0000A6140000}"/>
    <cellStyle name="Normal 103 6 2 2 4" xfId="20621" xr:uid="{00000000-0005-0000-0000-0000A7140000}"/>
    <cellStyle name="Normal 103 6 2 3" xfId="6881" xr:uid="{00000000-0005-0000-0000-0000A8140000}"/>
    <cellStyle name="Normal 103 6 2 3 2" xfId="16063" xr:uid="{00000000-0005-0000-0000-0000A9140000}"/>
    <cellStyle name="Normal 103 6 2 3 2 2" xfId="32637" xr:uid="{00000000-0005-0000-0000-0000AA140000}"/>
    <cellStyle name="Normal 103 6 2 3 3" xfId="24590" xr:uid="{00000000-0005-0000-0000-0000AB140000}"/>
    <cellStyle name="Normal 103 6 2 4" xfId="12139" xr:uid="{00000000-0005-0000-0000-0000AC140000}"/>
    <cellStyle name="Normal 103 6 2 4 2" xfId="28663" xr:uid="{00000000-0005-0000-0000-0000AD140000}"/>
    <cellStyle name="Normal 103 6 2 5" xfId="20620" xr:uid="{00000000-0005-0000-0000-0000AE140000}"/>
    <cellStyle name="Normal 103 6 3" xfId="2624" xr:uid="{00000000-0005-0000-0000-0000AF140000}"/>
    <cellStyle name="Normal 103 6 3 2" xfId="6882" xr:uid="{00000000-0005-0000-0000-0000B0140000}"/>
    <cellStyle name="Normal 103 6 3 2 2" xfId="16064" xr:uid="{00000000-0005-0000-0000-0000B1140000}"/>
    <cellStyle name="Normal 103 6 3 2 2 2" xfId="32638" xr:uid="{00000000-0005-0000-0000-0000B2140000}"/>
    <cellStyle name="Normal 103 6 3 2 3" xfId="24591" xr:uid="{00000000-0005-0000-0000-0000B3140000}"/>
    <cellStyle name="Normal 103 6 3 3" xfId="12141" xr:uid="{00000000-0005-0000-0000-0000B4140000}"/>
    <cellStyle name="Normal 103 6 3 3 2" xfId="28665" xr:uid="{00000000-0005-0000-0000-0000B5140000}"/>
    <cellStyle name="Normal 103 6 3 4" xfId="20622" xr:uid="{00000000-0005-0000-0000-0000B6140000}"/>
    <cellStyle name="Normal 103 6 4" xfId="6883" xr:uid="{00000000-0005-0000-0000-0000B7140000}"/>
    <cellStyle name="Normal 103 6 4 2" xfId="16065" xr:uid="{00000000-0005-0000-0000-0000B8140000}"/>
    <cellStyle name="Normal 103 6 4 2 2" xfId="32639" xr:uid="{00000000-0005-0000-0000-0000B9140000}"/>
    <cellStyle name="Normal 103 6 4 3" xfId="24592" xr:uid="{00000000-0005-0000-0000-0000BA140000}"/>
    <cellStyle name="Normal 103 6 5" xfId="12138" xr:uid="{00000000-0005-0000-0000-0000BB140000}"/>
    <cellStyle name="Normal 103 6 5 2" xfId="28662" xr:uid="{00000000-0005-0000-0000-0000BC140000}"/>
    <cellStyle name="Normal 103 6 6" xfId="20619" xr:uid="{00000000-0005-0000-0000-0000BD140000}"/>
    <cellStyle name="Normal 103 7" xfId="2625" xr:uid="{00000000-0005-0000-0000-0000BE140000}"/>
    <cellStyle name="Normal 103 7 2" xfId="2626" xr:uid="{00000000-0005-0000-0000-0000BF140000}"/>
    <cellStyle name="Normal 103 7 2 2" xfId="6884" xr:uid="{00000000-0005-0000-0000-0000C0140000}"/>
    <cellStyle name="Normal 103 7 2 2 2" xfId="16066" xr:uid="{00000000-0005-0000-0000-0000C1140000}"/>
    <cellStyle name="Normal 103 7 2 2 2 2" xfId="32640" xr:uid="{00000000-0005-0000-0000-0000C2140000}"/>
    <cellStyle name="Normal 103 7 2 2 3" xfId="24593" xr:uid="{00000000-0005-0000-0000-0000C3140000}"/>
    <cellStyle name="Normal 103 7 2 3" xfId="12143" xr:uid="{00000000-0005-0000-0000-0000C4140000}"/>
    <cellStyle name="Normal 103 7 2 3 2" xfId="28667" xr:uid="{00000000-0005-0000-0000-0000C5140000}"/>
    <cellStyle name="Normal 103 7 2 4" xfId="20624" xr:uid="{00000000-0005-0000-0000-0000C6140000}"/>
    <cellStyle name="Normal 103 7 3" xfId="6885" xr:uid="{00000000-0005-0000-0000-0000C7140000}"/>
    <cellStyle name="Normal 103 7 3 2" xfId="16067" xr:uid="{00000000-0005-0000-0000-0000C8140000}"/>
    <cellStyle name="Normal 103 7 3 2 2" xfId="32641" xr:uid="{00000000-0005-0000-0000-0000C9140000}"/>
    <cellStyle name="Normal 103 7 3 3" xfId="24594" xr:uid="{00000000-0005-0000-0000-0000CA140000}"/>
    <cellStyle name="Normal 103 7 4" xfId="12142" xr:uid="{00000000-0005-0000-0000-0000CB140000}"/>
    <cellStyle name="Normal 103 7 4 2" xfId="28666" xr:uid="{00000000-0005-0000-0000-0000CC140000}"/>
    <cellStyle name="Normal 103 7 5" xfId="20623" xr:uid="{00000000-0005-0000-0000-0000CD140000}"/>
    <cellStyle name="Normal 103 8" xfId="2627" xr:uid="{00000000-0005-0000-0000-0000CE140000}"/>
    <cellStyle name="Normal 103 8 2" xfId="6886" xr:uid="{00000000-0005-0000-0000-0000CF140000}"/>
    <cellStyle name="Normal 103 8 2 2" xfId="16068" xr:uid="{00000000-0005-0000-0000-0000D0140000}"/>
    <cellStyle name="Normal 103 8 2 2 2" xfId="32642" xr:uid="{00000000-0005-0000-0000-0000D1140000}"/>
    <cellStyle name="Normal 103 8 2 3" xfId="24595" xr:uid="{00000000-0005-0000-0000-0000D2140000}"/>
    <cellStyle name="Normal 103 8 3" xfId="12144" xr:uid="{00000000-0005-0000-0000-0000D3140000}"/>
    <cellStyle name="Normal 103 8 3 2" xfId="28668" xr:uid="{00000000-0005-0000-0000-0000D4140000}"/>
    <cellStyle name="Normal 103 8 4" xfId="20625" xr:uid="{00000000-0005-0000-0000-0000D5140000}"/>
    <cellStyle name="Normal 103 9" xfId="6887" xr:uid="{00000000-0005-0000-0000-0000D6140000}"/>
    <cellStyle name="Normal 103 9 2" xfId="16069" xr:uid="{00000000-0005-0000-0000-0000D7140000}"/>
    <cellStyle name="Normal 103 9 2 2" xfId="32643" xr:uid="{00000000-0005-0000-0000-0000D8140000}"/>
    <cellStyle name="Normal 103 9 3" xfId="24596" xr:uid="{00000000-0005-0000-0000-0000D9140000}"/>
    <cellStyle name="Normal 104" xfId="2628" xr:uid="{00000000-0005-0000-0000-0000DA140000}"/>
    <cellStyle name="Normal 104 2" xfId="6888" xr:uid="{00000000-0005-0000-0000-0000DB140000}"/>
    <cellStyle name="Normal 105" xfId="2629" xr:uid="{00000000-0005-0000-0000-0000DC140000}"/>
    <cellStyle name="Normal 105 10" xfId="12145" xr:uid="{00000000-0005-0000-0000-0000DD140000}"/>
    <cellStyle name="Normal 105 10 2" xfId="28669" xr:uid="{00000000-0005-0000-0000-0000DE140000}"/>
    <cellStyle name="Normal 105 11" xfId="20626" xr:uid="{00000000-0005-0000-0000-0000DF140000}"/>
    <cellStyle name="Normal 105 2" xfId="2630" xr:uid="{00000000-0005-0000-0000-0000E0140000}"/>
    <cellStyle name="Normal 105 2 2" xfId="2631" xr:uid="{00000000-0005-0000-0000-0000E1140000}"/>
    <cellStyle name="Normal 105 2 3" xfId="12146" xr:uid="{00000000-0005-0000-0000-0000E2140000}"/>
    <cellStyle name="Normal 105 2 3 2" xfId="28670" xr:uid="{00000000-0005-0000-0000-0000E3140000}"/>
    <cellStyle name="Normal 105 2 4" xfId="20627" xr:uid="{00000000-0005-0000-0000-0000E4140000}"/>
    <cellStyle name="Normal 105 3" xfId="2632" xr:uid="{00000000-0005-0000-0000-0000E5140000}"/>
    <cellStyle name="Normal 105 3 2" xfId="2633" xr:uid="{00000000-0005-0000-0000-0000E6140000}"/>
    <cellStyle name="Normal 105 3 2 2" xfId="2634" xr:uid="{00000000-0005-0000-0000-0000E7140000}"/>
    <cellStyle name="Normal 105 3 2 2 2" xfId="2635" xr:uid="{00000000-0005-0000-0000-0000E8140000}"/>
    <cellStyle name="Normal 105 3 2 2 2 2" xfId="6889" xr:uid="{00000000-0005-0000-0000-0000E9140000}"/>
    <cellStyle name="Normal 105 3 2 2 2 2 2" xfId="16070" xr:uid="{00000000-0005-0000-0000-0000EA140000}"/>
    <cellStyle name="Normal 105 3 2 2 2 2 2 2" xfId="32644" xr:uid="{00000000-0005-0000-0000-0000EB140000}"/>
    <cellStyle name="Normal 105 3 2 2 2 2 3" xfId="24597" xr:uid="{00000000-0005-0000-0000-0000EC140000}"/>
    <cellStyle name="Normal 105 3 2 2 2 3" xfId="12149" xr:uid="{00000000-0005-0000-0000-0000ED140000}"/>
    <cellStyle name="Normal 105 3 2 2 2 3 2" xfId="28673" xr:uid="{00000000-0005-0000-0000-0000EE140000}"/>
    <cellStyle name="Normal 105 3 2 2 2 4" xfId="20630" xr:uid="{00000000-0005-0000-0000-0000EF140000}"/>
    <cellStyle name="Normal 105 3 2 2 3" xfId="6890" xr:uid="{00000000-0005-0000-0000-0000F0140000}"/>
    <cellStyle name="Normal 105 3 2 2 3 2" xfId="16071" xr:uid="{00000000-0005-0000-0000-0000F1140000}"/>
    <cellStyle name="Normal 105 3 2 2 3 2 2" xfId="32645" xr:uid="{00000000-0005-0000-0000-0000F2140000}"/>
    <cellStyle name="Normal 105 3 2 2 3 3" xfId="24598" xr:uid="{00000000-0005-0000-0000-0000F3140000}"/>
    <cellStyle name="Normal 105 3 2 2 4" xfId="12148" xr:uid="{00000000-0005-0000-0000-0000F4140000}"/>
    <cellStyle name="Normal 105 3 2 2 4 2" xfId="28672" xr:uid="{00000000-0005-0000-0000-0000F5140000}"/>
    <cellStyle name="Normal 105 3 2 2 5" xfId="20629" xr:uid="{00000000-0005-0000-0000-0000F6140000}"/>
    <cellStyle name="Normal 105 3 2 3" xfId="2636" xr:uid="{00000000-0005-0000-0000-0000F7140000}"/>
    <cellStyle name="Normal 105 3 2 3 2" xfId="6891" xr:uid="{00000000-0005-0000-0000-0000F8140000}"/>
    <cellStyle name="Normal 105 3 2 3 2 2" xfId="16072" xr:uid="{00000000-0005-0000-0000-0000F9140000}"/>
    <cellStyle name="Normal 105 3 2 3 2 2 2" xfId="32646" xr:uid="{00000000-0005-0000-0000-0000FA140000}"/>
    <cellStyle name="Normal 105 3 2 3 2 3" xfId="24599" xr:uid="{00000000-0005-0000-0000-0000FB140000}"/>
    <cellStyle name="Normal 105 3 2 3 3" xfId="12150" xr:uid="{00000000-0005-0000-0000-0000FC140000}"/>
    <cellStyle name="Normal 105 3 2 3 3 2" xfId="28674" xr:uid="{00000000-0005-0000-0000-0000FD140000}"/>
    <cellStyle name="Normal 105 3 2 3 4" xfId="20631" xr:uid="{00000000-0005-0000-0000-0000FE140000}"/>
    <cellStyle name="Normal 105 3 2 4" xfId="6892" xr:uid="{00000000-0005-0000-0000-0000FF140000}"/>
    <cellStyle name="Normal 105 3 2 4 2" xfId="16073" xr:uid="{00000000-0005-0000-0000-000000150000}"/>
    <cellStyle name="Normal 105 3 2 4 2 2" xfId="32647" xr:uid="{00000000-0005-0000-0000-000001150000}"/>
    <cellStyle name="Normal 105 3 2 4 3" xfId="24600" xr:uid="{00000000-0005-0000-0000-000002150000}"/>
    <cellStyle name="Normal 105 3 2 5" xfId="12147" xr:uid="{00000000-0005-0000-0000-000003150000}"/>
    <cellStyle name="Normal 105 3 2 5 2" xfId="28671" xr:uid="{00000000-0005-0000-0000-000004150000}"/>
    <cellStyle name="Normal 105 3 2 6" xfId="20628" xr:uid="{00000000-0005-0000-0000-000005150000}"/>
    <cellStyle name="Normal 105 3 3" xfId="2637" xr:uid="{00000000-0005-0000-0000-000006150000}"/>
    <cellStyle name="Normal 105 3 3 2" xfId="2638" xr:uid="{00000000-0005-0000-0000-000007150000}"/>
    <cellStyle name="Normal 105 3 3 2 2" xfId="6893" xr:uid="{00000000-0005-0000-0000-000008150000}"/>
    <cellStyle name="Normal 105 3 3 2 2 2" xfId="16074" xr:uid="{00000000-0005-0000-0000-000009150000}"/>
    <cellStyle name="Normal 105 3 3 2 2 2 2" xfId="32648" xr:uid="{00000000-0005-0000-0000-00000A150000}"/>
    <cellStyle name="Normal 105 3 3 2 2 3" xfId="24601" xr:uid="{00000000-0005-0000-0000-00000B150000}"/>
    <cellStyle name="Normal 105 3 3 2 3" xfId="12152" xr:uid="{00000000-0005-0000-0000-00000C150000}"/>
    <cellStyle name="Normal 105 3 3 2 3 2" xfId="28676" xr:uid="{00000000-0005-0000-0000-00000D150000}"/>
    <cellStyle name="Normal 105 3 3 2 4" xfId="20633" xr:uid="{00000000-0005-0000-0000-00000E150000}"/>
    <cellStyle name="Normal 105 3 3 3" xfId="6894" xr:uid="{00000000-0005-0000-0000-00000F150000}"/>
    <cellStyle name="Normal 105 3 3 3 2" xfId="16075" xr:uid="{00000000-0005-0000-0000-000010150000}"/>
    <cellStyle name="Normal 105 3 3 3 2 2" xfId="32649" xr:uid="{00000000-0005-0000-0000-000011150000}"/>
    <cellStyle name="Normal 105 3 3 3 3" xfId="24602" xr:uid="{00000000-0005-0000-0000-000012150000}"/>
    <cellStyle name="Normal 105 3 3 4" xfId="12151" xr:uid="{00000000-0005-0000-0000-000013150000}"/>
    <cellStyle name="Normal 105 3 3 4 2" xfId="28675" xr:uid="{00000000-0005-0000-0000-000014150000}"/>
    <cellStyle name="Normal 105 3 3 5" xfId="20632" xr:uid="{00000000-0005-0000-0000-000015150000}"/>
    <cellStyle name="Normal 105 3 4" xfId="2639" xr:uid="{00000000-0005-0000-0000-000016150000}"/>
    <cellStyle name="Normal 105 3 4 2" xfId="6895" xr:uid="{00000000-0005-0000-0000-000017150000}"/>
    <cellStyle name="Normal 105 3 4 2 2" xfId="16076" xr:uid="{00000000-0005-0000-0000-000018150000}"/>
    <cellStyle name="Normal 105 3 4 2 2 2" xfId="32650" xr:uid="{00000000-0005-0000-0000-000019150000}"/>
    <cellStyle name="Normal 105 3 4 2 3" xfId="24603" xr:uid="{00000000-0005-0000-0000-00001A150000}"/>
    <cellStyle name="Normal 105 3 4 3" xfId="12153" xr:uid="{00000000-0005-0000-0000-00001B150000}"/>
    <cellStyle name="Normal 105 3 4 3 2" xfId="28677" xr:uid="{00000000-0005-0000-0000-00001C150000}"/>
    <cellStyle name="Normal 105 3 4 4" xfId="20634" xr:uid="{00000000-0005-0000-0000-00001D150000}"/>
    <cellStyle name="Normal 105 3 5" xfId="2640" xr:uid="{00000000-0005-0000-0000-00001E150000}"/>
    <cellStyle name="Normal 105 3 5 2" xfId="12154" xr:uid="{00000000-0005-0000-0000-00001F150000}"/>
    <cellStyle name="Normal 105 3 5 2 2" xfId="28678" xr:uid="{00000000-0005-0000-0000-000020150000}"/>
    <cellStyle name="Normal 105 3 5 3" xfId="20635" xr:uid="{00000000-0005-0000-0000-000021150000}"/>
    <cellStyle name="Normal 105 4" xfId="2641" xr:uid="{00000000-0005-0000-0000-000022150000}"/>
    <cellStyle name="Normal 105 4 2" xfId="2642" xr:uid="{00000000-0005-0000-0000-000023150000}"/>
    <cellStyle name="Normal 105 4 2 2" xfId="2643" xr:uid="{00000000-0005-0000-0000-000024150000}"/>
    <cellStyle name="Normal 105 4 2 2 2" xfId="2644" xr:uid="{00000000-0005-0000-0000-000025150000}"/>
    <cellStyle name="Normal 105 4 2 2 2 2" xfId="6896" xr:uid="{00000000-0005-0000-0000-000026150000}"/>
    <cellStyle name="Normal 105 4 2 2 2 2 2" xfId="16077" xr:uid="{00000000-0005-0000-0000-000027150000}"/>
    <cellStyle name="Normal 105 4 2 2 2 2 2 2" xfId="32651" xr:uid="{00000000-0005-0000-0000-000028150000}"/>
    <cellStyle name="Normal 105 4 2 2 2 2 3" xfId="24604" xr:uid="{00000000-0005-0000-0000-000029150000}"/>
    <cellStyle name="Normal 105 4 2 2 2 3" xfId="12158" xr:uid="{00000000-0005-0000-0000-00002A150000}"/>
    <cellStyle name="Normal 105 4 2 2 2 3 2" xfId="28682" xr:uid="{00000000-0005-0000-0000-00002B150000}"/>
    <cellStyle name="Normal 105 4 2 2 2 4" xfId="20639" xr:uid="{00000000-0005-0000-0000-00002C150000}"/>
    <cellStyle name="Normal 105 4 2 2 3" xfId="6897" xr:uid="{00000000-0005-0000-0000-00002D150000}"/>
    <cellStyle name="Normal 105 4 2 2 3 2" xfId="16078" xr:uid="{00000000-0005-0000-0000-00002E150000}"/>
    <cellStyle name="Normal 105 4 2 2 3 2 2" xfId="32652" xr:uid="{00000000-0005-0000-0000-00002F150000}"/>
    <cellStyle name="Normal 105 4 2 2 3 3" xfId="24605" xr:uid="{00000000-0005-0000-0000-000030150000}"/>
    <cellStyle name="Normal 105 4 2 2 4" xfId="12157" xr:uid="{00000000-0005-0000-0000-000031150000}"/>
    <cellStyle name="Normal 105 4 2 2 4 2" xfId="28681" xr:uid="{00000000-0005-0000-0000-000032150000}"/>
    <cellStyle name="Normal 105 4 2 2 5" xfId="20638" xr:uid="{00000000-0005-0000-0000-000033150000}"/>
    <cellStyle name="Normal 105 4 2 3" xfId="2645" xr:uid="{00000000-0005-0000-0000-000034150000}"/>
    <cellStyle name="Normal 105 4 2 3 2" xfId="6898" xr:uid="{00000000-0005-0000-0000-000035150000}"/>
    <cellStyle name="Normal 105 4 2 3 2 2" xfId="16079" xr:uid="{00000000-0005-0000-0000-000036150000}"/>
    <cellStyle name="Normal 105 4 2 3 2 2 2" xfId="32653" xr:uid="{00000000-0005-0000-0000-000037150000}"/>
    <cellStyle name="Normal 105 4 2 3 2 3" xfId="24606" xr:uid="{00000000-0005-0000-0000-000038150000}"/>
    <cellStyle name="Normal 105 4 2 3 3" xfId="12159" xr:uid="{00000000-0005-0000-0000-000039150000}"/>
    <cellStyle name="Normal 105 4 2 3 3 2" xfId="28683" xr:uid="{00000000-0005-0000-0000-00003A150000}"/>
    <cellStyle name="Normal 105 4 2 3 4" xfId="20640" xr:uid="{00000000-0005-0000-0000-00003B150000}"/>
    <cellStyle name="Normal 105 4 2 4" xfId="6899" xr:uid="{00000000-0005-0000-0000-00003C150000}"/>
    <cellStyle name="Normal 105 4 2 4 2" xfId="16080" xr:uid="{00000000-0005-0000-0000-00003D150000}"/>
    <cellStyle name="Normal 105 4 2 4 2 2" xfId="32654" xr:uid="{00000000-0005-0000-0000-00003E150000}"/>
    <cellStyle name="Normal 105 4 2 4 3" xfId="24607" xr:uid="{00000000-0005-0000-0000-00003F150000}"/>
    <cellStyle name="Normal 105 4 2 5" xfId="12156" xr:uid="{00000000-0005-0000-0000-000040150000}"/>
    <cellStyle name="Normal 105 4 2 5 2" xfId="28680" xr:uid="{00000000-0005-0000-0000-000041150000}"/>
    <cellStyle name="Normal 105 4 2 6" xfId="20637" xr:uid="{00000000-0005-0000-0000-000042150000}"/>
    <cellStyle name="Normal 105 4 3" xfId="2646" xr:uid="{00000000-0005-0000-0000-000043150000}"/>
    <cellStyle name="Normal 105 4 3 2" xfId="2647" xr:uid="{00000000-0005-0000-0000-000044150000}"/>
    <cellStyle name="Normal 105 4 3 2 2" xfId="6900" xr:uid="{00000000-0005-0000-0000-000045150000}"/>
    <cellStyle name="Normal 105 4 3 2 2 2" xfId="16081" xr:uid="{00000000-0005-0000-0000-000046150000}"/>
    <cellStyle name="Normal 105 4 3 2 2 2 2" xfId="32655" xr:uid="{00000000-0005-0000-0000-000047150000}"/>
    <cellStyle name="Normal 105 4 3 2 2 3" xfId="24608" xr:uid="{00000000-0005-0000-0000-000048150000}"/>
    <cellStyle name="Normal 105 4 3 2 3" xfId="12161" xr:uid="{00000000-0005-0000-0000-000049150000}"/>
    <cellStyle name="Normal 105 4 3 2 3 2" xfId="28685" xr:uid="{00000000-0005-0000-0000-00004A150000}"/>
    <cellStyle name="Normal 105 4 3 2 4" xfId="20642" xr:uid="{00000000-0005-0000-0000-00004B150000}"/>
    <cellStyle name="Normal 105 4 3 3" xfId="6901" xr:uid="{00000000-0005-0000-0000-00004C150000}"/>
    <cellStyle name="Normal 105 4 3 3 2" xfId="16082" xr:uid="{00000000-0005-0000-0000-00004D150000}"/>
    <cellStyle name="Normal 105 4 3 3 2 2" xfId="32656" xr:uid="{00000000-0005-0000-0000-00004E150000}"/>
    <cellStyle name="Normal 105 4 3 3 3" xfId="24609" xr:uid="{00000000-0005-0000-0000-00004F150000}"/>
    <cellStyle name="Normal 105 4 3 4" xfId="12160" xr:uid="{00000000-0005-0000-0000-000050150000}"/>
    <cellStyle name="Normal 105 4 3 4 2" xfId="28684" xr:uid="{00000000-0005-0000-0000-000051150000}"/>
    <cellStyle name="Normal 105 4 3 5" xfId="20641" xr:uid="{00000000-0005-0000-0000-000052150000}"/>
    <cellStyle name="Normal 105 4 4" xfId="2648" xr:uid="{00000000-0005-0000-0000-000053150000}"/>
    <cellStyle name="Normal 105 4 4 2" xfId="6902" xr:uid="{00000000-0005-0000-0000-000054150000}"/>
    <cellStyle name="Normal 105 4 4 2 2" xfId="16083" xr:uid="{00000000-0005-0000-0000-000055150000}"/>
    <cellStyle name="Normal 105 4 4 2 2 2" xfId="32657" xr:uid="{00000000-0005-0000-0000-000056150000}"/>
    <cellStyle name="Normal 105 4 4 2 3" xfId="24610" xr:uid="{00000000-0005-0000-0000-000057150000}"/>
    <cellStyle name="Normal 105 4 4 3" xfId="12162" xr:uid="{00000000-0005-0000-0000-000058150000}"/>
    <cellStyle name="Normal 105 4 4 3 2" xfId="28686" xr:uid="{00000000-0005-0000-0000-000059150000}"/>
    <cellStyle name="Normal 105 4 4 4" xfId="20643" xr:uid="{00000000-0005-0000-0000-00005A150000}"/>
    <cellStyle name="Normal 105 4 5" xfId="6903" xr:uid="{00000000-0005-0000-0000-00005B150000}"/>
    <cellStyle name="Normal 105 4 5 2" xfId="16084" xr:uid="{00000000-0005-0000-0000-00005C150000}"/>
    <cellStyle name="Normal 105 4 5 2 2" xfId="32658" xr:uid="{00000000-0005-0000-0000-00005D150000}"/>
    <cellStyle name="Normal 105 4 5 3" xfId="24611" xr:uid="{00000000-0005-0000-0000-00005E150000}"/>
    <cellStyle name="Normal 105 4 6" xfId="12155" xr:uid="{00000000-0005-0000-0000-00005F150000}"/>
    <cellStyle name="Normal 105 4 6 2" xfId="28679" xr:uid="{00000000-0005-0000-0000-000060150000}"/>
    <cellStyle name="Normal 105 4 7" xfId="20636" xr:uid="{00000000-0005-0000-0000-000061150000}"/>
    <cellStyle name="Normal 105 5" xfId="2649" xr:uid="{00000000-0005-0000-0000-000062150000}"/>
    <cellStyle name="Normal 105 5 2" xfId="2650" xr:uid="{00000000-0005-0000-0000-000063150000}"/>
    <cellStyle name="Normal 105 5 2 2" xfId="2651" xr:uid="{00000000-0005-0000-0000-000064150000}"/>
    <cellStyle name="Normal 105 5 2 2 2" xfId="2652" xr:uid="{00000000-0005-0000-0000-000065150000}"/>
    <cellStyle name="Normal 105 5 2 2 2 2" xfId="6904" xr:uid="{00000000-0005-0000-0000-000066150000}"/>
    <cellStyle name="Normal 105 5 2 2 2 2 2" xfId="16085" xr:uid="{00000000-0005-0000-0000-000067150000}"/>
    <cellStyle name="Normal 105 5 2 2 2 2 2 2" xfId="32659" xr:uid="{00000000-0005-0000-0000-000068150000}"/>
    <cellStyle name="Normal 105 5 2 2 2 2 3" xfId="24612" xr:uid="{00000000-0005-0000-0000-000069150000}"/>
    <cellStyle name="Normal 105 5 2 2 2 3" xfId="12166" xr:uid="{00000000-0005-0000-0000-00006A150000}"/>
    <cellStyle name="Normal 105 5 2 2 2 3 2" xfId="28690" xr:uid="{00000000-0005-0000-0000-00006B150000}"/>
    <cellStyle name="Normal 105 5 2 2 2 4" xfId="20647" xr:uid="{00000000-0005-0000-0000-00006C150000}"/>
    <cellStyle name="Normal 105 5 2 2 3" xfId="6905" xr:uid="{00000000-0005-0000-0000-00006D150000}"/>
    <cellStyle name="Normal 105 5 2 2 3 2" xfId="16086" xr:uid="{00000000-0005-0000-0000-00006E150000}"/>
    <cellStyle name="Normal 105 5 2 2 3 2 2" xfId="32660" xr:uid="{00000000-0005-0000-0000-00006F150000}"/>
    <cellStyle name="Normal 105 5 2 2 3 3" xfId="24613" xr:uid="{00000000-0005-0000-0000-000070150000}"/>
    <cellStyle name="Normal 105 5 2 2 4" xfId="12165" xr:uid="{00000000-0005-0000-0000-000071150000}"/>
    <cellStyle name="Normal 105 5 2 2 4 2" xfId="28689" xr:uid="{00000000-0005-0000-0000-000072150000}"/>
    <cellStyle name="Normal 105 5 2 2 5" xfId="20646" xr:uid="{00000000-0005-0000-0000-000073150000}"/>
    <cellStyle name="Normal 105 5 2 3" xfId="2653" xr:uid="{00000000-0005-0000-0000-000074150000}"/>
    <cellStyle name="Normal 105 5 2 3 2" xfId="6906" xr:uid="{00000000-0005-0000-0000-000075150000}"/>
    <cellStyle name="Normal 105 5 2 3 2 2" xfId="16087" xr:uid="{00000000-0005-0000-0000-000076150000}"/>
    <cellStyle name="Normal 105 5 2 3 2 2 2" xfId="32661" xr:uid="{00000000-0005-0000-0000-000077150000}"/>
    <cellStyle name="Normal 105 5 2 3 2 3" xfId="24614" xr:uid="{00000000-0005-0000-0000-000078150000}"/>
    <cellStyle name="Normal 105 5 2 3 3" xfId="12167" xr:uid="{00000000-0005-0000-0000-000079150000}"/>
    <cellStyle name="Normal 105 5 2 3 3 2" xfId="28691" xr:uid="{00000000-0005-0000-0000-00007A150000}"/>
    <cellStyle name="Normal 105 5 2 3 4" xfId="20648" xr:uid="{00000000-0005-0000-0000-00007B150000}"/>
    <cellStyle name="Normal 105 5 2 4" xfId="6907" xr:uid="{00000000-0005-0000-0000-00007C150000}"/>
    <cellStyle name="Normal 105 5 2 4 2" xfId="16088" xr:uid="{00000000-0005-0000-0000-00007D150000}"/>
    <cellStyle name="Normal 105 5 2 4 2 2" xfId="32662" xr:uid="{00000000-0005-0000-0000-00007E150000}"/>
    <cellStyle name="Normal 105 5 2 4 3" xfId="24615" xr:uid="{00000000-0005-0000-0000-00007F150000}"/>
    <cellStyle name="Normal 105 5 2 5" xfId="12164" xr:uid="{00000000-0005-0000-0000-000080150000}"/>
    <cellStyle name="Normal 105 5 2 5 2" xfId="28688" xr:uid="{00000000-0005-0000-0000-000081150000}"/>
    <cellStyle name="Normal 105 5 2 6" xfId="20645" xr:uid="{00000000-0005-0000-0000-000082150000}"/>
    <cellStyle name="Normal 105 5 3" xfId="2654" xr:uid="{00000000-0005-0000-0000-000083150000}"/>
    <cellStyle name="Normal 105 5 3 2" xfId="2655" xr:uid="{00000000-0005-0000-0000-000084150000}"/>
    <cellStyle name="Normal 105 5 3 2 2" xfId="6908" xr:uid="{00000000-0005-0000-0000-000085150000}"/>
    <cellStyle name="Normal 105 5 3 2 2 2" xfId="16089" xr:uid="{00000000-0005-0000-0000-000086150000}"/>
    <cellStyle name="Normal 105 5 3 2 2 2 2" xfId="32663" xr:uid="{00000000-0005-0000-0000-000087150000}"/>
    <cellStyle name="Normal 105 5 3 2 2 3" xfId="24616" xr:uid="{00000000-0005-0000-0000-000088150000}"/>
    <cellStyle name="Normal 105 5 3 2 3" xfId="12169" xr:uid="{00000000-0005-0000-0000-000089150000}"/>
    <cellStyle name="Normal 105 5 3 2 3 2" xfId="28693" xr:uid="{00000000-0005-0000-0000-00008A150000}"/>
    <cellStyle name="Normal 105 5 3 2 4" xfId="20650" xr:uid="{00000000-0005-0000-0000-00008B150000}"/>
    <cellStyle name="Normal 105 5 3 3" xfId="6909" xr:uid="{00000000-0005-0000-0000-00008C150000}"/>
    <cellStyle name="Normal 105 5 3 3 2" xfId="16090" xr:uid="{00000000-0005-0000-0000-00008D150000}"/>
    <cellStyle name="Normal 105 5 3 3 2 2" xfId="32664" xr:uid="{00000000-0005-0000-0000-00008E150000}"/>
    <cellStyle name="Normal 105 5 3 3 3" xfId="24617" xr:uid="{00000000-0005-0000-0000-00008F150000}"/>
    <cellStyle name="Normal 105 5 3 4" xfId="12168" xr:uid="{00000000-0005-0000-0000-000090150000}"/>
    <cellStyle name="Normal 105 5 3 4 2" xfId="28692" xr:uid="{00000000-0005-0000-0000-000091150000}"/>
    <cellStyle name="Normal 105 5 3 5" xfId="20649" xr:uid="{00000000-0005-0000-0000-000092150000}"/>
    <cellStyle name="Normal 105 5 4" xfId="2656" xr:uid="{00000000-0005-0000-0000-000093150000}"/>
    <cellStyle name="Normal 105 5 4 2" xfId="6910" xr:uid="{00000000-0005-0000-0000-000094150000}"/>
    <cellStyle name="Normal 105 5 4 2 2" xfId="16091" xr:uid="{00000000-0005-0000-0000-000095150000}"/>
    <cellStyle name="Normal 105 5 4 2 2 2" xfId="32665" xr:uid="{00000000-0005-0000-0000-000096150000}"/>
    <cellStyle name="Normal 105 5 4 2 3" xfId="24618" xr:uid="{00000000-0005-0000-0000-000097150000}"/>
    <cellStyle name="Normal 105 5 4 3" xfId="12170" xr:uid="{00000000-0005-0000-0000-000098150000}"/>
    <cellStyle name="Normal 105 5 4 3 2" xfId="28694" xr:uid="{00000000-0005-0000-0000-000099150000}"/>
    <cellStyle name="Normal 105 5 4 4" xfId="20651" xr:uid="{00000000-0005-0000-0000-00009A150000}"/>
    <cellStyle name="Normal 105 5 5" xfId="6911" xr:uid="{00000000-0005-0000-0000-00009B150000}"/>
    <cellStyle name="Normal 105 5 5 2" xfId="16092" xr:uid="{00000000-0005-0000-0000-00009C150000}"/>
    <cellStyle name="Normal 105 5 5 2 2" xfId="32666" xr:uid="{00000000-0005-0000-0000-00009D150000}"/>
    <cellStyle name="Normal 105 5 5 3" xfId="24619" xr:uid="{00000000-0005-0000-0000-00009E150000}"/>
    <cellStyle name="Normal 105 5 6" xfId="12163" xr:uid="{00000000-0005-0000-0000-00009F150000}"/>
    <cellStyle name="Normal 105 5 6 2" xfId="28687" xr:uid="{00000000-0005-0000-0000-0000A0150000}"/>
    <cellStyle name="Normal 105 5 7" xfId="20644" xr:uid="{00000000-0005-0000-0000-0000A1150000}"/>
    <cellStyle name="Normal 105 6" xfId="2657" xr:uid="{00000000-0005-0000-0000-0000A2150000}"/>
    <cellStyle name="Normal 105 6 2" xfId="2658" xr:uid="{00000000-0005-0000-0000-0000A3150000}"/>
    <cellStyle name="Normal 105 6 2 2" xfId="2659" xr:uid="{00000000-0005-0000-0000-0000A4150000}"/>
    <cellStyle name="Normal 105 6 2 2 2" xfId="6912" xr:uid="{00000000-0005-0000-0000-0000A5150000}"/>
    <cellStyle name="Normal 105 6 2 2 2 2" xfId="16093" xr:uid="{00000000-0005-0000-0000-0000A6150000}"/>
    <cellStyle name="Normal 105 6 2 2 2 2 2" xfId="32667" xr:uid="{00000000-0005-0000-0000-0000A7150000}"/>
    <cellStyle name="Normal 105 6 2 2 2 3" xfId="24620" xr:uid="{00000000-0005-0000-0000-0000A8150000}"/>
    <cellStyle name="Normal 105 6 2 2 3" xfId="12173" xr:uid="{00000000-0005-0000-0000-0000A9150000}"/>
    <cellStyle name="Normal 105 6 2 2 3 2" xfId="28697" xr:uid="{00000000-0005-0000-0000-0000AA150000}"/>
    <cellStyle name="Normal 105 6 2 2 4" xfId="20654" xr:uid="{00000000-0005-0000-0000-0000AB150000}"/>
    <cellStyle name="Normal 105 6 2 3" xfId="6913" xr:uid="{00000000-0005-0000-0000-0000AC150000}"/>
    <cellStyle name="Normal 105 6 2 3 2" xfId="16094" xr:uid="{00000000-0005-0000-0000-0000AD150000}"/>
    <cellStyle name="Normal 105 6 2 3 2 2" xfId="32668" xr:uid="{00000000-0005-0000-0000-0000AE150000}"/>
    <cellStyle name="Normal 105 6 2 3 3" xfId="24621" xr:uid="{00000000-0005-0000-0000-0000AF150000}"/>
    <cellStyle name="Normal 105 6 2 4" xfId="12172" xr:uid="{00000000-0005-0000-0000-0000B0150000}"/>
    <cellStyle name="Normal 105 6 2 4 2" xfId="28696" xr:uid="{00000000-0005-0000-0000-0000B1150000}"/>
    <cellStyle name="Normal 105 6 2 5" xfId="20653" xr:uid="{00000000-0005-0000-0000-0000B2150000}"/>
    <cellStyle name="Normal 105 6 3" xfId="2660" xr:uid="{00000000-0005-0000-0000-0000B3150000}"/>
    <cellStyle name="Normal 105 6 3 2" xfId="6914" xr:uid="{00000000-0005-0000-0000-0000B4150000}"/>
    <cellStyle name="Normal 105 6 3 2 2" xfId="16095" xr:uid="{00000000-0005-0000-0000-0000B5150000}"/>
    <cellStyle name="Normal 105 6 3 2 2 2" xfId="32669" xr:uid="{00000000-0005-0000-0000-0000B6150000}"/>
    <cellStyle name="Normal 105 6 3 2 3" xfId="24622" xr:uid="{00000000-0005-0000-0000-0000B7150000}"/>
    <cellStyle name="Normal 105 6 3 3" xfId="12174" xr:uid="{00000000-0005-0000-0000-0000B8150000}"/>
    <cellStyle name="Normal 105 6 3 3 2" xfId="28698" xr:uid="{00000000-0005-0000-0000-0000B9150000}"/>
    <cellStyle name="Normal 105 6 3 4" xfId="20655" xr:uid="{00000000-0005-0000-0000-0000BA150000}"/>
    <cellStyle name="Normal 105 6 4" xfId="6915" xr:uid="{00000000-0005-0000-0000-0000BB150000}"/>
    <cellStyle name="Normal 105 6 4 2" xfId="16096" xr:uid="{00000000-0005-0000-0000-0000BC150000}"/>
    <cellStyle name="Normal 105 6 4 2 2" xfId="32670" xr:uid="{00000000-0005-0000-0000-0000BD150000}"/>
    <cellStyle name="Normal 105 6 4 3" xfId="24623" xr:uid="{00000000-0005-0000-0000-0000BE150000}"/>
    <cellStyle name="Normal 105 6 5" xfId="12171" xr:uid="{00000000-0005-0000-0000-0000BF150000}"/>
    <cellStyle name="Normal 105 6 5 2" xfId="28695" xr:uid="{00000000-0005-0000-0000-0000C0150000}"/>
    <cellStyle name="Normal 105 6 6" xfId="20652" xr:uid="{00000000-0005-0000-0000-0000C1150000}"/>
    <cellStyle name="Normal 105 7" xfId="2661" xr:uid="{00000000-0005-0000-0000-0000C2150000}"/>
    <cellStyle name="Normal 105 7 2" xfId="2662" xr:uid="{00000000-0005-0000-0000-0000C3150000}"/>
    <cellStyle name="Normal 105 7 2 2" xfId="6916" xr:uid="{00000000-0005-0000-0000-0000C4150000}"/>
    <cellStyle name="Normal 105 7 2 2 2" xfId="16097" xr:uid="{00000000-0005-0000-0000-0000C5150000}"/>
    <cellStyle name="Normal 105 7 2 2 2 2" xfId="32671" xr:uid="{00000000-0005-0000-0000-0000C6150000}"/>
    <cellStyle name="Normal 105 7 2 2 3" xfId="24624" xr:uid="{00000000-0005-0000-0000-0000C7150000}"/>
    <cellStyle name="Normal 105 7 2 3" xfId="12176" xr:uid="{00000000-0005-0000-0000-0000C8150000}"/>
    <cellStyle name="Normal 105 7 2 3 2" xfId="28700" xr:uid="{00000000-0005-0000-0000-0000C9150000}"/>
    <cellStyle name="Normal 105 7 2 4" xfId="20657" xr:uid="{00000000-0005-0000-0000-0000CA150000}"/>
    <cellStyle name="Normal 105 7 3" xfId="6917" xr:uid="{00000000-0005-0000-0000-0000CB150000}"/>
    <cellStyle name="Normal 105 7 3 2" xfId="16098" xr:uid="{00000000-0005-0000-0000-0000CC150000}"/>
    <cellStyle name="Normal 105 7 3 2 2" xfId="32672" xr:uid="{00000000-0005-0000-0000-0000CD150000}"/>
    <cellStyle name="Normal 105 7 3 3" xfId="24625" xr:uid="{00000000-0005-0000-0000-0000CE150000}"/>
    <cellStyle name="Normal 105 7 4" xfId="12175" xr:uid="{00000000-0005-0000-0000-0000CF150000}"/>
    <cellStyle name="Normal 105 7 4 2" xfId="28699" xr:uid="{00000000-0005-0000-0000-0000D0150000}"/>
    <cellStyle name="Normal 105 7 5" xfId="20656" xr:uid="{00000000-0005-0000-0000-0000D1150000}"/>
    <cellStyle name="Normal 105 8" xfId="2663" xr:uid="{00000000-0005-0000-0000-0000D2150000}"/>
    <cellStyle name="Normal 105 8 2" xfId="6918" xr:uid="{00000000-0005-0000-0000-0000D3150000}"/>
    <cellStyle name="Normal 105 8 2 2" xfId="16099" xr:uid="{00000000-0005-0000-0000-0000D4150000}"/>
    <cellStyle name="Normal 105 8 2 2 2" xfId="32673" xr:uid="{00000000-0005-0000-0000-0000D5150000}"/>
    <cellStyle name="Normal 105 8 2 3" xfId="24626" xr:uid="{00000000-0005-0000-0000-0000D6150000}"/>
    <cellStyle name="Normal 105 8 3" xfId="12177" xr:uid="{00000000-0005-0000-0000-0000D7150000}"/>
    <cellStyle name="Normal 105 8 3 2" xfId="28701" xr:uid="{00000000-0005-0000-0000-0000D8150000}"/>
    <cellStyle name="Normal 105 8 4" xfId="20658" xr:uid="{00000000-0005-0000-0000-0000D9150000}"/>
    <cellStyle name="Normal 105 9" xfId="6919" xr:uid="{00000000-0005-0000-0000-0000DA150000}"/>
    <cellStyle name="Normal 105 9 2" xfId="16100" xr:uid="{00000000-0005-0000-0000-0000DB150000}"/>
    <cellStyle name="Normal 105 9 2 2" xfId="32674" xr:uid="{00000000-0005-0000-0000-0000DC150000}"/>
    <cellStyle name="Normal 105 9 3" xfId="24627" xr:uid="{00000000-0005-0000-0000-0000DD150000}"/>
    <cellStyle name="Normal 106" xfId="2664" xr:uid="{00000000-0005-0000-0000-0000DE150000}"/>
    <cellStyle name="Normal 106 10" xfId="12178" xr:uid="{00000000-0005-0000-0000-0000DF150000}"/>
    <cellStyle name="Normal 106 10 2" xfId="28702" xr:uid="{00000000-0005-0000-0000-0000E0150000}"/>
    <cellStyle name="Normal 106 11" xfId="20659" xr:uid="{00000000-0005-0000-0000-0000E1150000}"/>
    <cellStyle name="Normal 106 2" xfId="2665" xr:uid="{00000000-0005-0000-0000-0000E2150000}"/>
    <cellStyle name="Normal 106 2 2" xfId="2666" xr:uid="{00000000-0005-0000-0000-0000E3150000}"/>
    <cellStyle name="Normal 106 2 3" xfId="12179" xr:uid="{00000000-0005-0000-0000-0000E4150000}"/>
    <cellStyle name="Normal 106 2 3 2" xfId="28703" xr:uid="{00000000-0005-0000-0000-0000E5150000}"/>
    <cellStyle name="Normal 106 2 4" xfId="20660" xr:uid="{00000000-0005-0000-0000-0000E6150000}"/>
    <cellStyle name="Normal 106 3" xfId="2667" xr:uid="{00000000-0005-0000-0000-0000E7150000}"/>
    <cellStyle name="Normal 106 3 2" xfId="2668" xr:uid="{00000000-0005-0000-0000-0000E8150000}"/>
    <cellStyle name="Normal 106 3 2 2" xfId="2669" xr:uid="{00000000-0005-0000-0000-0000E9150000}"/>
    <cellStyle name="Normal 106 3 2 2 2" xfId="2670" xr:uid="{00000000-0005-0000-0000-0000EA150000}"/>
    <cellStyle name="Normal 106 3 2 2 2 2" xfId="6920" xr:uid="{00000000-0005-0000-0000-0000EB150000}"/>
    <cellStyle name="Normal 106 3 2 2 2 2 2" xfId="16101" xr:uid="{00000000-0005-0000-0000-0000EC150000}"/>
    <cellStyle name="Normal 106 3 2 2 2 2 2 2" xfId="32675" xr:uid="{00000000-0005-0000-0000-0000ED150000}"/>
    <cellStyle name="Normal 106 3 2 2 2 2 3" xfId="24628" xr:uid="{00000000-0005-0000-0000-0000EE150000}"/>
    <cellStyle name="Normal 106 3 2 2 2 3" xfId="12182" xr:uid="{00000000-0005-0000-0000-0000EF150000}"/>
    <cellStyle name="Normal 106 3 2 2 2 3 2" xfId="28706" xr:uid="{00000000-0005-0000-0000-0000F0150000}"/>
    <cellStyle name="Normal 106 3 2 2 2 4" xfId="20663" xr:uid="{00000000-0005-0000-0000-0000F1150000}"/>
    <cellStyle name="Normal 106 3 2 2 3" xfId="6921" xr:uid="{00000000-0005-0000-0000-0000F2150000}"/>
    <cellStyle name="Normal 106 3 2 2 3 2" xfId="16102" xr:uid="{00000000-0005-0000-0000-0000F3150000}"/>
    <cellStyle name="Normal 106 3 2 2 3 2 2" xfId="32676" xr:uid="{00000000-0005-0000-0000-0000F4150000}"/>
    <cellStyle name="Normal 106 3 2 2 3 3" xfId="24629" xr:uid="{00000000-0005-0000-0000-0000F5150000}"/>
    <cellStyle name="Normal 106 3 2 2 4" xfId="12181" xr:uid="{00000000-0005-0000-0000-0000F6150000}"/>
    <cellStyle name="Normal 106 3 2 2 4 2" xfId="28705" xr:uid="{00000000-0005-0000-0000-0000F7150000}"/>
    <cellStyle name="Normal 106 3 2 2 5" xfId="20662" xr:uid="{00000000-0005-0000-0000-0000F8150000}"/>
    <cellStyle name="Normal 106 3 2 3" xfId="2671" xr:uid="{00000000-0005-0000-0000-0000F9150000}"/>
    <cellStyle name="Normal 106 3 2 3 2" xfId="6922" xr:uid="{00000000-0005-0000-0000-0000FA150000}"/>
    <cellStyle name="Normal 106 3 2 3 2 2" xfId="16103" xr:uid="{00000000-0005-0000-0000-0000FB150000}"/>
    <cellStyle name="Normal 106 3 2 3 2 2 2" xfId="32677" xr:uid="{00000000-0005-0000-0000-0000FC150000}"/>
    <cellStyle name="Normal 106 3 2 3 2 3" xfId="24630" xr:uid="{00000000-0005-0000-0000-0000FD150000}"/>
    <cellStyle name="Normal 106 3 2 3 3" xfId="12183" xr:uid="{00000000-0005-0000-0000-0000FE150000}"/>
    <cellStyle name="Normal 106 3 2 3 3 2" xfId="28707" xr:uid="{00000000-0005-0000-0000-0000FF150000}"/>
    <cellStyle name="Normal 106 3 2 3 4" xfId="20664" xr:uid="{00000000-0005-0000-0000-000000160000}"/>
    <cellStyle name="Normal 106 3 2 4" xfId="6923" xr:uid="{00000000-0005-0000-0000-000001160000}"/>
    <cellStyle name="Normal 106 3 2 4 2" xfId="16104" xr:uid="{00000000-0005-0000-0000-000002160000}"/>
    <cellStyle name="Normal 106 3 2 4 2 2" xfId="32678" xr:uid="{00000000-0005-0000-0000-000003160000}"/>
    <cellStyle name="Normal 106 3 2 4 3" xfId="24631" xr:uid="{00000000-0005-0000-0000-000004160000}"/>
    <cellStyle name="Normal 106 3 2 5" xfId="12180" xr:uid="{00000000-0005-0000-0000-000005160000}"/>
    <cellStyle name="Normal 106 3 2 5 2" xfId="28704" xr:uid="{00000000-0005-0000-0000-000006160000}"/>
    <cellStyle name="Normal 106 3 2 6" xfId="20661" xr:uid="{00000000-0005-0000-0000-000007160000}"/>
    <cellStyle name="Normal 106 3 3" xfId="2672" xr:uid="{00000000-0005-0000-0000-000008160000}"/>
    <cellStyle name="Normal 106 3 3 2" xfId="2673" xr:uid="{00000000-0005-0000-0000-000009160000}"/>
    <cellStyle name="Normal 106 3 3 2 2" xfId="6924" xr:uid="{00000000-0005-0000-0000-00000A160000}"/>
    <cellStyle name="Normal 106 3 3 2 2 2" xfId="16105" xr:uid="{00000000-0005-0000-0000-00000B160000}"/>
    <cellStyle name="Normal 106 3 3 2 2 2 2" xfId="32679" xr:uid="{00000000-0005-0000-0000-00000C160000}"/>
    <cellStyle name="Normal 106 3 3 2 2 3" xfId="24632" xr:uid="{00000000-0005-0000-0000-00000D160000}"/>
    <cellStyle name="Normal 106 3 3 2 3" xfId="12185" xr:uid="{00000000-0005-0000-0000-00000E160000}"/>
    <cellStyle name="Normal 106 3 3 2 3 2" xfId="28709" xr:uid="{00000000-0005-0000-0000-00000F160000}"/>
    <cellStyle name="Normal 106 3 3 2 4" xfId="20666" xr:uid="{00000000-0005-0000-0000-000010160000}"/>
    <cellStyle name="Normal 106 3 3 3" xfId="6925" xr:uid="{00000000-0005-0000-0000-000011160000}"/>
    <cellStyle name="Normal 106 3 3 3 2" xfId="16106" xr:uid="{00000000-0005-0000-0000-000012160000}"/>
    <cellStyle name="Normal 106 3 3 3 2 2" xfId="32680" xr:uid="{00000000-0005-0000-0000-000013160000}"/>
    <cellStyle name="Normal 106 3 3 3 3" xfId="24633" xr:uid="{00000000-0005-0000-0000-000014160000}"/>
    <cellStyle name="Normal 106 3 3 4" xfId="12184" xr:uid="{00000000-0005-0000-0000-000015160000}"/>
    <cellStyle name="Normal 106 3 3 4 2" xfId="28708" xr:uid="{00000000-0005-0000-0000-000016160000}"/>
    <cellStyle name="Normal 106 3 3 5" xfId="20665" xr:uid="{00000000-0005-0000-0000-000017160000}"/>
    <cellStyle name="Normal 106 3 4" xfId="2674" xr:uid="{00000000-0005-0000-0000-000018160000}"/>
    <cellStyle name="Normal 106 3 4 2" xfId="6926" xr:uid="{00000000-0005-0000-0000-000019160000}"/>
    <cellStyle name="Normal 106 3 4 2 2" xfId="16107" xr:uid="{00000000-0005-0000-0000-00001A160000}"/>
    <cellStyle name="Normal 106 3 4 2 2 2" xfId="32681" xr:uid="{00000000-0005-0000-0000-00001B160000}"/>
    <cellStyle name="Normal 106 3 4 2 3" xfId="24634" xr:uid="{00000000-0005-0000-0000-00001C160000}"/>
    <cellStyle name="Normal 106 3 4 3" xfId="12186" xr:uid="{00000000-0005-0000-0000-00001D160000}"/>
    <cellStyle name="Normal 106 3 4 3 2" xfId="28710" xr:uid="{00000000-0005-0000-0000-00001E160000}"/>
    <cellStyle name="Normal 106 3 4 4" xfId="20667" xr:uid="{00000000-0005-0000-0000-00001F160000}"/>
    <cellStyle name="Normal 106 3 5" xfId="2675" xr:uid="{00000000-0005-0000-0000-000020160000}"/>
    <cellStyle name="Normal 106 3 5 2" xfId="12187" xr:uid="{00000000-0005-0000-0000-000021160000}"/>
    <cellStyle name="Normal 106 3 5 2 2" xfId="28711" xr:uid="{00000000-0005-0000-0000-000022160000}"/>
    <cellStyle name="Normal 106 3 5 3" xfId="20668" xr:uid="{00000000-0005-0000-0000-000023160000}"/>
    <cellStyle name="Normal 106 4" xfId="2676" xr:uid="{00000000-0005-0000-0000-000024160000}"/>
    <cellStyle name="Normal 106 4 2" xfId="2677" xr:uid="{00000000-0005-0000-0000-000025160000}"/>
    <cellStyle name="Normal 106 4 2 2" xfId="2678" xr:uid="{00000000-0005-0000-0000-000026160000}"/>
    <cellStyle name="Normal 106 4 2 2 2" xfId="2679" xr:uid="{00000000-0005-0000-0000-000027160000}"/>
    <cellStyle name="Normal 106 4 2 2 2 2" xfId="6927" xr:uid="{00000000-0005-0000-0000-000028160000}"/>
    <cellStyle name="Normal 106 4 2 2 2 2 2" xfId="16108" xr:uid="{00000000-0005-0000-0000-000029160000}"/>
    <cellStyle name="Normal 106 4 2 2 2 2 2 2" xfId="32682" xr:uid="{00000000-0005-0000-0000-00002A160000}"/>
    <cellStyle name="Normal 106 4 2 2 2 2 3" xfId="24635" xr:uid="{00000000-0005-0000-0000-00002B160000}"/>
    <cellStyle name="Normal 106 4 2 2 2 3" xfId="12191" xr:uid="{00000000-0005-0000-0000-00002C160000}"/>
    <cellStyle name="Normal 106 4 2 2 2 3 2" xfId="28715" xr:uid="{00000000-0005-0000-0000-00002D160000}"/>
    <cellStyle name="Normal 106 4 2 2 2 4" xfId="20672" xr:uid="{00000000-0005-0000-0000-00002E160000}"/>
    <cellStyle name="Normal 106 4 2 2 3" xfId="6928" xr:uid="{00000000-0005-0000-0000-00002F160000}"/>
    <cellStyle name="Normal 106 4 2 2 3 2" xfId="16109" xr:uid="{00000000-0005-0000-0000-000030160000}"/>
    <cellStyle name="Normal 106 4 2 2 3 2 2" xfId="32683" xr:uid="{00000000-0005-0000-0000-000031160000}"/>
    <cellStyle name="Normal 106 4 2 2 3 3" xfId="24636" xr:uid="{00000000-0005-0000-0000-000032160000}"/>
    <cellStyle name="Normal 106 4 2 2 4" xfId="12190" xr:uid="{00000000-0005-0000-0000-000033160000}"/>
    <cellStyle name="Normal 106 4 2 2 4 2" xfId="28714" xr:uid="{00000000-0005-0000-0000-000034160000}"/>
    <cellStyle name="Normal 106 4 2 2 5" xfId="20671" xr:uid="{00000000-0005-0000-0000-000035160000}"/>
    <cellStyle name="Normal 106 4 2 3" xfId="2680" xr:uid="{00000000-0005-0000-0000-000036160000}"/>
    <cellStyle name="Normal 106 4 2 3 2" xfId="6929" xr:uid="{00000000-0005-0000-0000-000037160000}"/>
    <cellStyle name="Normal 106 4 2 3 2 2" xfId="16110" xr:uid="{00000000-0005-0000-0000-000038160000}"/>
    <cellStyle name="Normal 106 4 2 3 2 2 2" xfId="32684" xr:uid="{00000000-0005-0000-0000-000039160000}"/>
    <cellStyle name="Normal 106 4 2 3 2 3" xfId="24637" xr:uid="{00000000-0005-0000-0000-00003A160000}"/>
    <cellStyle name="Normal 106 4 2 3 3" xfId="12192" xr:uid="{00000000-0005-0000-0000-00003B160000}"/>
    <cellStyle name="Normal 106 4 2 3 3 2" xfId="28716" xr:uid="{00000000-0005-0000-0000-00003C160000}"/>
    <cellStyle name="Normal 106 4 2 3 4" xfId="20673" xr:uid="{00000000-0005-0000-0000-00003D160000}"/>
    <cellStyle name="Normal 106 4 2 4" xfId="6930" xr:uid="{00000000-0005-0000-0000-00003E160000}"/>
    <cellStyle name="Normal 106 4 2 4 2" xfId="16111" xr:uid="{00000000-0005-0000-0000-00003F160000}"/>
    <cellStyle name="Normal 106 4 2 4 2 2" xfId="32685" xr:uid="{00000000-0005-0000-0000-000040160000}"/>
    <cellStyle name="Normal 106 4 2 4 3" xfId="24638" xr:uid="{00000000-0005-0000-0000-000041160000}"/>
    <cellStyle name="Normal 106 4 2 5" xfId="12189" xr:uid="{00000000-0005-0000-0000-000042160000}"/>
    <cellStyle name="Normal 106 4 2 5 2" xfId="28713" xr:uid="{00000000-0005-0000-0000-000043160000}"/>
    <cellStyle name="Normal 106 4 2 6" xfId="20670" xr:uid="{00000000-0005-0000-0000-000044160000}"/>
    <cellStyle name="Normal 106 4 3" xfId="2681" xr:uid="{00000000-0005-0000-0000-000045160000}"/>
    <cellStyle name="Normal 106 4 3 2" xfId="2682" xr:uid="{00000000-0005-0000-0000-000046160000}"/>
    <cellStyle name="Normal 106 4 3 2 2" xfId="6931" xr:uid="{00000000-0005-0000-0000-000047160000}"/>
    <cellStyle name="Normal 106 4 3 2 2 2" xfId="16112" xr:uid="{00000000-0005-0000-0000-000048160000}"/>
    <cellStyle name="Normal 106 4 3 2 2 2 2" xfId="32686" xr:uid="{00000000-0005-0000-0000-000049160000}"/>
    <cellStyle name="Normal 106 4 3 2 2 3" xfId="24639" xr:uid="{00000000-0005-0000-0000-00004A160000}"/>
    <cellStyle name="Normal 106 4 3 2 3" xfId="12194" xr:uid="{00000000-0005-0000-0000-00004B160000}"/>
    <cellStyle name="Normal 106 4 3 2 3 2" xfId="28718" xr:uid="{00000000-0005-0000-0000-00004C160000}"/>
    <cellStyle name="Normal 106 4 3 2 4" xfId="20675" xr:uid="{00000000-0005-0000-0000-00004D160000}"/>
    <cellStyle name="Normal 106 4 3 3" xfId="6932" xr:uid="{00000000-0005-0000-0000-00004E160000}"/>
    <cellStyle name="Normal 106 4 3 3 2" xfId="16113" xr:uid="{00000000-0005-0000-0000-00004F160000}"/>
    <cellStyle name="Normal 106 4 3 3 2 2" xfId="32687" xr:uid="{00000000-0005-0000-0000-000050160000}"/>
    <cellStyle name="Normal 106 4 3 3 3" xfId="24640" xr:uid="{00000000-0005-0000-0000-000051160000}"/>
    <cellStyle name="Normal 106 4 3 4" xfId="12193" xr:uid="{00000000-0005-0000-0000-000052160000}"/>
    <cellStyle name="Normal 106 4 3 4 2" xfId="28717" xr:uid="{00000000-0005-0000-0000-000053160000}"/>
    <cellStyle name="Normal 106 4 3 5" xfId="20674" xr:uid="{00000000-0005-0000-0000-000054160000}"/>
    <cellStyle name="Normal 106 4 4" xfId="2683" xr:uid="{00000000-0005-0000-0000-000055160000}"/>
    <cellStyle name="Normal 106 4 4 2" xfId="6933" xr:uid="{00000000-0005-0000-0000-000056160000}"/>
    <cellStyle name="Normal 106 4 4 2 2" xfId="16114" xr:uid="{00000000-0005-0000-0000-000057160000}"/>
    <cellStyle name="Normal 106 4 4 2 2 2" xfId="32688" xr:uid="{00000000-0005-0000-0000-000058160000}"/>
    <cellStyle name="Normal 106 4 4 2 3" xfId="24641" xr:uid="{00000000-0005-0000-0000-000059160000}"/>
    <cellStyle name="Normal 106 4 4 3" xfId="12195" xr:uid="{00000000-0005-0000-0000-00005A160000}"/>
    <cellStyle name="Normal 106 4 4 3 2" xfId="28719" xr:uid="{00000000-0005-0000-0000-00005B160000}"/>
    <cellStyle name="Normal 106 4 4 4" xfId="20676" xr:uid="{00000000-0005-0000-0000-00005C160000}"/>
    <cellStyle name="Normal 106 4 5" xfId="6934" xr:uid="{00000000-0005-0000-0000-00005D160000}"/>
    <cellStyle name="Normal 106 4 5 2" xfId="16115" xr:uid="{00000000-0005-0000-0000-00005E160000}"/>
    <cellStyle name="Normal 106 4 5 2 2" xfId="32689" xr:uid="{00000000-0005-0000-0000-00005F160000}"/>
    <cellStyle name="Normal 106 4 5 3" xfId="24642" xr:uid="{00000000-0005-0000-0000-000060160000}"/>
    <cellStyle name="Normal 106 4 6" xfId="12188" xr:uid="{00000000-0005-0000-0000-000061160000}"/>
    <cellStyle name="Normal 106 4 6 2" xfId="28712" xr:uid="{00000000-0005-0000-0000-000062160000}"/>
    <cellStyle name="Normal 106 4 7" xfId="20669" xr:uid="{00000000-0005-0000-0000-000063160000}"/>
    <cellStyle name="Normal 106 5" xfId="2684" xr:uid="{00000000-0005-0000-0000-000064160000}"/>
    <cellStyle name="Normal 106 5 2" xfId="2685" xr:uid="{00000000-0005-0000-0000-000065160000}"/>
    <cellStyle name="Normal 106 5 2 2" xfId="2686" xr:uid="{00000000-0005-0000-0000-000066160000}"/>
    <cellStyle name="Normal 106 5 2 2 2" xfId="2687" xr:uid="{00000000-0005-0000-0000-000067160000}"/>
    <cellStyle name="Normal 106 5 2 2 2 2" xfId="6935" xr:uid="{00000000-0005-0000-0000-000068160000}"/>
    <cellStyle name="Normal 106 5 2 2 2 2 2" xfId="16116" xr:uid="{00000000-0005-0000-0000-000069160000}"/>
    <cellStyle name="Normal 106 5 2 2 2 2 2 2" xfId="32690" xr:uid="{00000000-0005-0000-0000-00006A160000}"/>
    <cellStyle name="Normal 106 5 2 2 2 2 3" xfId="24643" xr:uid="{00000000-0005-0000-0000-00006B160000}"/>
    <cellStyle name="Normal 106 5 2 2 2 3" xfId="12199" xr:uid="{00000000-0005-0000-0000-00006C160000}"/>
    <cellStyle name="Normal 106 5 2 2 2 3 2" xfId="28723" xr:uid="{00000000-0005-0000-0000-00006D160000}"/>
    <cellStyle name="Normal 106 5 2 2 2 4" xfId="20680" xr:uid="{00000000-0005-0000-0000-00006E160000}"/>
    <cellStyle name="Normal 106 5 2 2 3" xfId="6936" xr:uid="{00000000-0005-0000-0000-00006F160000}"/>
    <cellStyle name="Normal 106 5 2 2 3 2" xfId="16117" xr:uid="{00000000-0005-0000-0000-000070160000}"/>
    <cellStyle name="Normal 106 5 2 2 3 2 2" xfId="32691" xr:uid="{00000000-0005-0000-0000-000071160000}"/>
    <cellStyle name="Normal 106 5 2 2 3 3" xfId="24644" xr:uid="{00000000-0005-0000-0000-000072160000}"/>
    <cellStyle name="Normal 106 5 2 2 4" xfId="12198" xr:uid="{00000000-0005-0000-0000-000073160000}"/>
    <cellStyle name="Normal 106 5 2 2 4 2" xfId="28722" xr:uid="{00000000-0005-0000-0000-000074160000}"/>
    <cellStyle name="Normal 106 5 2 2 5" xfId="20679" xr:uid="{00000000-0005-0000-0000-000075160000}"/>
    <cellStyle name="Normal 106 5 2 3" xfId="2688" xr:uid="{00000000-0005-0000-0000-000076160000}"/>
    <cellStyle name="Normal 106 5 2 3 2" xfId="6937" xr:uid="{00000000-0005-0000-0000-000077160000}"/>
    <cellStyle name="Normal 106 5 2 3 2 2" xfId="16118" xr:uid="{00000000-0005-0000-0000-000078160000}"/>
    <cellStyle name="Normal 106 5 2 3 2 2 2" xfId="32692" xr:uid="{00000000-0005-0000-0000-000079160000}"/>
    <cellStyle name="Normal 106 5 2 3 2 3" xfId="24645" xr:uid="{00000000-0005-0000-0000-00007A160000}"/>
    <cellStyle name="Normal 106 5 2 3 3" xfId="12200" xr:uid="{00000000-0005-0000-0000-00007B160000}"/>
    <cellStyle name="Normal 106 5 2 3 3 2" xfId="28724" xr:uid="{00000000-0005-0000-0000-00007C160000}"/>
    <cellStyle name="Normal 106 5 2 3 4" xfId="20681" xr:uid="{00000000-0005-0000-0000-00007D160000}"/>
    <cellStyle name="Normal 106 5 2 4" xfId="6938" xr:uid="{00000000-0005-0000-0000-00007E160000}"/>
    <cellStyle name="Normal 106 5 2 4 2" xfId="16119" xr:uid="{00000000-0005-0000-0000-00007F160000}"/>
    <cellStyle name="Normal 106 5 2 4 2 2" xfId="32693" xr:uid="{00000000-0005-0000-0000-000080160000}"/>
    <cellStyle name="Normal 106 5 2 4 3" xfId="24646" xr:uid="{00000000-0005-0000-0000-000081160000}"/>
    <cellStyle name="Normal 106 5 2 5" xfId="12197" xr:uid="{00000000-0005-0000-0000-000082160000}"/>
    <cellStyle name="Normal 106 5 2 5 2" xfId="28721" xr:uid="{00000000-0005-0000-0000-000083160000}"/>
    <cellStyle name="Normal 106 5 2 6" xfId="20678" xr:uid="{00000000-0005-0000-0000-000084160000}"/>
    <cellStyle name="Normal 106 5 3" xfId="2689" xr:uid="{00000000-0005-0000-0000-000085160000}"/>
    <cellStyle name="Normal 106 5 3 2" xfId="2690" xr:uid="{00000000-0005-0000-0000-000086160000}"/>
    <cellStyle name="Normal 106 5 3 2 2" xfId="6939" xr:uid="{00000000-0005-0000-0000-000087160000}"/>
    <cellStyle name="Normal 106 5 3 2 2 2" xfId="16120" xr:uid="{00000000-0005-0000-0000-000088160000}"/>
    <cellStyle name="Normal 106 5 3 2 2 2 2" xfId="32694" xr:uid="{00000000-0005-0000-0000-000089160000}"/>
    <cellStyle name="Normal 106 5 3 2 2 3" xfId="24647" xr:uid="{00000000-0005-0000-0000-00008A160000}"/>
    <cellStyle name="Normal 106 5 3 2 3" xfId="12202" xr:uid="{00000000-0005-0000-0000-00008B160000}"/>
    <cellStyle name="Normal 106 5 3 2 3 2" xfId="28726" xr:uid="{00000000-0005-0000-0000-00008C160000}"/>
    <cellStyle name="Normal 106 5 3 2 4" xfId="20683" xr:uid="{00000000-0005-0000-0000-00008D160000}"/>
    <cellStyle name="Normal 106 5 3 3" xfId="6940" xr:uid="{00000000-0005-0000-0000-00008E160000}"/>
    <cellStyle name="Normal 106 5 3 3 2" xfId="16121" xr:uid="{00000000-0005-0000-0000-00008F160000}"/>
    <cellStyle name="Normal 106 5 3 3 2 2" xfId="32695" xr:uid="{00000000-0005-0000-0000-000090160000}"/>
    <cellStyle name="Normal 106 5 3 3 3" xfId="24648" xr:uid="{00000000-0005-0000-0000-000091160000}"/>
    <cellStyle name="Normal 106 5 3 4" xfId="12201" xr:uid="{00000000-0005-0000-0000-000092160000}"/>
    <cellStyle name="Normal 106 5 3 4 2" xfId="28725" xr:uid="{00000000-0005-0000-0000-000093160000}"/>
    <cellStyle name="Normal 106 5 3 5" xfId="20682" xr:uid="{00000000-0005-0000-0000-000094160000}"/>
    <cellStyle name="Normal 106 5 4" xfId="2691" xr:uid="{00000000-0005-0000-0000-000095160000}"/>
    <cellStyle name="Normal 106 5 4 2" xfId="6941" xr:uid="{00000000-0005-0000-0000-000096160000}"/>
    <cellStyle name="Normal 106 5 4 2 2" xfId="16122" xr:uid="{00000000-0005-0000-0000-000097160000}"/>
    <cellStyle name="Normal 106 5 4 2 2 2" xfId="32696" xr:uid="{00000000-0005-0000-0000-000098160000}"/>
    <cellStyle name="Normal 106 5 4 2 3" xfId="24649" xr:uid="{00000000-0005-0000-0000-000099160000}"/>
    <cellStyle name="Normal 106 5 4 3" xfId="12203" xr:uid="{00000000-0005-0000-0000-00009A160000}"/>
    <cellStyle name="Normal 106 5 4 3 2" xfId="28727" xr:uid="{00000000-0005-0000-0000-00009B160000}"/>
    <cellStyle name="Normal 106 5 4 4" xfId="20684" xr:uid="{00000000-0005-0000-0000-00009C160000}"/>
    <cellStyle name="Normal 106 5 5" xfId="6942" xr:uid="{00000000-0005-0000-0000-00009D160000}"/>
    <cellStyle name="Normal 106 5 5 2" xfId="16123" xr:uid="{00000000-0005-0000-0000-00009E160000}"/>
    <cellStyle name="Normal 106 5 5 2 2" xfId="32697" xr:uid="{00000000-0005-0000-0000-00009F160000}"/>
    <cellStyle name="Normal 106 5 5 3" xfId="24650" xr:uid="{00000000-0005-0000-0000-0000A0160000}"/>
    <cellStyle name="Normal 106 5 6" xfId="12196" xr:uid="{00000000-0005-0000-0000-0000A1160000}"/>
    <cellStyle name="Normal 106 5 6 2" xfId="28720" xr:uid="{00000000-0005-0000-0000-0000A2160000}"/>
    <cellStyle name="Normal 106 5 7" xfId="20677" xr:uid="{00000000-0005-0000-0000-0000A3160000}"/>
    <cellStyle name="Normal 106 6" xfId="2692" xr:uid="{00000000-0005-0000-0000-0000A4160000}"/>
    <cellStyle name="Normal 106 6 2" xfId="2693" xr:uid="{00000000-0005-0000-0000-0000A5160000}"/>
    <cellStyle name="Normal 106 6 2 2" xfId="2694" xr:uid="{00000000-0005-0000-0000-0000A6160000}"/>
    <cellStyle name="Normal 106 6 2 2 2" xfId="6943" xr:uid="{00000000-0005-0000-0000-0000A7160000}"/>
    <cellStyle name="Normal 106 6 2 2 2 2" xfId="16124" xr:uid="{00000000-0005-0000-0000-0000A8160000}"/>
    <cellStyle name="Normal 106 6 2 2 2 2 2" xfId="32698" xr:uid="{00000000-0005-0000-0000-0000A9160000}"/>
    <cellStyle name="Normal 106 6 2 2 2 3" xfId="24651" xr:uid="{00000000-0005-0000-0000-0000AA160000}"/>
    <cellStyle name="Normal 106 6 2 2 3" xfId="12206" xr:uid="{00000000-0005-0000-0000-0000AB160000}"/>
    <cellStyle name="Normal 106 6 2 2 3 2" xfId="28730" xr:uid="{00000000-0005-0000-0000-0000AC160000}"/>
    <cellStyle name="Normal 106 6 2 2 4" xfId="20687" xr:uid="{00000000-0005-0000-0000-0000AD160000}"/>
    <cellStyle name="Normal 106 6 2 3" xfId="6944" xr:uid="{00000000-0005-0000-0000-0000AE160000}"/>
    <cellStyle name="Normal 106 6 2 3 2" xfId="16125" xr:uid="{00000000-0005-0000-0000-0000AF160000}"/>
    <cellStyle name="Normal 106 6 2 3 2 2" xfId="32699" xr:uid="{00000000-0005-0000-0000-0000B0160000}"/>
    <cellStyle name="Normal 106 6 2 3 3" xfId="24652" xr:uid="{00000000-0005-0000-0000-0000B1160000}"/>
    <cellStyle name="Normal 106 6 2 4" xfId="12205" xr:uid="{00000000-0005-0000-0000-0000B2160000}"/>
    <cellStyle name="Normal 106 6 2 4 2" xfId="28729" xr:uid="{00000000-0005-0000-0000-0000B3160000}"/>
    <cellStyle name="Normal 106 6 2 5" xfId="20686" xr:uid="{00000000-0005-0000-0000-0000B4160000}"/>
    <cellStyle name="Normal 106 6 3" xfId="2695" xr:uid="{00000000-0005-0000-0000-0000B5160000}"/>
    <cellStyle name="Normal 106 6 3 2" xfId="6945" xr:uid="{00000000-0005-0000-0000-0000B6160000}"/>
    <cellStyle name="Normal 106 6 3 2 2" xfId="16126" xr:uid="{00000000-0005-0000-0000-0000B7160000}"/>
    <cellStyle name="Normal 106 6 3 2 2 2" xfId="32700" xr:uid="{00000000-0005-0000-0000-0000B8160000}"/>
    <cellStyle name="Normal 106 6 3 2 3" xfId="24653" xr:uid="{00000000-0005-0000-0000-0000B9160000}"/>
    <cellStyle name="Normal 106 6 3 3" xfId="12207" xr:uid="{00000000-0005-0000-0000-0000BA160000}"/>
    <cellStyle name="Normal 106 6 3 3 2" xfId="28731" xr:uid="{00000000-0005-0000-0000-0000BB160000}"/>
    <cellStyle name="Normal 106 6 3 4" xfId="20688" xr:uid="{00000000-0005-0000-0000-0000BC160000}"/>
    <cellStyle name="Normal 106 6 4" xfId="6946" xr:uid="{00000000-0005-0000-0000-0000BD160000}"/>
    <cellStyle name="Normal 106 6 4 2" xfId="16127" xr:uid="{00000000-0005-0000-0000-0000BE160000}"/>
    <cellStyle name="Normal 106 6 4 2 2" xfId="32701" xr:uid="{00000000-0005-0000-0000-0000BF160000}"/>
    <cellStyle name="Normal 106 6 4 3" xfId="24654" xr:uid="{00000000-0005-0000-0000-0000C0160000}"/>
    <cellStyle name="Normal 106 6 5" xfId="12204" xr:uid="{00000000-0005-0000-0000-0000C1160000}"/>
    <cellStyle name="Normal 106 6 5 2" xfId="28728" xr:uid="{00000000-0005-0000-0000-0000C2160000}"/>
    <cellStyle name="Normal 106 6 6" xfId="20685" xr:uid="{00000000-0005-0000-0000-0000C3160000}"/>
    <cellStyle name="Normal 106 7" xfId="2696" xr:uid="{00000000-0005-0000-0000-0000C4160000}"/>
    <cellStyle name="Normal 106 7 2" xfId="2697" xr:uid="{00000000-0005-0000-0000-0000C5160000}"/>
    <cellStyle name="Normal 106 7 2 2" xfId="6947" xr:uid="{00000000-0005-0000-0000-0000C6160000}"/>
    <cellStyle name="Normal 106 7 2 2 2" xfId="16128" xr:uid="{00000000-0005-0000-0000-0000C7160000}"/>
    <cellStyle name="Normal 106 7 2 2 2 2" xfId="32702" xr:uid="{00000000-0005-0000-0000-0000C8160000}"/>
    <cellStyle name="Normal 106 7 2 2 3" xfId="24655" xr:uid="{00000000-0005-0000-0000-0000C9160000}"/>
    <cellStyle name="Normal 106 7 2 3" xfId="12209" xr:uid="{00000000-0005-0000-0000-0000CA160000}"/>
    <cellStyle name="Normal 106 7 2 3 2" xfId="28733" xr:uid="{00000000-0005-0000-0000-0000CB160000}"/>
    <cellStyle name="Normal 106 7 2 4" xfId="20690" xr:uid="{00000000-0005-0000-0000-0000CC160000}"/>
    <cellStyle name="Normal 106 7 3" xfId="6948" xr:uid="{00000000-0005-0000-0000-0000CD160000}"/>
    <cellStyle name="Normal 106 7 3 2" xfId="16129" xr:uid="{00000000-0005-0000-0000-0000CE160000}"/>
    <cellStyle name="Normal 106 7 3 2 2" xfId="32703" xr:uid="{00000000-0005-0000-0000-0000CF160000}"/>
    <cellStyle name="Normal 106 7 3 3" xfId="24656" xr:uid="{00000000-0005-0000-0000-0000D0160000}"/>
    <cellStyle name="Normal 106 7 4" xfId="12208" xr:uid="{00000000-0005-0000-0000-0000D1160000}"/>
    <cellStyle name="Normal 106 7 4 2" xfId="28732" xr:uid="{00000000-0005-0000-0000-0000D2160000}"/>
    <cellStyle name="Normal 106 7 5" xfId="20689" xr:uid="{00000000-0005-0000-0000-0000D3160000}"/>
    <cellStyle name="Normal 106 8" xfId="2698" xr:uid="{00000000-0005-0000-0000-0000D4160000}"/>
    <cellStyle name="Normal 106 8 2" xfId="6949" xr:uid="{00000000-0005-0000-0000-0000D5160000}"/>
    <cellStyle name="Normal 106 8 2 2" xfId="16130" xr:uid="{00000000-0005-0000-0000-0000D6160000}"/>
    <cellStyle name="Normal 106 8 2 2 2" xfId="32704" xr:uid="{00000000-0005-0000-0000-0000D7160000}"/>
    <cellStyle name="Normal 106 8 2 3" xfId="24657" xr:uid="{00000000-0005-0000-0000-0000D8160000}"/>
    <cellStyle name="Normal 106 8 3" xfId="12210" xr:uid="{00000000-0005-0000-0000-0000D9160000}"/>
    <cellStyle name="Normal 106 8 3 2" xfId="28734" xr:uid="{00000000-0005-0000-0000-0000DA160000}"/>
    <cellStyle name="Normal 106 8 4" xfId="20691" xr:uid="{00000000-0005-0000-0000-0000DB160000}"/>
    <cellStyle name="Normal 106 9" xfId="6950" xr:uid="{00000000-0005-0000-0000-0000DC160000}"/>
    <cellStyle name="Normal 106 9 2" xfId="16131" xr:uid="{00000000-0005-0000-0000-0000DD160000}"/>
    <cellStyle name="Normal 106 9 2 2" xfId="32705" xr:uid="{00000000-0005-0000-0000-0000DE160000}"/>
    <cellStyle name="Normal 106 9 3" xfId="24658" xr:uid="{00000000-0005-0000-0000-0000DF160000}"/>
    <cellStyle name="Normal 107" xfId="2699" xr:uid="{00000000-0005-0000-0000-0000E0160000}"/>
    <cellStyle name="Normal 107 10" xfId="12211" xr:uid="{00000000-0005-0000-0000-0000E1160000}"/>
    <cellStyle name="Normal 107 10 2" xfId="28735" xr:uid="{00000000-0005-0000-0000-0000E2160000}"/>
    <cellStyle name="Normal 107 11" xfId="20692" xr:uid="{00000000-0005-0000-0000-0000E3160000}"/>
    <cellStyle name="Normal 107 2" xfId="2700" xr:uid="{00000000-0005-0000-0000-0000E4160000}"/>
    <cellStyle name="Normal 107 2 2" xfId="2701" xr:uid="{00000000-0005-0000-0000-0000E5160000}"/>
    <cellStyle name="Normal 107 2 3" xfId="12212" xr:uid="{00000000-0005-0000-0000-0000E6160000}"/>
    <cellStyle name="Normal 107 2 3 2" xfId="28736" xr:uid="{00000000-0005-0000-0000-0000E7160000}"/>
    <cellStyle name="Normal 107 2 4" xfId="20693" xr:uid="{00000000-0005-0000-0000-0000E8160000}"/>
    <cellStyle name="Normal 107 3" xfId="2702" xr:uid="{00000000-0005-0000-0000-0000E9160000}"/>
    <cellStyle name="Normal 107 3 2" xfId="2703" xr:uid="{00000000-0005-0000-0000-0000EA160000}"/>
    <cellStyle name="Normal 107 3 2 2" xfId="2704" xr:uid="{00000000-0005-0000-0000-0000EB160000}"/>
    <cellStyle name="Normal 107 3 2 2 2" xfId="2705" xr:uid="{00000000-0005-0000-0000-0000EC160000}"/>
    <cellStyle name="Normal 107 3 2 2 2 2" xfId="6951" xr:uid="{00000000-0005-0000-0000-0000ED160000}"/>
    <cellStyle name="Normal 107 3 2 2 2 2 2" xfId="16132" xr:uid="{00000000-0005-0000-0000-0000EE160000}"/>
    <cellStyle name="Normal 107 3 2 2 2 2 2 2" xfId="32706" xr:uid="{00000000-0005-0000-0000-0000EF160000}"/>
    <cellStyle name="Normal 107 3 2 2 2 2 3" xfId="24659" xr:uid="{00000000-0005-0000-0000-0000F0160000}"/>
    <cellStyle name="Normal 107 3 2 2 2 3" xfId="12215" xr:uid="{00000000-0005-0000-0000-0000F1160000}"/>
    <cellStyle name="Normal 107 3 2 2 2 3 2" xfId="28739" xr:uid="{00000000-0005-0000-0000-0000F2160000}"/>
    <cellStyle name="Normal 107 3 2 2 2 4" xfId="20696" xr:uid="{00000000-0005-0000-0000-0000F3160000}"/>
    <cellStyle name="Normal 107 3 2 2 3" xfId="6952" xr:uid="{00000000-0005-0000-0000-0000F4160000}"/>
    <cellStyle name="Normal 107 3 2 2 3 2" xfId="16133" xr:uid="{00000000-0005-0000-0000-0000F5160000}"/>
    <cellStyle name="Normal 107 3 2 2 3 2 2" xfId="32707" xr:uid="{00000000-0005-0000-0000-0000F6160000}"/>
    <cellStyle name="Normal 107 3 2 2 3 3" xfId="24660" xr:uid="{00000000-0005-0000-0000-0000F7160000}"/>
    <cellStyle name="Normal 107 3 2 2 4" xfId="12214" xr:uid="{00000000-0005-0000-0000-0000F8160000}"/>
    <cellStyle name="Normal 107 3 2 2 4 2" xfId="28738" xr:uid="{00000000-0005-0000-0000-0000F9160000}"/>
    <cellStyle name="Normal 107 3 2 2 5" xfId="20695" xr:uid="{00000000-0005-0000-0000-0000FA160000}"/>
    <cellStyle name="Normal 107 3 2 3" xfId="2706" xr:uid="{00000000-0005-0000-0000-0000FB160000}"/>
    <cellStyle name="Normal 107 3 2 3 2" xfId="6953" xr:uid="{00000000-0005-0000-0000-0000FC160000}"/>
    <cellStyle name="Normal 107 3 2 3 2 2" xfId="16134" xr:uid="{00000000-0005-0000-0000-0000FD160000}"/>
    <cellStyle name="Normal 107 3 2 3 2 2 2" xfId="32708" xr:uid="{00000000-0005-0000-0000-0000FE160000}"/>
    <cellStyle name="Normal 107 3 2 3 2 3" xfId="24661" xr:uid="{00000000-0005-0000-0000-0000FF160000}"/>
    <cellStyle name="Normal 107 3 2 3 3" xfId="12216" xr:uid="{00000000-0005-0000-0000-000000170000}"/>
    <cellStyle name="Normal 107 3 2 3 3 2" xfId="28740" xr:uid="{00000000-0005-0000-0000-000001170000}"/>
    <cellStyle name="Normal 107 3 2 3 4" xfId="20697" xr:uid="{00000000-0005-0000-0000-000002170000}"/>
    <cellStyle name="Normal 107 3 2 4" xfId="6954" xr:uid="{00000000-0005-0000-0000-000003170000}"/>
    <cellStyle name="Normal 107 3 2 4 2" xfId="16135" xr:uid="{00000000-0005-0000-0000-000004170000}"/>
    <cellStyle name="Normal 107 3 2 4 2 2" xfId="32709" xr:uid="{00000000-0005-0000-0000-000005170000}"/>
    <cellStyle name="Normal 107 3 2 4 3" xfId="24662" xr:uid="{00000000-0005-0000-0000-000006170000}"/>
    <cellStyle name="Normal 107 3 2 5" xfId="12213" xr:uid="{00000000-0005-0000-0000-000007170000}"/>
    <cellStyle name="Normal 107 3 2 5 2" xfId="28737" xr:uid="{00000000-0005-0000-0000-000008170000}"/>
    <cellStyle name="Normal 107 3 2 6" xfId="20694" xr:uid="{00000000-0005-0000-0000-000009170000}"/>
    <cellStyle name="Normal 107 3 3" xfId="2707" xr:uid="{00000000-0005-0000-0000-00000A170000}"/>
    <cellStyle name="Normal 107 3 3 2" xfId="2708" xr:uid="{00000000-0005-0000-0000-00000B170000}"/>
    <cellStyle name="Normal 107 3 3 2 2" xfId="6955" xr:uid="{00000000-0005-0000-0000-00000C170000}"/>
    <cellStyle name="Normal 107 3 3 2 2 2" xfId="16136" xr:uid="{00000000-0005-0000-0000-00000D170000}"/>
    <cellStyle name="Normal 107 3 3 2 2 2 2" xfId="32710" xr:uid="{00000000-0005-0000-0000-00000E170000}"/>
    <cellStyle name="Normal 107 3 3 2 2 3" xfId="24663" xr:uid="{00000000-0005-0000-0000-00000F170000}"/>
    <cellStyle name="Normal 107 3 3 2 3" xfId="12218" xr:uid="{00000000-0005-0000-0000-000010170000}"/>
    <cellStyle name="Normal 107 3 3 2 3 2" xfId="28742" xr:uid="{00000000-0005-0000-0000-000011170000}"/>
    <cellStyle name="Normal 107 3 3 2 4" xfId="20699" xr:uid="{00000000-0005-0000-0000-000012170000}"/>
    <cellStyle name="Normal 107 3 3 3" xfId="6956" xr:uid="{00000000-0005-0000-0000-000013170000}"/>
    <cellStyle name="Normal 107 3 3 3 2" xfId="16137" xr:uid="{00000000-0005-0000-0000-000014170000}"/>
    <cellStyle name="Normal 107 3 3 3 2 2" xfId="32711" xr:uid="{00000000-0005-0000-0000-000015170000}"/>
    <cellStyle name="Normal 107 3 3 3 3" xfId="24664" xr:uid="{00000000-0005-0000-0000-000016170000}"/>
    <cellStyle name="Normal 107 3 3 4" xfId="12217" xr:uid="{00000000-0005-0000-0000-000017170000}"/>
    <cellStyle name="Normal 107 3 3 4 2" xfId="28741" xr:uid="{00000000-0005-0000-0000-000018170000}"/>
    <cellStyle name="Normal 107 3 3 5" xfId="20698" xr:uid="{00000000-0005-0000-0000-000019170000}"/>
    <cellStyle name="Normal 107 3 4" xfId="2709" xr:uid="{00000000-0005-0000-0000-00001A170000}"/>
    <cellStyle name="Normal 107 3 4 2" xfId="6957" xr:uid="{00000000-0005-0000-0000-00001B170000}"/>
    <cellStyle name="Normal 107 3 4 2 2" xfId="16138" xr:uid="{00000000-0005-0000-0000-00001C170000}"/>
    <cellStyle name="Normal 107 3 4 2 2 2" xfId="32712" xr:uid="{00000000-0005-0000-0000-00001D170000}"/>
    <cellStyle name="Normal 107 3 4 2 3" xfId="24665" xr:uid="{00000000-0005-0000-0000-00001E170000}"/>
    <cellStyle name="Normal 107 3 4 3" xfId="12219" xr:uid="{00000000-0005-0000-0000-00001F170000}"/>
    <cellStyle name="Normal 107 3 4 3 2" xfId="28743" xr:uid="{00000000-0005-0000-0000-000020170000}"/>
    <cellStyle name="Normal 107 3 4 4" xfId="20700" xr:uid="{00000000-0005-0000-0000-000021170000}"/>
    <cellStyle name="Normal 107 3 5" xfId="2710" xr:uid="{00000000-0005-0000-0000-000022170000}"/>
    <cellStyle name="Normal 107 3 5 2" xfId="12220" xr:uid="{00000000-0005-0000-0000-000023170000}"/>
    <cellStyle name="Normal 107 3 5 2 2" xfId="28744" xr:uid="{00000000-0005-0000-0000-000024170000}"/>
    <cellStyle name="Normal 107 3 5 3" xfId="20701" xr:uid="{00000000-0005-0000-0000-000025170000}"/>
    <cellStyle name="Normal 107 4" xfId="2711" xr:uid="{00000000-0005-0000-0000-000026170000}"/>
    <cellStyle name="Normal 107 4 2" xfId="2712" xr:uid="{00000000-0005-0000-0000-000027170000}"/>
    <cellStyle name="Normal 107 4 2 2" xfId="2713" xr:uid="{00000000-0005-0000-0000-000028170000}"/>
    <cellStyle name="Normal 107 4 2 2 2" xfId="2714" xr:uid="{00000000-0005-0000-0000-000029170000}"/>
    <cellStyle name="Normal 107 4 2 2 2 2" xfId="6958" xr:uid="{00000000-0005-0000-0000-00002A170000}"/>
    <cellStyle name="Normal 107 4 2 2 2 2 2" xfId="16139" xr:uid="{00000000-0005-0000-0000-00002B170000}"/>
    <cellStyle name="Normal 107 4 2 2 2 2 2 2" xfId="32713" xr:uid="{00000000-0005-0000-0000-00002C170000}"/>
    <cellStyle name="Normal 107 4 2 2 2 2 3" xfId="24666" xr:uid="{00000000-0005-0000-0000-00002D170000}"/>
    <cellStyle name="Normal 107 4 2 2 2 3" xfId="12224" xr:uid="{00000000-0005-0000-0000-00002E170000}"/>
    <cellStyle name="Normal 107 4 2 2 2 3 2" xfId="28748" xr:uid="{00000000-0005-0000-0000-00002F170000}"/>
    <cellStyle name="Normal 107 4 2 2 2 4" xfId="20705" xr:uid="{00000000-0005-0000-0000-000030170000}"/>
    <cellStyle name="Normal 107 4 2 2 3" xfId="6959" xr:uid="{00000000-0005-0000-0000-000031170000}"/>
    <cellStyle name="Normal 107 4 2 2 3 2" xfId="16140" xr:uid="{00000000-0005-0000-0000-000032170000}"/>
    <cellStyle name="Normal 107 4 2 2 3 2 2" xfId="32714" xr:uid="{00000000-0005-0000-0000-000033170000}"/>
    <cellStyle name="Normal 107 4 2 2 3 3" xfId="24667" xr:uid="{00000000-0005-0000-0000-000034170000}"/>
    <cellStyle name="Normal 107 4 2 2 4" xfId="12223" xr:uid="{00000000-0005-0000-0000-000035170000}"/>
    <cellStyle name="Normal 107 4 2 2 4 2" xfId="28747" xr:uid="{00000000-0005-0000-0000-000036170000}"/>
    <cellStyle name="Normal 107 4 2 2 5" xfId="20704" xr:uid="{00000000-0005-0000-0000-000037170000}"/>
    <cellStyle name="Normal 107 4 2 3" xfId="2715" xr:uid="{00000000-0005-0000-0000-000038170000}"/>
    <cellStyle name="Normal 107 4 2 3 2" xfId="6960" xr:uid="{00000000-0005-0000-0000-000039170000}"/>
    <cellStyle name="Normal 107 4 2 3 2 2" xfId="16141" xr:uid="{00000000-0005-0000-0000-00003A170000}"/>
    <cellStyle name="Normal 107 4 2 3 2 2 2" xfId="32715" xr:uid="{00000000-0005-0000-0000-00003B170000}"/>
    <cellStyle name="Normal 107 4 2 3 2 3" xfId="24668" xr:uid="{00000000-0005-0000-0000-00003C170000}"/>
    <cellStyle name="Normal 107 4 2 3 3" xfId="12225" xr:uid="{00000000-0005-0000-0000-00003D170000}"/>
    <cellStyle name="Normal 107 4 2 3 3 2" xfId="28749" xr:uid="{00000000-0005-0000-0000-00003E170000}"/>
    <cellStyle name="Normal 107 4 2 3 4" xfId="20706" xr:uid="{00000000-0005-0000-0000-00003F170000}"/>
    <cellStyle name="Normal 107 4 2 4" xfId="6961" xr:uid="{00000000-0005-0000-0000-000040170000}"/>
    <cellStyle name="Normal 107 4 2 4 2" xfId="16142" xr:uid="{00000000-0005-0000-0000-000041170000}"/>
    <cellStyle name="Normal 107 4 2 4 2 2" xfId="32716" xr:uid="{00000000-0005-0000-0000-000042170000}"/>
    <cellStyle name="Normal 107 4 2 4 3" xfId="24669" xr:uid="{00000000-0005-0000-0000-000043170000}"/>
    <cellStyle name="Normal 107 4 2 5" xfId="12222" xr:uid="{00000000-0005-0000-0000-000044170000}"/>
    <cellStyle name="Normal 107 4 2 5 2" xfId="28746" xr:uid="{00000000-0005-0000-0000-000045170000}"/>
    <cellStyle name="Normal 107 4 2 6" xfId="20703" xr:uid="{00000000-0005-0000-0000-000046170000}"/>
    <cellStyle name="Normal 107 4 3" xfId="2716" xr:uid="{00000000-0005-0000-0000-000047170000}"/>
    <cellStyle name="Normal 107 4 3 2" xfId="2717" xr:uid="{00000000-0005-0000-0000-000048170000}"/>
    <cellStyle name="Normal 107 4 3 2 2" xfId="6962" xr:uid="{00000000-0005-0000-0000-000049170000}"/>
    <cellStyle name="Normal 107 4 3 2 2 2" xfId="16143" xr:uid="{00000000-0005-0000-0000-00004A170000}"/>
    <cellStyle name="Normal 107 4 3 2 2 2 2" xfId="32717" xr:uid="{00000000-0005-0000-0000-00004B170000}"/>
    <cellStyle name="Normal 107 4 3 2 2 3" xfId="24670" xr:uid="{00000000-0005-0000-0000-00004C170000}"/>
    <cellStyle name="Normal 107 4 3 2 3" xfId="12227" xr:uid="{00000000-0005-0000-0000-00004D170000}"/>
    <cellStyle name="Normal 107 4 3 2 3 2" xfId="28751" xr:uid="{00000000-0005-0000-0000-00004E170000}"/>
    <cellStyle name="Normal 107 4 3 2 4" xfId="20708" xr:uid="{00000000-0005-0000-0000-00004F170000}"/>
    <cellStyle name="Normal 107 4 3 3" xfId="6963" xr:uid="{00000000-0005-0000-0000-000050170000}"/>
    <cellStyle name="Normal 107 4 3 3 2" xfId="16144" xr:uid="{00000000-0005-0000-0000-000051170000}"/>
    <cellStyle name="Normal 107 4 3 3 2 2" xfId="32718" xr:uid="{00000000-0005-0000-0000-000052170000}"/>
    <cellStyle name="Normal 107 4 3 3 3" xfId="24671" xr:uid="{00000000-0005-0000-0000-000053170000}"/>
    <cellStyle name="Normal 107 4 3 4" xfId="12226" xr:uid="{00000000-0005-0000-0000-000054170000}"/>
    <cellStyle name="Normal 107 4 3 4 2" xfId="28750" xr:uid="{00000000-0005-0000-0000-000055170000}"/>
    <cellStyle name="Normal 107 4 3 5" xfId="20707" xr:uid="{00000000-0005-0000-0000-000056170000}"/>
    <cellStyle name="Normal 107 4 4" xfId="2718" xr:uid="{00000000-0005-0000-0000-000057170000}"/>
    <cellStyle name="Normal 107 4 4 2" xfId="6964" xr:uid="{00000000-0005-0000-0000-000058170000}"/>
    <cellStyle name="Normal 107 4 4 2 2" xfId="16145" xr:uid="{00000000-0005-0000-0000-000059170000}"/>
    <cellStyle name="Normal 107 4 4 2 2 2" xfId="32719" xr:uid="{00000000-0005-0000-0000-00005A170000}"/>
    <cellStyle name="Normal 107 4 4 2 3" xfId="24672" xr:uid="{00000000-0005-0000-0000-00005B170000}"/>
    <cellStyle name="Normal 107 4 4 3" xfId="12228" xr:uid="{00000000-0005-0000-0000-00005C170000}"/>
    <cellStyle name="Normal 107 4 4 3 2" xfId="28752" xr:uid="{00000000-0005-0000-0000-00005D170000}"/>
    <cellStyle name="Normal 107 4 4 4" xfId="20709" xr:uid="{00000000-0005-0000-0000-00005E170000}"/>
    <cellStyle name="Normal 107 4 5" xfId="6965" xr:uid="{00000000-0005-0000-0000-00005F170000}"/>
    <cellStyle name="Normal 107 4 5 2" xfId="16146" xr:uid="{00000000-0005-0000-0000-000060170000}"/>
    <cellStyle name="Normal 107 4 5 2 2" xfId="32720" xr:uid="{00000000-0005-0000-0000-000061170000}"/>
    <cellStyle name="Normal 107 4 5 3" xfId="24673" xr:uid="{00000000-0005-0000-0000-000062170000}"/>
    <cellStyle name="Normal 107 4 6" xfId="12221" xr:uid="{00000000-0005-0000-0000-000063170000}"/>
    <cellStyle name="Normal 107 4 6 2" xfId="28745" xr:uid="{00000000-0005-0000-0000-000064170000}"/>
    <cellStyle name="Normal 107 4 7" xfId="20702" xr:uid="{00000000-0005-0000-0000-000065170000}"/>
    <cellStyle name="Normal 107 5" xfId="2719" xr:uid="{00000000-0005-0000-0000-000066170000}"/>
    <cellStyle name="Normal 107 5 2" xfId="2720" xr:uid="{00000000-0005-0000-0000-000067170000}"/>
    <cellStyle name="Normal 107 5 2 2" xfId="2721" xr:uid="{00000000-0005-0000-0000-000068170000}"/>
    <cellStyle name="Normal 107 5 2 2 2" xfId="2722" xr:uid="{00000000-0005-0000-0000-000069170000}"/>
    <cellStyle name="Normal 107 5 2 2 2 2" xfId="6966" xr:uid="{00000000-0005-0000-0000-00006A170000}"/>
    <cellStyle name="Normal 107 5 2 2 2 2 2" xfId="16147" xr:uid="{00000000-0005-0000-0000-00006B170000}"/>
    <cellStyle name="Normal 107 5 2 2 2 2 2 2" xfId="32721" xr:uid="{00000000-0005-0000-0000-00006C170000}"/>
    <cellStyle name="Normal 107 5 2 2 2 2 3" xfId="24674" xr:uid="{00000000-0005-0000-0000-00006D170000}"/>
    <cellStyle name="Normal 107 5 2 2 2 3" xfId="12232" xr:uid="{00000000-0005-0000-0000-00006E170000}"/>
    <cellStyle name="Normal 107 5 2 2 2 3 2" xfId="28756" xr:uid="{00000000-0005-0000-0000-00006F170000}"/>
    <cellStyle name="Normal 107 5 2 2 2 4" xfId="20713" xr:uid="{00000000-0005-0000-0000-000070170000}"/>
    <cellStyle name="Normal 107 5 2 2 3" xfId="6967" xr:uid="{00000000-0005-0000-0000-000071170000}"/>
    <cellStyle name="Normal 107 5 2 2 3 2" xfId="16148" xr:uid="{00000000-0005-0000-0000-000072170000}"/>
    <cellStyle name="Normal 107 5 2 2 3 2 2" xfId="32722" xr:uid="{00000000-0005-0000-0000-000073170000}"/>
    <cellStyle name="Normal 107 5 2 2 3 3" xfId="24675" xr:uid="{00000000-0005-0000-0000-000074170000}"/>
    <cellStyle name="Normal 107 5 2 2 4" xfId="12231" xr:uid="{00000000-0005-0000-0000-000075170000}"/>
    <cellStyle name="Normal 107 5 2 2 4 2" xfId="28755" xr:uid="{00000000-0005-0000-0000-000076170000}"/>
    <cellStyle name="Normal 107 5 2 2 5" xfId="20712" xr:uid="{00000000-0005-0000-0000-000077170000}"/>
    <cellStyle name="Normal 107 5 2 3" xfId="2723" xr:uid="{00000000-0005-0000-0000-000078170000}"/>
    <cellStyle name="Normal 107 5 2 3 2" xfId="6968" xr:uid="{00000000-0005-0000-0000-000079170000}"/>
    <cellStyle name="Normal 107 5 2 3 2 2" xfId="16149" xr:uid="{00000000-0005-0000-0000-00007A170000}"/>
    <cellStyle name="Normal 107 5 2 3 2 2 2" xfId="32723" xr:uid="{00000000-0005-0000-0000-00007B170000}"/>
    <cellStyle name="Normal 107 5 2 3 2 3" xfId="24676" xr:uid="{00000000-0005-0000-0000-00007C170000}"/>
    <cellStyle name="Normal 107 5 2 3 3" xfId="12233" xr:uid="{00000000-0005-0000-0000-00007D170000}"/>
    <cellStyle name="Normal 107 5 2 3 3 2" xfId="28757" xr:uid="{00000000-0005-0000-0000-00007E170000}"/>
    <cellStyle name="Normal 107 5 2 3 4" xfId="20714" xr:uid="{00000000-0005-0000-0000-00007F170000}"/>
    <cellStyle name="Normal 107 5 2 4" xfId="6969" xr:uid="{00000000-0005-0000-0000-000080170000}"/>
    <cellStyle name="Normal 107 5 2 4 2" xfId="16150" xr:uid="{00000000-0005-0000-0000-000081170000}"/>
    <cellStyle name="Normal 107 5 2 4 2 2" xfId="32724" xr:uid="{00000000-0005-0000-0000-000082170000}"/>
    <cellStyle name="Normal 107 5 2 4 3" xfId="24677" xr:uid="{00000000-0005-0000-0000-000083170000}"/>
    <cellStyle name="Normal 107 5 2 5" xfId="12230" xr:uid="{00000000-0005-0000-0000-000084170000}"/>
    <cellStyle name="Normal 107 5 2 5 2" xfId="28754" xr:uid="{00000000-0005-0000-0000-000085170000}"/>
    <cellStyle name="Normal 107 5 2 6" xfId="20711" xr:uid="{00000000-0005-0000-0000-000086170000}"/>
    <cellStyle name="Normal 107 5 3" xfId="2724" xr:uid="{00000000-0005-0000-0000-000087170000}"/>
    <cellStyle name="Normal 107 5 3 2" xfId="2725" xr:uid="{00000000-0005-0000-0000-000088170000}"/>
    <cellStyle name="Normal 107 5 3 2 2" xfId="6970" xr:uid="{00000000-0005-0000-0000-000089170000}"/>
    <cellStyle name="Normal 107 5 3 2 2 2" xfId="16151" xr:uid="{00000000-0005-0000-0000-00008A170000}"/>
    <cellStyle name="Normal 107 5 3 2 2 2 2" xfId="32725" xr:uid="{00000000-0005-0000-0000-00008B170000}"/>
    <cellStyle name="Normal 107 5 3 2 2 3" xfId="24678" xr:uid="{00000000-0005-0000-0000-00008C170000}"/>
    <cellStyle name="Normal 107 5 3 2 3" xfId="12235" xr:uid="{00000000-0005-0000-0000-00008D170000}"/>
    <cellStyle name="Normal 107 5 3 2 3 2" xfId="28759" xr:uid="{00000000-0005-0000-0000-00008E170000}"/>
    <cellStyle name="Normal 107 5 3 2 4" xfId="20716" xr:uid="{00000000-0005-0000-0000-00008F170000}"/>
    <cellStyle name="Normal 107 5 3 3" xfId="6971" xr:uid="{00000000-0005-0000-0000-000090170000}"/>
    <cellStyle name="Normal 107 5 3 3 2" xfId="16152" xr:uid="{00000000-0005-0000-0000-000091170000}"/>
    <cellStyle name="Normal 107 5 3 3 2 2" xfId="32726" xr:uid="{00000000-0005-0000-0000-000092170000}"/>
    <cellStyle name="Normal 107 5 3 3 3" xfId="24679" xr:uid="{00000000-0005-0000-0000-000093170000}"/>
    <cellStyle name="Normal 107 5 3 4" xfId="12234" xr:uid="{00000000-0005-0000-0000-000094170000}"/>
    <cellStyle name="Normal 107 5 3 4 2" xfId="28758" xr:uid="{00000000-0005-0000-0000-000095170000}"/>
    <cellStyle name="Normal 107 5 3 5" xfId="20715" xr:uid="{00000000-0005-0000-0000-000096170000}"/>
    <cellStyle name="Normal 107 5 4" xfId="2726" xr:uid="{00000000-0005-0000-0000-000097170000}"/>
    <cellStyle name="Normal 107 5 4 2" xfId="6972" xr:uid="{00000000-0005-0000-0000-000098170000}"/>
    <cellStyle name="Normal 107 5 4 2 2" xfId="16153" xr:uid="{00000000-0005-0000-0000-000099170000}"/>
    <cellStyle name="Normal 107 5 4 2 2 2" xfId="32727" xr:uid="{00000000-0005-0000-0000-00009A170000}"/>
    <cellStyle name="Normal 107 5 4 2 3" xfId="24680" xr:uid="{00000000-0005-0000-0000-00009B170000}"/>
    <cellStyle name="Normal 107 5 4 3" xfId="12236" xr:uid="{00000000-0005-0000-0000-00009C170000}"/>
    <cellStyle name="Normal 107 5 4 3 2" xfId="28760" xr:uid="{00000000-0005-0000-0000-00009D170000}"/>
    <cellStyle name="Normal 107 5 4 4" xfId="20717" xr:uid="{00000000-0005-0000-0000-00009E170000}"/>
    <cellStyle name="Normal 107 5 5" xfId="6973" xr:uid="{00000000-0005-0000-0000-00009F170000}"/>
    <cellStyle name="Normal 107 5 5 2" xfId="16154" xr:uid="{00000000-0005-0000-0000-0000A0170000}"/>
    <cellStyle name="Normal 107 5 5 2 2" xfId="32728" xr:uid="{00000000-0005-0000-0000-0000A1170000}"/>
    <cellStyle name="Normal 107 5 5 3" xfId="24681" xr:uid="{00000000-0005-0000-0000-0000A2170000}"/>
    <cellStyle name="Normal 107 5 6" xfId="12229" xr:uid="{00000000-0005-0000-0000-0000A3170000}"/>
    <cellStyle name="Normal 107 5 6 2" xfId="28753" xr:uid="{00000000-0005-0000-0000-0000A4170000}"/>
    <cellStyle name="Normal 107 5 7" xfId="20710" xr:uid="{00000000-0005-0000-0000-0000A5170000}"/>
    <cellStyle name="Normal 107 6" xfId="2727" xr:uid="{00000000-0005-0000-0000-0000A6170000}"/>
    <cellStyle name="Normal 107 6 2" xfId="2728" xr:uid="{00000000-0005-0000-0000-0000A7170000}"/>
    <cellStyle name="Normal 107 6 2 2" xfId="2729" xr:uid="{00000000-0005-0000-0000-0000A8170000}"/>
    <cellStyle name="Normal 107 6 2 2 2" xfId="6974" xr:uid="{00000000-0005-0000-0000-0000A9170000}"/>
    <cellStyle name="Normal 107 6 2 2 2 2" xfId="16155" xr:uid="{00000000-0005-0000-0000-0000AA170000}"/>
    <cellStyle name="Normal 107 6 2 2 2 2 2" xfId="32729" xr:uid="{00000000-0005-0000-0000-0000AB170000}"/>
    <cellStyle name="Normal 107 6 2 2 2 3" xfId="24682" xr:uid="{00000000-0005-0000-0000-0000AC170000}"/>
    <cellStyle name="Normal 107 6 2 2 3" xfId="12239" xr:uid="{00000000-0005-0000-0000-0000AD170000}"/>
    <cellStyle name="Normal 107 6 2 2 3 2" xfId="28763" xr:uid="{00000000-0005-0000-0000-0000AE170000}"/>
    <cellStyle name="Normal 107 6 2 2 4" xfId="20720" xr:uid="{00000000-0005-0000-0000-0000AF170000}"/>
    <cellStyle name="Normal 107 6 2 3" xfId="6975" xr:uid="{00000000-0005-0000-0000-0000B0170000}"/>
    <cellStyle name="Normal 107 6 2 3 2" xfId="16156" xr:uid="{00000000-0005-0000-0000-0000B1170000}"/>
    <cellStyle name="Normal 107 6 2 3 2 2" xfId="32730" xr:uid="{00000000-0005-0000-0000-0000B2170000}"/>
    <cellStyle name="Normal 107 6 2 3 3" xfId="24683" xr:uid="{00000000-0005-0000-0000-0000B3170000}"/>
    <cellStyle name="Normal 107 6 2 4" xfId="12238" xr:uid="{00000000-0005-0000-0000-0000B4170000}"/>
    <cellStyle name="Normal 107 6 2 4 2" xfId="28762" xr:uid="{00000000-0005-0000-0000-0000B5170000}"/>
    <cellStyle name="Normal 107 6 2 5" xfId="20719" xr:uid="{00000000-0005-0000-0000-0000B6170000}"/>
    <cellStyle name="Normal 107 6 3" xfId="2730" xr:uid="{00000000-0005-0000-0000-0000B7170000}"/>
    <cellStyle name="Normal 107 6 3 2" xfId="6976" xr:uid="{00000000-0005-0000-0000-0000B8170000}"/>
    <cellStyle name="Normal 107 6 3 2 2" xfId="16157" xr:uid="{00000000-0005-0000-0000-0000B9170000}"/>
    <cellStyle name="Normal 107 6 3 2 2 2" xfId="32731" xr:uid="{00000000-0005-0000-0000-0000BA170000}"/>
    <cellStyle name="Normal 107 6 3 2 3" xfId="24684" xr:uid="{00000000-0005-0000-0000-0000BB170000}"/>
    <cellStyle name="Normal 107 6 3 3" xfId="12240" xr:uid="{00000000-0005-0000-0000-0000BC170000}"/>
    <cellStyle name="Normal 107 6 3 3 2" xfId="28764" xr:uid="{00000000-0005-0000-0000-0000BD170000}"/>
    <cellStyle name="Normal 107 6 3 4" xfId="20721" xr:uid="{00000000-0005-0000-0000-0000BE170000}"/>
    <cellStyle name="Normal 107 6 4" xfId="6977" xr:uid="{00000000-0005-0000-0000-0000BF170000}"/>
    <cellStyle name="Normal 107 6 4 2" xfId="16158" xr:uid="{00000000-0005-0000-0000-0000C0170000}"/>
    <cellStyle name="Normal 107 6 4 2 2" xfId="32732" xr:uid="{00000000-0005-0000-0000-0000C1170000}"/>
    <cellStyle name="Normal 107 6 4 3" xfId="24685" xr:uid="{00000000-0005-0000-0000-0000C2170000}"/>
    <cellStyle name="Normal 107 6 5" xfId="12237" xr:uid="{00000000-0005-0000-0000-0000C3170000}"/>
    <cellStyle name="Normal 107 6 5 2" xfId="28761" xr:uid="{00000000-0005-0000-0000-0000C4170000}"/>
    <cellStyle name="Normal 107 6 6" xfId="20718" xr:uid="{00000000-0005-0000-0000-0000C5170000}"/>
    <cellStyle name="Normal 107 7" xfId="2731" xr:uid="{00000000-0005-0000-0000-0000C6170000}"/>
    <cellStyle name="Normal 107 7 2" xfId="2732" xr:uid="{00000000-0005-0000-0000-0000C7170000}"/>
    <cellStyle name="Normal 107 7 2 2" xfId="6978" xr:uid="{00000000-0005-0000-0000-0000C8170000}"/>
    <cellStyle name="Normal 107 7 2 2 2" xfId="16159" xr:uid="{00000000-0005-0000-0000-0000C9170000}"/>
    <cellStyle name="Normal 107 7 2 2 2 2" xfId="32733" xr:uid="{00000000-0005-0000-0000-0000CA170000}"/>
    <cellStyle name="Normal 107 7 2 2 3" xfId="24686" xr:uid="{00000000-0005-0000-0000-0000CB170000}"/>
    <cellStyle name="Normal 107 7 2 3" xfId="12242" xr:uid="{00000000-0005-0000-0000-0000CC170000}"/>
    <cellStyle name="Normal 107 7 2 3 2" xfId="28766" xr:uid="{00000000-0005-0000-0000-0000CD170000}"/>
    <cellStyle name="Normal 107 7 2 4" xfId="20723" xr:uid="{00000000-0005-0000-0000-0000CE170000}"/>
    <cellStyle name="Normal 107 7 3" xfId="6979" xr:uid="{00000000-0005-0000-0000-0000CF170000}"/>
    <cellStyle name="Normal 107 7 3 2" xfId="16160" xr:uid="{00000000-0005-0000-0000-0000D0170000}"/>
    <cellStyle name="Normal 107 7 3 2 2" xfId="32734" xr:uid="{00000000-0005-0000-0000-0000D1170000}"/>
    <cellStyle name="Normal 107 7 3 3" xfId="24687" xr:uid="{00000000-0005-0000-0000-0000D2170000}"/>
    <cellStyle name="Normal 107 7 4" xfId="12241" xr:uid="{00000000-0005-0000-0000-0000D3170000}"/>
    <cellStyle name="Normal 107 7 4 2" xfId="28765" xr:uid="{00000000-0005-0000-0000-0000D4170000}"/>
    <cellStyle name="Normal 107 7 5" xfId="20722" xr:uid="{00000000-0005-0000-0000-0000D5170000}"/>
    <cellStyle name="Normal 107 8" xfId="2733" xr:uid="{00000000-0005-0000-0000-0000D6170000}"/>
    <cellStyle name="Normal 107 8 2" xfId="6980" xr:uid="{00000000-0005-0000-0000-0000D7170000}"/>
    <cellStyle name="Normal 107 8 2 2" xfId="16161" xr:uid="{00000000-0005-0000-0000-0000D8170000}"/>
    <cellStyle name="Normal 107 8 2 2 2" xfId="32735" xr:uid="{00000000-0005-0000-0000-0000D9170000}"/>
    <cellStyle name="Normal 107 8 2 3" xfId="24688" xr:uid="{00000000-0005-0000-0000-0000DA170000}"/>
    <cellStyle name="Normal 107 8 3" xfId="12243" xr:uid="{00000000-0005-0000-0000-0000DB170000}"/>
    <cellStyle name="Normal 107 8 3 2" xfId="28767" xr:uid="{00000000-0005-0000-0000-0000DC170000}"/>
    <cellStyle name="Normal 107 8 4" xfId="20724" xr:uid="{00000000-0005-0000-0000-0000DD170000}"/>
    <cellStyle name="Normal 107 9" xfId="6981" xr:uid="{00000000-0005-0000-0000-0000DE170000}"/>
    <cellStyle name="Normal 107 9 2" xfId="16162" xr:uid="{00000000-0005-0000-0000-0000DF170000}"/>
    <cellStyle name="Normal 107 9 2 2" xfId="32736" xr:uid="{00000000-0005-0000-0000-0000E0170000}"/>
    <cellStyle name="Normal 107 9 3" xfId="24689" xr:uid="{00000000-0005-0000-0000-0000E1170000}"/>
    <cellStyle name="Normal 108" xfId="2734" xr:uid="{00000000-0005-0000-0000-0000E2170000}"/>
    <cellStyle name="Normal 108 10" xfId="12244" xr:uid="{00000000-0005-0000-0000-0000E3170000}"/>
    <cellStyle name="Normal 108 10 2" xfId="28768" xr:uid="{00000000-0005-0000-0000-0000E4170000}"/>
    <cellStyle name="Normal 108 11" xfId="20725" xr:uid="{00000000-0005-0000-0000-0000E5170000}"/>
    <cellStyle name="Normal 108 2" xfId="2735" xr:uid="{00000000-0005-0000-0000-0000E6170000}"/>
    <cellStyle name="Normal 108 2 2" xfId="2736" xr:uid="{00000000-0005-0000-0000-0000E7170000}"/>
    <cellStyle name="Normal 108 2 3" xfId="12245" xr:uid="{00000000-0005-0000-0000-0000E8170000}"/>
    <cellStyle name="Normal 108 2 3 2" xfId="28769" xr:uid="{00000000-0005-0000-0000-0000E9170000}"/>
    <cellStyle name="Normal 108 2 4" xfId="20726" xr:uid="{00000000-0005-0000-0000-0000EA170000}"/>
    <cellStyle name="Normal 108 3" xfId="2737" xr:uid="{00000000-0005-0000-0000-0000EB170000}"/>
    <cellStyle name="Normal 108 3 2" xfId="2738" xr:uid="{00000000-0005-0000-0000-0000EC170000}"/>
    <cellStyle name="Normal 108 3 2 2" xfId="2739" xr:uid="{00000000-0005-0000-0000-0000ED170000}"/>
    <cellStyle name="Normal 108 3 2 2 2" xfId="2740" xr:uid="{00000000-0005-0000-0000-0000EE170000}"/>
    <cellStyle name="Normal 108 3 2 2 2 2" xfId="6982" xr:uid="{00000000-0005-0000-0000-0000EF170000}"/>
    <cellStyle name="Normal 108 3 2 2 2 2 2" xfId="16163" xr:uid="{00000000-0005-0000-0000-0000F0170000}"/>
    <cellStyle name="Normal 108 3 2 2 2 2 2 2" xfId="32737" xr:uid="{00000000-0005-0000-0000-0000F1170000}"/>
    <cellStyle name="Normal 108 3 2 2 2 2 3" xfId="24690" xr:uid="{00000000-0005-0000-0000-0000F2170000}"/>
    <cellStyle name="Normal 108 3 2 2 2 3" xfId="12248" xr:uid="{00000000-0005-0000-0000-0000F3170000}"/>
    <cellStyle name="Normal 108 3 2 2 2 3 2" xfId="28772" xr:uid="{00000000-0005-0000-0000-0000F4170000}"/>
    <cellStyle name="Normal 108 3 2 2 2 4" xfId="20729" xr:uid="{00000000-0005-0000-0000-0000F5170000}"/>
    <cellStyle name="Normal 108 3 2 2 3" xfId="6983" xr:uid="{00000000-0005-0000-0000-0000F6170000}"/>
    <cellStyle name="Normal 108 3 2 2 3 2" xfId="16164" xr:uid="{00000000-0005-0000-0000-0000F7170000}"/>
    <cellStyle name="Normal 108 3 2 2 3 2 2" xfId="32738" xr:uid="{00000000-0005-0000-0000-0000F8170000}"/>
    <cellStyle name="Normal 108 3 2 2 3 3" xfId="24691" xr:uid="{00000000-0005-0000-0000-0000F9170000}"/>
    <cellStyle name="Normal 108 3 2 2 4" xfId="12247" xr:uid="{00000000-0005-0000-0000-0000FA170000}"/>
    <cellStyle name="Normal 108 3 2 2 4 2" xfId="28771" xr:uid="{00000000-0005-0000-0000-0000FB170000}"/>
    <cellStyle name="Normal 108 3 2 2 5" xfId="20728" xr:uid="{00000000-0005-0000-0000-0000FC170000}"/>
    <cellStyle name="Normal 108 3 2 3" xfId="2741" xr:uid="{00000000-0005-0000-0000-0000FD170000}"/>
    <cellStyle name="Normal 108 3 2 3 2" xfId="6984" xr:uid="{00000000-0005-0000-0000-0000FE170000}"/>
    <cellStyle name="Normal 108 3 2 3 2 2" xfId="16165" xr:uid="{00000000-0005-0000-0000-0000FF170000}"/>
    <cellStyle name="Normal 108 3 2 3 2 2 2" xfId="32739" xr:uid="{00000000-0005-0000-0000-000000180000}"/>
    <cellStyle name="Normal 108 3 2 3 2 3" xfId="24692" xr:uid="{00000000-0005-0000-0000-000001180000}"/>
    <cellStyle name="Normal 108 3 2 3 3" xfId="12249" xr:uid="{00000000-0005-0000-0000-000002180000}"/>
    <cellStyle name="Normal 108 3 2 3 3 2" xfId="28773" xr:uid="{00000000-0005-0000-0000-000003180000}"/>
    <cellStyle name="Normal 108 3 2 3 4" xfId="20730" xr:uid="{00000000-0005-0000-0000-000004180000}"/>
    <cellStyle name="Normal 108 3 2 4" xfId="6985" xr:uid="{00000000-0005-0000-0000-000005180000}"/>
    <cellStyle name="Normal 108 3 2 4 2" xfId="16166" xr:uid="{00000000-0005-0000-0000-000006180000}"/>
    <cellStyle name="Normal 108 3 2 4 2 2" xfId="32740" xr:uid="{00000000-0005-0000-0000-000007180000}"/>
    <cellStyle name="Normal 108 3 2 4 3" xfId="24693" xr:uid="{00000000-0005-0000-0000-000008180000}"/>
    <cellStyle name="Normal 108 3 2 5" xfId="12246" xr:uid="{00000000-0005-0000-0000-000009180000}"/>
    <cellStyle name="Normal 108 3 2 5 2" xfId="28770" xr:uid="{00000000-0005-0000-0000-00000A180000}"/>
    <cellStyle name="Normal 108 3 2 6" xfId="20727" xr:uid="{00000000-0005-0000-0000-00000B180000}"/>
    <cellStyle name="Normal 108 3 3" xfId="2742" xr:uid="{00000000-0005-0000-0000-00000C180000}"/>
    <cellStyle name="Normal 108 3 3 2" xfId="2743" xr:uid="{00000000-0005-0000-0000-00000D180000}"/>
    <cellStyle name="Normal 108 3 3 2 2" xfId="6986" xr:uid="{00000000-0005-0000-0000-00000E180000}"/>
    <cellStyle name="Normal 108 3 3 2 2 2" xfId="16167" xr:uid="{00000000-0005-0000-0000-00000F180000}"/>
    <cellStyle name="Normal 108 3 3 2 2 2 2" xfId="32741" xr:uid="{00000000-0005-0000-0000-000010180000}"/>
    <cellStyle name="Normal 108 3 3 2 2 3" xfId="24694" xr:uid="{00000000-0005-0000-0000-000011180000}"/>
    <cellStyle name="Normal 108 3 3 2 3" xfId="12251" xr:uid="{00000000-0005-0000-0000-000012180000}"/>
    <cellStyle name="Normal 108 3 3 2 3 2" xfId="28775" xr:uid="{00000000-0005-0000-0000-000013180000}"/>
    <cellStyle name="Normal 108 3 3 2 4" xfId="20732" xr:uid="{00000000-0005-0000-0000-000014180000}"/>
    <cellStyle name="Normal 108 3 3 3" xfId="6987" xr:uid="{00000000-0005-0000-0000-000015180000}"/>
    <cellStyle name="Normal 108 3 3 3 2" xfId="16168" xr:uid="{00000000-0005-0000-0000-000016180000}"/>
    <cellStyle name="Normal 108 3 3 3 2 2" xfId="32742" xr:uid="{00000000-0005-0000-0000-000017180000}"/>
    <cellStyle name="Normal 108 3 3 3 3" xfId="24695" xr:uid="{00000000-0005-0000-0000-000018180000}"/>
    <cellStyle name="Normal 108 3 3 4" xfId="12250" xr:uid="{00000000-0005-0000-0000-000019180000}"/>
    <cellStyle name="Normal 108 3 3 4 2" xfId="28774" xr:uid="{00000000-0005-0000-0000-00001A180000}"/>
    <cellStyle name="Normal 108 3 3 5" xfId="20731" xr:uid="{00000000-0005-0000-0000-00001B180000}"/>
    <cellStyle name="Normal 108 3 4" xfId="2744" xr:uid="{00000000-0005-0000-0000-00001C180000}"/>
    <cellStyle name="Normal 108 3 4 2" xfId="6988" xr:uid="{00000000-0005-0000-0000-00001D180000}"/>
    <cellStyle name="Normal 108 3 4 2 2" xfId="16169" xr:uid="{00000000-0005-0000-0000-00001E180000}"/>
    <cellStyle name="Normal 108 3 4 2 2 2" xfId="32743" xr:uid="{00000000-0005-0000-0000-00001F180000}"/>
    <cellStyle name="Normal 108 3 4 2 3" xfId="24696" xr:uid="{00000000-0005-0000-0000-000020180000}"/>
    <cellStyle name="Normal 108 3 4 3" xfId="12252" xr:uid="{00000000-0005-0000-0000-000021180000}"/>
    <cellStyle name="Normal 108 3 4 3 2" xfId="28776" xr:uid="{00000000-0005-0000-0000-000022180000}"/>
    <cellStyle name="Normal 108 3 4 4" xfId="20733" xr:uid="{00000000-0005-0000-0000-000023180000}"/>
    <cellStyle name="Normal 108 3 5" xfId="2745" xr:uid="{00000000-0005-0000-0000-000024180000}"/>
    <cellStyle name="Normal 108 3 5 2" xfId="12253" xr:uid="{00000000-0005-0000-0000-000025180000}"/>
    <cellStyle name="Normal 108 3 5 2 2" xfId="28777" xr:uid="{00000000-0005-0000-0000-000026180000}"/>
    <cellStyle name="Normal 108 3 5 3" xfId="20734" xr:uid="{00000000-0005-0000-0000-000027180000}"/>
    <cellStyle name="Normal 108 4" xfId="2746" xr:uid="{00000000-0005-0000-0000-000028180000}"/>
    <cellStyle name="Normal 108 4 2" xfId="2747" xr:uid="{00000000-0005-0000-0000-000029180000}"/>
    <cellStyle name="Normal 108 4 2 2" xfId="2748" xr:uid="{00000000-0005-0000-0000-00002A180000}"/>
    <cellStyle name="Normal 108 4 2 2 2" xfId="2749" xr:uid="{00000000-0005-0000-0000-00002B180000}"/>
    <cellStyle name="Normal 108 4 2 2 2 2" xfId="6989" xr:uid="{00000000-0005-0000-0000-00002C180000}"/>
    <cellStyle name="Normal 108 4 2 2 2 2 2" xfId="16170" xr:uid="{00000000-0005-0000-0000-00002D180000}"/>
    <cellStyle name="Normal 108 4 2 2 2 2 2 2" xfId="32744" xr:uid="{00000000-0005-0000-0000-00002E180000}"/>
    <cellStyle name="Normal 108 4 2 2 2 2 3" xfId="24697" xr:uid="{00000000-0005-0000-0000-00002F180000}"/>
    <cellStyle name="Normal 108 4 2 2 2 3" xfId="12257" xr:uid="{00000000-0005-0000-0000-000030180000}"/>
    <cellStyle name="Normal 108 4 2 2 2 3 2" xfId="28781" xr:uid="{00000000-0005-0000-0000-000031180000}"/>
    <cellStyle name="Normal 108 4 2 2 2 4" xfId="20738" xr:uid="{00000000-0005-0000-0000-000032180000}"/>
    <cellStyle name="Normal 108 4 2 2 3" xfId="6990" xr:uid="{00000000-0005-0000-0000-000033180000}"/>
    <cellStyle name="Normal 108 4 2 2 3 2" xfId="16171" xr:uid="{00000000-0005-0000-0000-000034180000}"/>
    <cellStyle name="Normal 108 4 2 2 3 2 2" xfId="32745" xr:uid="{00000000-0005-0000-0000-000035180000}"/>
    <cellStyle name="Normal 108 4 2 2 3 3" xfId="24698" xr:uid="{00000000-0005-0000-0000-000036180000}"/>
    <cellStyle name="Normal 108 4 2 2 4" xfId="12256" xr:uid="{00000000-0005-0000-0000-000037180000}"/>
    <cellStyle name="Normal 108 4 2 2 4 2" xfId="28780" xr:uid="{00000000-0005-0000-0000-000038180000}"/>
    <cellStyle name="Normal 108 4 2 2 5" xfId="20737" xr:uid="{00000000-0005-0000-0000-000039180000}"/>
    <cellStyle name="Normal 108 4 2 3" xfId="2750" xr:uid="{00000000-0005-0000-0000-00003A180000}"/>
    <cellStyle name="Normal 108 4 2 3 2" xfId="6991" xr:uid="{00000000-0005-0000-0000-00003B180000}"/>
    <cellStyle name="Normal 108 4 2 3 2 2" xfId="16172" xr:uid="{00000000-0005-0000-0000-00003C180000}"/>
    <cellStyle name="Normal 108 4 2 3 2 2 2" xfId="32746" xr:uid="{00000000-0005-0000-0000-00003D180000}"/>
    <cellStyle name="Normal 108 4 2 3 2 3" xfId="24699" xr:uid="{00000000-0005-0000-0000-00003E180000}"/>
    <cellStyle name="Normal 108 4 2 3 3" xfId="12258" xr:uid="{00000000-0005-0000-0000-00003F180000}"/>
    <cellStyle name="Normal 108 4 2 3 3 2" xfId="28782" xr:uid="{00000000-0005-0000-0000-000040180000}"/>
    <cellStyle name="Normal 108 4 2 3 4" xfId="20739" xr:uid="{00000000-0005-0000-0000-000041180000}"/>
    <cellStyle name="Normal 108 4 2 4" xfId="6992" xr:uid="{00000000-0005-0000-0000-000042180000}"/>
    <cellStyle name="Normal 108 4 2 4 2" xfId="16173" xr:uid="{00000000-0005-0000-0000-000043180000}"/>
    <cellStyle name="Normal 108 4 2 4 2 2" xfId="32747" xr:uid="{00000000-0005-0000-0000-000044180000}"/>
    <cellStyle name="Normal 108 4 2 4 3" xfId="24700" xr:uid="{00000000-0005-0000-0000-000045180000}"/>
    <cellStyle name="Normal 108 4 2 5" xfId="12255" xr:uid="{00000000-0005-0000-0000-000046180000}"/>
    <cellStyle name="Normal 108 4 2 5 2" xfId="28779" xr:uid="{00000000-0005-0000-0000-000047180000}"/>
    <cellStyle name="Normal 108 4 2 6" xfId="20736" xr:uid="{00000000-0005-0000-0000-000048180000}"/>
    <cellStyle name="Normal 108 4 3" xfId="2751" xr:uid="{00000000-0005-0000-0000-000049180000}"/>
    <cellStyle name="Normal 108 4 3 2" xfId="2752" xr:uid="{00000000-0005-0000-0000-00004A180000}"/>
    <cellStyle name="Normal 108 4 3 2 2" xfId="6993" xr:uid="{00000000-0005-0000-0000-00004B180000}"/>
    <cellStyle name="Normal 108 4 3 2 2 2" xfId="16174" xr:uid="{00000000-0005-0000-0000-00004C180000}"/>
    <cellStyle name="Normal 108 4 3 2 2 2 2" xfId="32748" xr:uid="{00000000-0005-0000-0000-00004D180000}"/>
    <cellStyle name="Normal 108 4 3 2 2 3" xfId="24701" xr:uid="{00000000-0005-0000-0000-00004E180000}"/>
    <cellStyle name="Normal 108 4 3 2 3" xfId="12260" xr:uid="{00000000-0005-0000-0000-00004F180000}"/>
    <cellStyle name="Normal 108 4 3 2 3 2" xfId="28784" xr:uid="{00000000-0005-0000-0000-000050180000}"/>
    <cellStyle name="Normal 108 4 3 2 4" xfId="20741" xr:uid="{00000000-0005-0000-0000-000051180000}"/>
    <cellStyle name="Normal 108 4 3 3" xfId="6994" xr:uid="{00000000-0005-0000-0000-000052180000}"/>
    <cellStyle name="Normal 108 4 3 3 2" xfId="16175" xr:uid="{00000000-0005-0000-0000-000053180000}"/>
    <cellStyle name="Normal 108 4 3 3 2 2" xfId="32749" xr:uid="{00000000-0005-0000-0000-000054180000}"/>
    <cellStyle name="Normal 108 4 3 3 3" xfId="24702" xr:uid="{00000000-0005-0000-0000-000055180000}"/>
    <cellStyle name="Normal 108 4 3 4" xfId="12259" xr:uid="{00000000-0005-0000-0000-000056180000}"/>
    <cellStyle name="Normal 108 4 3 4 2" xfId="28783" xr:uid="{00000000-0005-0000-0000-000057180000}"/>
    <cellStyle name="Normal 108 4 3 5" xfId="20740" xr:uid="{00000000-0005-0000-0000-000058180000}"/>
    <cellStyle name="Normal 108 4 4" xfId="2753" xr:uid="{00000000-0005-0000-0000-000059180000}"/>
    <cellStyle name="Normal 108 4 4 2" xfId="6995" xr:uid="{00000000-0005-0000-0000-00005A180000}"/>
    <cellStyle name="Normal 108 4 4 2 2" xfId="16176" xr:uid="{00000000-0005-0000-0000-00005B180000}"/>
    <cellStyle name="Normal 108 4 4 2 2 2" xfId="32750" xr:uid="{00000000-0005-0000-0000-00005C180000}"/>
    <cellStyle name="Normal 108 4 4 2 3" xfId="24703" xr:uid="{00000000-0005-0000-0000-00005D180000}"/>
    <cellStyle name="Normal 108 4 4 3" xfId="12261" xr:uid="{00000000-0005-0000-0000-00005E180000}"/>
    <cellStyle name="Normal 108 4 4 3 2" xfId="28785" xr:uid="{00000000-0005-0000-0000-00005F180000}"/>
    <cellStyle name="Normal 108 4 4 4" xfId="20742" xr:uid="{00000000-0005-0000-0000-000060180000}"/>
    <cellStyle name="Normal 108 4 5" xfId="6996" xr:uid="{00000000-0005-0000-0000-000061180000}"/>
    <cellStyle name="Normal 108 4 5 2" xfId="16177" xr:uid="{00000000-0005-0000-0000-000062180000}"/>
    <cellStyle name="Normal 108 4 5 2 2" xfId="32751" xr:uid="{00000000-0005-0000-0000-000063180000}"/>
    <cellStyle name="Normal 108 4 5 3" xfId="24704" xr:uid="{00000000-0005-0000-0000-000064180000}"/>
    <cellStyle name="Normal 108 4 6" xfId="12254" xr:uid="{00000000-0005-0000-0000-000065180000}"/>
    <cellStyle name="Normal 108 4 6 2" xfId="28778" xr:uid="{00000000-0005-0000-0000-000066180000}"/>
    <cellStyle name="Normal 108 4 7" xfId="20735" xr:uid="{00000000-0005-0000-0000-000067180000}"/>
    <cellStyle name="Normal 108 5" xfId="2754" xr:uid="{00000000-0005-0000-0000-000068180000}"/>
    <cellStyle name="Normal 108 5 2" xfId="2755" xr:uid="{00000000-0005-0000-0000-000069180000}"/>
    <cellStyle name="Normal 108 5 2 2" xfId="2756" xr:uid="{00000000-0005-0000-0000-00006A180000}"/>
    <cellStyle name="Normal 108 5 2 2 2" xfId="2757" xr:uid="{00000000-0005-0000-0000-00006B180000}"/>
    <cellStyle name="Normal 108 5 2 2 2 2" xfId="6997" xr:uid="{00000000-0005-0000-0000-00006C180000}"/>
    <cellStyle name="Normal 108 5 2 2 2 2 2" xfId="16178" xr:uid="{00000000-0005-0000-0000-00006D180000}"/>
    <cellStyle name="Normal 108 5 2 2 2 2 2 2" xfId="32752" xr:uid="{00000000-0005-0000-0000-00006E180000}"/>
    <cellStyle name="Normal 108 5 2 2 2 2 3" xfId="24705" xr:uid="{00000000-0005-0000-0000-00006F180000}"/>
    <cellStyle name="Normal 108 5 2 2 2 3" xfId="12265" xr:uid="{00000000-0005-0000-0000-000070180000}"/>
    <cellStyle name="Normal 108 5 2 2 2 3 2" xfId="28789" xr:uid="{00000000-0005-0000-0000-000071180000}"/>
    <cellStyle name="Normal 108 5 2 2 2 4" xfId="20746" xr:uid="{00000000-0005-0000-0000-000072180000}"/>
    <cellStyle name="Normal 108 5 2 2 3" xfId="6998" xr:uid="{00000000-0005-0000-0000-000073180000}"/>
    <cellStyle name="Normal 108 5 2 2 3 2" xfId="16179" xr:uid="{00000000-0005-0000-0000-000074180000}"/>
    <cellStyle name="Normal 108 5 2 2 3 2 2" xfId="32753" xr:uid="{00000000-0005-0000-0000-000075180000}"/>
    <cellStyle name="Normal 108 5 2 2 3 3" xfId="24706" xr:uid="{00000000-0005-0000-0000-000076180000}"/>
    <cellStyle name="Normal 108 5 2 2 4" xfId="12264" xr:uid="{00000000-0005-0000-0000-000077180000}"/>
    <cellStyle name="Normal 108 5 2 2 4 2" xfId="28788" xr:uid="{00000000-0005-0000-0000-000078180000}"/>
    <cellStyle name="Normal 108 5 2 2 5" xfId="20745" xr:uid="{00000000-0005-0000-0000-000079180000}"/>
    <cellStyle name="Normal 108 5 2 3" xfId="2758" xr:uid="{00000000-0005-0000-0000-00007A180000}"/>
    <cellStyle name="Normal 108 5 2 3 2" xfId="6999" xr:uid="{00000000-0005-0000-0000-00007B180000}"/>
    <cellStyle name="Normal 108 5 2 3 2 2" xfId="16180" xr:uid="{00000000-0005-0000-0000-00007C180000}"/>
    <cellStyle name="Normal 108 5 2 3 2 2 2" xfId="32754" xr:uid="{00000000-0005-0000-0000-00007D180000}"/>
    <cellStyle name="Normal 108 5 2 3 2 3" xfId="24707" xr:uid="{00000000-0005-0000-0000-00007E180000}"/>
    <cellStyle name="Normal 108 5 2 3 3" xfId="12266" xr:uid="{00000000-0005-0000-0000-00007F180000}"/>
    <cellStyle name="Normal 108 5 2 3 3 2" xfId="28790" xr:uid="{00000000-0005-0000-0000-000080180000}"/>
    <cellStyle name="Normal 108 5 2 3 4" xfId="20747" xr:uid="{00000000-0005-0000-0000-000081180000}"/>
    <cellStyle name="Normal 108 5 2 4" xfId="7000" xr:uid="{00000000-0005-0000-0000-000082180000}"/>
    <cellStyle name="Normal 108 5 2 4 2" xfId="16181" xr:uid="{00000000-0005-0000-0000-000083180000}"/>
    <cellStyle name="Normal 108 5 2 4 2 2" xfId="32755" xr:uid="{00000000-0005-0000-0000-000084180000}"/>
    <cellStyle name="Normal 108 5 2 4 3" xfId="24708" xr:uid="{00000000-0005-0000-0000-000085180000}"/>
    <cellStyle name="Normal 108 5 2 5" xfId="12263" xr:uid="{00000000-0005-0000-0000-000086180000}"/>
    <cellStyle name="Normal 108 5 2 5 2" xfId="28787" xr:uid="{00000000-0005-0000-0000-000087180000}"/>
    <cellStyle name="Normal 108 5 2 6" xfId="20744" xr:uid="{00000000-0005-0000-0000-000088180000}"/>
    <cellStyle name="Normal 108 5 3" xfId="2759" xr:uid="{00000000-0005-0000-0000-000089180000}"/>
    <cellStyle name="Normal 108 5 3 2" xfId="2760" xr:uid="{00000000-0005-0000-0000-00008A180000}"/>
    <cellStyle name="Normal 108 5 3 2 2" xfId="7001" xr:uid="{00000000-0005-0000-0000-00008B180000}"/>
    <cellStyle name="Normal 108 5 3 2 2 2" xfId="16182" xr:uid="{00000000-0005-0000-0000-00008C180000}"/>
    <cellStyle name="Normal 108 5 3 2 2 2 2" xfId="32756" xr:uid="{00000000-0005-0000-0000-00008D180000}"/>
    <cellStyle name="Normal 108 5 3 2 2 3" xfId="24709" xr:uid="{00000000-0005-0000-0000-00008E180000}"/>
    <cellStyle name="Normal 108 5 3 2 3" xfId="12268" xr:uid="{00000000-0005-0000-0000-00008F180000}"/>
    <cellStyle name="Normal 108 5 3 2 3 2" xfId="28792" xr:uid="{00000000-0005-0000-0000-000090180000}"/>
    <cellStyle name="Normal 108 5 3 2 4" xfId="20749" xr:uid="{00000000-0005-0000-0000-000091180000}"/>
    <cellStyle name="Normal 108 5 3 3" xfId="7002" xr:uid="{00000000-0005-0000-0000-000092180000}"/>
    <cellStyle name="Normal 108 5 3 3 2" xfId="16183" xr:uid="{00000000-0005-0000-0000-000093180000}"/>
    <cellStyle name="Normal 108 5 3 3 2 2" xfId="32757" xr:uid="{00000000-0005-0000-0000-000094180000}"/>
    <cellStyle name="Normal 108 5 3 3 3" xfId="24710" xr:uid="{00000000-0005-0000-0000-000095180000}"/>
    <cellStyle name="Normal 108 5 3 4" xfId="12267" xr:uid="{00000000-0005-0000-0000-000096180000}"/>
    <cellStyle name="Normal 108 5 3 4 2" xfId="28791" xr:uid="{00000000-0005-0000-0000-000097180000}"/>
    <cellStyle name="Normal 108 5 3 5" xfId="20748" xr:uid="{00000000-0005-0000-0000-000098180000}"/>
    <cellStyle name="Normal 108 5 4" xfId="2761" xr:uid="{00000000-0005-0000-0000-000099180000}"/>
    <cellStyle name="Normal 108 5 4 2" xfId="7003" xr:uid="{00000000-0005-0000-0000-00009A180000}"/>
    <cellStyle name="Normal 108 5 4 2 2" xfId="16184" xr:uid="{00000000-0005-0000-0000-00009B180000}"/>
    <cellStyle name="Normal 108 5 4 2 2 2" xfId="32758" xr:uid="{00000000-0005-0000-0000-00009C180000}"/>
    <cellStyle name="Normal 108 5 4 2 3" xfId="24711" xr:uid="{00000000-0005-0000-0000-00009D180000}"/>
    <cellStyle name="Normal 108 5 4 3" xfId="12269" xr:uid="{00000000-0005-0000-0000-00009E180000}"/>
    <cellStyle name="Normal 108 5 4 3 2" xfId="28793" xr:uid="{00000000-0005-0000-0000-00009F180000}"/>
    <cellStyle name="Normal 108 5 4 4" xfId="20750" xr:uid="{00000000-0005-0000-0000-0000A0180000}"/>
    <cellStyle name="Normal 108 5 5" xfId="7004" xr:uid="{00000000-0005-0000-0000-0000A1180000}"/>
    <cellStyle name="Normal 108 5 5 2" xfId="16185" xr:uid="{00000000-0005-0000-0000-0000A2180000}"/>
    <cellStyle name="Normal 108 5 5 2 2" xfId="32759" xr:uid="{00000000-0005-0000-0000-0000A3180000}"/>
    <cellStyle name="Normal 108 5 5 3" xfId="24712" xr:uid="{00000000-0005-0000-0000-0000A4180000}"/>
    <cellStyle name="Normal 108 5 6" xfId="12262" xr:uid="{00000000-0005-0000-0000-0000A5180000}"/>
    <cellStyle name="Normal 108 5 6 2" xfId="28786" xr:uid="{00000000-0005-0000-0000-0000A6180000}"/>
    <cellStyle name="Normal 108 5 7" xfId="20743" xr:uid="{00000000-0005-0000-0000-0000A7180000}"/>
    <cellStyle name="Normal 108 6" xfId="2762" xr:uid="{00000000-0005-0000-0000-0000A8180000}"/>
    <cellStyle name="Normal 108 6 2" xfId="2763" xr:uid="{00000000-0005-0000-0000-0000A9180000}"/>
    <cellStyle name="Normal 108 6 2 2" xfId="2764" xr:uid="{00000000-0005-0000-0000-0000AA180000}"/>
    <cellStyle name="Normal 108 6 2 2 2" xfId="7005" xr:uid="{00000000-0005-0000-0000-0000AB180000}"/>
    <cellStyle name="Normal 108 6 2 2 2 2" xfId="16186" xr:uid="{00000000-0005-0000-0000-0000AC180000}"/>
    <cellStyle name="Normal 108 6 2 2 2 2 2" xfId="32760" xr:uid="{00000000-0005-0000-0000-0000AD180000}"/>
    <cellStyle name="Normal 108 6 2 2 2 3" xfId="24713" xr:uid="{00000000-0005-0000-0000-0000AE180000}"/>
    <cellStyle name="Normal 108 6 2 2 3" xfId="12272" xr:uid="{00000000-0005-0000-0000-0000AF180000}"/>
    <cellStyle name="Normal 108 6 2 2 3 2" xfId="28796" xr:uid="{00000000-0005-0000-0000-0000B0180000}"/>
    <cellStyle name="Normal 108 6 2 2 4" xfId="20753" xr:uid="{00000000-0005-0000-0000-0000B1180000}"/>
    <cellStyle name="Normal 108 6 2 3" xfId="7006" xr:uid="{00000000-0005-0000-0000-0000B2180000}"/>
    <cellStyle name="Normal 108 6 2 3 2" xfId="16187" xr:uid="{00000000-0005-0000-0000-0000B3180000}"/>
    <cellStyle name="Normal 108 6 2 3 2 2" xfId="32761" xr:uid="{00000000-0005-0000-0000-0000B4180000}"/>
    <cellStyle name="Normal 108 6 2 3 3" xfId="24714" xr:uid="{00000000-0005-0000-0000-0000B5180000}"/>
    <cellStyle name="Normal 108 6 2 4" xfId="12271" xr:uid="{00000000-0005-0000-0000-0000B6180000}"/>
    <cellStyle name="Normal 108 6 2 4 2" xfId="28795" xr:uid="{00000000-0005-0000-0000-0000B7180000}"/>
    <cellStyle name="Normal 108 6 2 5" xfId="20752" xr:uid="{00000000-0005-0000-0000-0000B8180000}"/>
    <cellStyle name="Normal 108 6 3" xfId="2765" xr:uid="{00000000-0005-0000-0000-0000B9180000}"/>
    <cellStyle name="Normal 108 6 3 2" xfId="7007" xr:uid="{00000000-0005-0000-0000-0000BA180000}"/>
    <cellStyle name="Normal 108 6 3 2 2" xfId="16188" xr:uid="{00000000-0005-0000-0000-0000BB180000}"/>
    <cellStyle name="Normal 108 6 3 2 2 2" xfId="32762" xr:uid="{00000000-0005-0000-0000-0000BC180000}"/>
    <cellStyle name="Normal 108 6 3 2 3" xfId="24715" xr:uid="{00000000-0005-0000-0000-0000BD180000}"/>
    <cellStyle name="Normal 108 6 3 3" xfId="12273" xr:uid="{00000000-0005-0000-0000-0000BE180000}"/>
    <cellStyle name="Normal 108 6 3 3 2" xfId="28797" xr:uid="{00000000-0005-0000-0000-0000BF180000}"/>
    <cellStyle name="Normal 108 6 3 4" xfId="20754" xr:uid="{00000000-0005-0000-0000-0000C0180000}"/>
    <cellStyle name="Normal 108 6 4" xfId="7008" xr:uid="{00000000-0005-0000-0000-0000C1180000}"/>
    <cellStyle name="Normal 108 6 4 2" xfId="16189" xr:uid="{00000000-0005-0000-0000-0000C2180000}"/>
    <cellStyle name="Normal 108 6 4 2 2" xfId="32763" xr:uid="{00000000-0005-0000-0000-0000C3180000}"/>
    <cellStyle name="Normal 108 6 4 3" xfId="24716" xr:uid="{00000000-0005-0000-0000-0000C4180000}"/>
    <cellStyle name="Normal 108 6 5" xfId="12270" xr:uid="{00000000-0005-0000-0000-0000C5180000}"/>
    <cellStyle name="Normal 108 6 5 2" xfId="28794" xr:uid="{00000000-0005-0000-0000-0000C6180000}"/>
    <cellStyle name="Normal 108 6 6" xfId="20751" xr:uid="{00000000-0005-0000-0000-0000C7180000}"/>
    <cellStyle name="Normal 108 7" xfId="2766" xr:uid="{00000000-0005-0000-0000-0000C8180000}"/>
    <cellStyle name="Normal 108 7 2" xfId="2767" xr:uid="{00000000-0005-0000-0000-0000C9180000}"/>
    <cellStyle name="Normal 108 7 2 2" xfId="7009" xr:uid="{00000000-0005-0000-0000-0000CA180000}"/>
    <cellStyle name="Normal 108 7 2 2 2" xfId="16190" xr:uid="{00000000-0005-0000-0000-0000CB180000}"/>
    <cellStyle name="Normal 108 7 2 2 2 2" xfId="32764" xr:uid="{00000000-0005-0000-0000-0000CC180000}"/>
    <cellStyle name="Normal 108 7 2 2 3" xfId="24717" xr:uid="{00000000-0005-0000-0000-0000CD180000}"/>
    <cellStyle name="Normal 108 7 2 3" xfId="12275" xr:uid="{00000000-0005-0000-0000-0000CE180000}"/>
    <cellStyle name="Normal 108 7 2 3 2" xfId="28799" xr:uid="{00000000-0005-0000-0000-0000CF180000}"/>
    <cellStyle name="Normal 108 7 2 4" xfId="20756" xr:uid="{00000000-0005-0000-0000-0000D0180000}"/>
    <cellStyle name="Normal 108 7 3" xfId="7010" xr:uid="{00000000-0005-0000-0000-0000D1180000}"/>
    <cellStyle name="Normal 108 7 3 2" xfId="16191" xr:uid="{00000000-0005-0000-0000-0000D2180000}"/>
    <cellStyle name="Normal 108 7 3 2 2" xfId="32765" xr:uid="{00000000-0005-0000-0000-0000D3180000}"/>
    <cellStyle name="Normal 108 7 3 3" xfId="24718" xr:uid="{00000000-0005-0000-0000-0000D4180000}"/>
    <cellStyle name="Normal 108 7 4" xfId="12274" xr:uid="{00000000-0005-0000-0000-0000D5180000}"/>
    <cellStyle name="Normal 108 7 4 2" xfId="28798" xr:uid="{00000000-0005-0000-0000-0000D6180000}"/>
    <cellStyle name="Normal 108 7 5" xfId="20755" xr:uid="{00000000-0005-0000-0000-0000D7180000}"/>
    <cellStyle name="Normal 108 8" xfId="2768" xr:uid="{00000000-0005-0000-0000-0000D8180000}"/>
    <cellStyle name="Normal 108 8 2" xfId="7011" xr:uid="{00000000-0005-0000-0000-0000D9180000}"/>
    <cellStyle name="Normal 108 8 2 2" xfId="16192" xr:uid="{00000000-0005-0000-0000-0000DA180000}"/>
    <cellStyle name="Normal 108 8 2 2 2" xfId="32766" xr:uid="{00000000-0005-0000-0000-0000DB180000}"/>
    <cellStyle name="Normal 108 8 2 3" xfId="24719" xr:uid="{00000000-0005-0000-0000-0000DC180000}"/>
    <cellStyle name="Normal 108 8 3" xfId="12276" xr:uid="{00000000-0005-0000-0000-0000DD180000}"/>
    <cellStyle name="Normal 108 8 3 2" xfId="28800" xr:uid="{00000000-0005-0000-0000-0000DE180000}"/>
    <cellStyle name="Normal 108 8 4" xfId="20757" xr:uid="{00000000-0005-0000-0000-0000DF180000}"/>
    <cellStyle name="Normal 108 9" xfId="7012" xr:uid="{00000000-0005-0000-0000-0000E0180000}"/>
    <cellStyle name="Normal 108 9 2" xfId="16193" xr:uid="{00000000-0005-0000-0000-0000E1180000}"/>
    <cellStyle name="Normal 108 9 2 2" xfId="32767" xr:uid="{00000000-0005-0000-0000-0000E2180000}"/>
    <cellStyle name="Normal 108 9 3" xfId="24720" xr:uid="{00000000-0005-0000-0000-0000E3180000}"/>
    <cellStyle name="Normal 109" xfId="2769" xr:uid="{00000000-0005-0000-0000-0000E4180000}"/>
    <cellStyle name="Normal 109 10" xfId="12277" xr:uid="{00000000-0005-0000-0000-0000E5180000}"/>
    <cellStyle name="Normal 109 10 2" xfId="28801" xr:uid="{00000000-0005-0000-0000-0000E6180000}"/>
    <cellStyle name="Normal 109 11" xfId="20758" xr:uid="{00000000-0005-0000-0000-0000E7180000}"/>
    <cellStyle name="Normal 109 2" xfId="2770" xr:uid="{00000000-0005-0000-0000-0000E8180000}"/>
    <cellStyle name="Normal 109 2 2" xfId="2771" xr:uid="{00000000-0005-0000-0000-0000E9180000}"/>
    <cellStyle name="Normal 109 2 3" xfId="12278" xr:uid="{00000000-0005-0000-0000-0000EA180000}"/>
    <cellStyle name="Normal 109 2 3 2" xfId="28802" xr:uid="{00000000-0005-0000-0000-0000EB180000}"/>
    <cellStyle name="Normal 109 2 4" xfId="20759" xr:uid="{00000000-0005-0000-0000-0000EC180000}"/>
    <cellStyle name="Normal 109 3" xfId="2772" xr:uid="{00000000-0005-0000-0000-0000ED180000}"/>
    <cellStyle name="Normal 109 3 2" xfId="2773" xr:uid="{00000000-0005-0000-0000-0000EE180000}"/>
    <cellStyle name="Normal 109 3 2 2" xfId="2774" xr:uid="{00000000-0005-0000-0000-0000EF180000}"/>
    <cellStyle name="Normal 109 3 2 2 2" xfId="2775" xr:uid="{00000000-0005-0000-0000-0000F0180000}"/>
    <cellStyle name="Normal 109 3 2 2 2 2" xfId="7013" xr:uid="{00000000-0005-0000-0000-0000F1180000}"/>
    <cellStyle name="Normal 109 3 2 2 2 2 2" xfId="16194" xr:uid="{00000000-0005-0000-0000-0000F2180000}"/>
    <cellStyle name="Normal 109 3 2 2 2 2 2 2" xfId="32768" xr:uid="{00000000-0005-0000-0000-0000F3180000}"/>
    <cellStyle name="Normal 109 3 2 2 2 2 3" xfId="24721" xr:uid="{00000000-0005-0000-0000-0000F4180000}"/>
    <cellStyle name="Normal 109 3 2 2 2 3" xfId="12281" xr:uid="{00000000-0005-0000-0000-0000F5180000}"/>
    <cellStyle name="Normal 109 3 2 2 2 3 2" xfId="28805" xr:uid="{00000000-0005-0000-0000-0000F6180000}"/>
    <cellStyle name="Normal 109 3 2 2 2 4" xfId="20762" xr:uid="{00000000-0005-0000-0000-0000F7180000}"/>
    <cellStyle name="Normal 109 3 2 2 3" xfId="7014" xr:uid="{00000000-0005-0000-0000-0000F8180000}"/>
    <cellStyle name="Normal 109 3 2 2 3 2" xfId="16195" xr:uid="{00000000-0005-0000-0000-0000F9180000}"/>
    <cellStyle name="Normal 109 3 2 2 3 2 2" xfId="32769" xr:uid="{00000000-0005-0000-0000-0000FA180000}"/>
    <cellStyle name="Normal 109 3 2 2 3 3" xfId="24722" xr:uid="{00000000-0005-0000-0000-0000FB180000}"/>
    <cellStyle name="Normal 109 3 2 2 4" xfId="12280" xr:uid="{00000000-0005-0000-0000-0000FC180000}"/>
    <cellStyle name="Normal 109 3 2 2 4 2" xfId="28804" xr:uid="{00000000-0005-0000-0000-0000FD180000}"/>
    <cellStyle name="Normal 109 3 2 2 5" xfId="20761" xr:uid="{00000000-0005-0000-0000-0000FE180000}"/>
    <cellStyle name="Normal 109 3 2 3" xfId="2776" xr:uid="{00000000-0005-0000-0000-0000FF180000}"/>
    <cellStyle name="Normal 109 3 2 3 2" xfId="7015" xr:uid="{00000000-0005-0000-0000-000000190000}"/>
    <cellStyle name="Normal 109 3 2 3 2 2" xfId="16196" xr:uid="{00000000-0005-0000-0000-000001190000}"/>
    <cellStyle name="Normal 109 3 2 3 2 2 2" xfId="32770" xr:uid="{00000000-0005-0000-0000-000002190000}"/>
    <cellStyle name="Normal 109 3 2 3 2 3" xfId="24723" xr:uid="{00000000-0005-0000-0000-000003190000}"/>
    <cellStyle name="Normal 109 3 2 3 3" xfId="12282" xr:uid="{00000000-0005-0000-0000-000004190000}"/>
    <cellStyle name="Normal 109 3 2 3 3 2" xfId="28806" xr:uid="{00000000-0005-0000-0000-000005190000}"/>
    <cellStyle name="Normal 109 3 2 3 4" xfId="20763" xr:uid="{00000000-0005-0000-0000-000006190000}"/>
    <cellStyle name="Normal 109 3 2 4" xfId="7016" xr:uid="{00000000-0005-0000-0000-000007190000}"/>
    <cellStyle name="Normal 109 3 2 4 2" xfId="16197" xr:uid="{00000000-0005-0000-0000-000008190000}"/>
    <cellStyle name="Normal 109 3 2 4 2 2" xfId="32771" xr:uid="{00000000-0005-0000-0000-000009190000}"/>
    <cellStyle name="Normal 109 3 2 4 3" xfId="24724" xr:uid="{00000000-0005-0000-0000-00000A190000}"/>
    <cellStyle name="Normal 109 3 2 5" xfId="12279" xr:uid="{00000000-0005-0000-0000-00000B190000}"/>
    <cellStyle name="Normal 109 3 2 5 2" xfId="28803" xr:uid="{00000000-0005-0000-0000-00000C190000}"/>
    <cellStyle name="Normal 109 3 2 6" xfId="20760" xr:uid="{00000000-0005-0000-0000-00000D190000}"/>
    <cellStyle name="Normal 109 3 3" xfId="2777" xr:uid="{00000000-0005-0000-0000-00000E190000}"/>
    <cellStyle name="Normal 109 3 3 2" xfId="2778" xr:uid="{00000000-0005-0000-0000-00000F190000}"/>
    <cellStyle name="Normal 109 3 3 2 2" xfId="7017" xr:uid="{00000000-0005-0000-0000-000010190000}"/>
    <cellStyle name="Normal 109 3 3 2 2 2" xfId="16198" xr:uid="{00000000-0005-0000-0000-000011190000}"/>
    <cellStyle name="Normal 109 3 3 2 2 2 2" xfId="32772" xr:uid="{00000000-0005-0000-0000-000012190000}"/>
    <cellStyle name="Normal 109 3 3 2 2 3" xfId="24725" xr:uid="{00000000-0005-0000-0000-000013190000}"/>
    <cellStyle name="Normal 109 3 3 2 3" xfId="12284" xr:uid="{00000000-0005-0000-0000-000014190000}"/>
    <cellStyle name="Normal 109 3 3 2 3 2" xfId="28808" xr:uid="{00000000-0005-0000-0000-000015190000}"/>
    <cellStyle name="Normal 109 3 3 2 4" xfId="20765" xr:uid="{00000000-0005-0000-0000-000016190000}"/>
    <cellStyle name="Normal 109 3 3 3" xfId="7018" xr:uid="{00000000-0005-0000-0000-000017190000}"/>
    <cellStyle name="Normal 109 3 3 3 2" xfId="16199" xr:uid="{00000000-0005-0000-0000-000018190000}"/>
    <cellStyle name="Normal 109 3 3 3 2 2" xfId="32773" xr:uid="{00000000-0005-0000-0000-000019190000}"/>
    <cellStyle name="Normal 109 3 3 3 3" xfId="24726" xr:uid="{00000000-0005-0000-0000-00001A190000}"/>
    <cellStyle name="Normal 109 3 3 4" xfId="12283" xr:uid="{00000000-0005-0000-0000-00001B190000}"/>
    <cellStyle name="Normal 109 3 3 4 2" xfId="28807" xr:uid="{00000000-0005-0000-0000-00001C190000}"/>
    <cellStyle name="Normal 109 3 3 5" xfId="20764" xr:uid="{00000000-0005-0000-0000-00001D190000}"/>
    <cellStyle name="Normal 109 3 4" xfId="2779" xr:uid="{00000000-0005-0000-0000-00001E190000}"/>
    <cellStyle name="Normal 109 3 4 2" xfId="7019" xr:uid="{00000000-0005-0000-0000-00001F190000}"/>
    <cellStyle name="Normal 109 3 4 2 2" xfId="16200" xr:uid="{00000000-0005-0000-0000-000020190000}"/>
    <cellStyle name="Normal 109 3 4 2 2 2" xfId="32774" xr:uid="{00000000-0005-0000-0000-000021190000}"/>
    <cellStyle name="Normal 109 3 4 2 3" xfId="24727" xr:uid="{00000000-0005-0000-0000-000022190000}"/>
    <cellStyle name="Normal 109 3 4 3" xfId="12285" xr:uid="{00000000-0005-0000-0000-000023190000}"/>
    <cellStyle name="Normal 109 3 4 3 2" xfId="28809" xr:uid="{00000000-0005-0000-0000-000024190000}"/>
    <cellStyle name="Normal 109 3 4 4" xfId="20766" xr:uid="{00000000-0005-0000-0000-000025190000}"/>
    <cellStyle name="Normal 109 3 5" xfId="2780" xr:uid="{00000000-0005-0000-0000-000026190000}"/>
    <cellStyle name="Normal 109 3 5 2" xfId="12286" xr:uid="{00000000-0005-0000-0000-000027190000}"/>
    <cellStyle name="Normal 109 3 5 2 2" xfId="28810" xr:uid="{00000000-0005-0000-0000-000028190000}"/>
    <cellStyle name="Normal 109 3 5 3" xfId="20767" xr:uid="{00000000-0005-0000-0000-000029190000}"/>
    <cellStyle name="Normal 109 4" xfId="2781" xr:uid="{00000000-0005-0000-0000-00002A190000}"/>
    <cellStyle name="Normal 109 4 2" xfId="2782" xr:uid="{00000000-0005-0000-0000-00002B190000}"/>
    <cellStyle name="Normal 109 4 2 2" xfId="2783" xr:uid="{00000000-0005-0000-0000-00002C190000}"/>
    <cellStyle name="Normal 109 4 2 2 2" xfId="2784" xr:uid="{00000000-0005-0000-0000-00002D190000}"/>
    <cellStyle name="Normal 109 4 2 2 2 2" xfId="7020" xr:uid="{00000000-0005-0000-0000-00002E190000}"/>
    <cellStyle name="Normal 109 4 2 2 2 2 2" xfId="16201" xr:uid="{00000000-0005-0000-0000-00002F190000}"/>
    <cellStyle name="Normal 109 4 2 2 2 2 2 2" xfId="32775" xr:uid="{00000000-0005-0000-0000-000030190000}"/>
    <cellStyle name="Normal 109 4 2 2 2 2 3" xfId="24728" xr:uid="{00000000-0005-0000-0000-000031190000}"/>
    <cellStyle name="Normal 109 4 2 2 2 3" xfId="12290" xr:uid="{00000000-0005-0000-0000-000032190000}"/>
    <cellStyle name="Normal 109 4 2 2 2 3 2" xfId="28814" xr:uid="{00000000-0005-0000-0000-000033190000}"/>
    <cellStyle name="Normal 109 4 2 2 2 4" xfId="20771" xr:uid="{00000000-0005-0000-0000-000034190000}"/>
    <cellStyle name="Normal 109 4 2 2 3" xfId="7021" xr:uid="{00000000-0005-0000-0000-000035190000}"/>
    <cellStyle name="Normal 109 4 2 2 3 2" xfId="16202" xr:uid="{00000000-0005-0000-0000-000036190000}"/>
    <cellStyle name="Normal 109 4 2 2 3 2 2" xfId="32776" xr:uid="{00000000-0005-0000-0000-000037190000}"/>
    <cellStyle name="Normal 109 4 2 2 3 3" xfId="24729" xr:uid="{00000000-0005-0000-0000-000038190000}"/>
    <cellStyle name="Normal 109 4 2 2 4" xfId="12289" xr:uid="{00000000-0005-0000-0000-000039190000}"/>
    <cellStyle name="Normal 109 4 2 2 4 2" xfId="28813" xr:uid="{00000000-0005-0000-0000-00003A190000}"/>
    <cellStyle name="Normal 109 4 2 2 5" xfId="20770" xr:uid="{00000000-0005-0000-0000-00003B190000}"/>
    <cellStyle name="Normal 109 4 2 3" xfId="2785" xr:uid="{00000000-0005-0000-0000-00003C190000}"/>
    <cellStyle name="Normal 109 4 2 3 2" xfId="7022" xr:uid="{00000000-0005-0000-0000-00003D190000}"/>
    <cellStyle name="Normal 109 4 2 3 2 2" xfId="16203" xr:uid="{00000000-0005-0000-0000-00003E190000}"/>
    <cellStyle name="Normal 109 4 2 3 2 2 2" xfId="32777" xr:uid="{00000000-0005-0000-0000-00003F190000}"/>
    <cellStyle name="Normal 109 4 2 3 2 3" xfId="24730" xr:uid="{00000000-0005-0000-0000-000040190000}"/>
    <cellStyle name="Normal 109 4 2 3 3" xfId="12291" xr:uid="{00000000-0005-0000-0000-000041190000}"/>
    <cellStyle name="Normal 109 4 2 3 3 2" xfId="28815" xr:uid="{00000000-0005-0000-0000-000042190000}"/>
    <cellStyle name="Normal 109 4 2 3 4" xfId="20772" xr:uid="{00000000-0005-0000-0000-000043190000}"/>
    <cellStyle name="Normal 109 4 2 4" xfId="7023" xr:uid="{00000000-0005-0000-0000-000044190000}"/>
    <cellStyle name="Normal 109 4 2 4 2" xfId="16204" xr:uid="{00000000-0005-0000-0000-000045190000}"/>
    <cellStyle name="Normal 109 4 2 4 2 2" xfId="32778" xr:uid="{00000000-0005-0000-0000-000046190000}"/>
    <cellStyle name="Normal 109 4 2 4 3" xfId="24731" xr:uid="{00000000-0005-0000-0000-000047190000}"/>
    <cellStyle name="Normal 109 4 2 5" xfId="12288" xr:uid="{00000000-0005-0000-0000-000048190000}"/>
    <cellStyle name="Normal 109 4 2 5 2" xfId="28812" xr:uid="{00000000-0005-0000-0000-000049190000}"/>
    <cellStyle name="Normal 109 4 2 6" xfId="20769" xr:uid="{00000000-0005-0000-0000-00004A190000}"/>
    <cellStyle name="Normal 109 4 3" xfId="2786" xr:uid="{00000000-0005-0000-0000-00004B190000}"/>
    <cellStyle name="Normal 109 4 3 2" xfId="2787" xr:uid="{00000000-0005-0000-0000-00004C190000}"/>
    <cellStyle name="Normal 109 4 3 2 2" xfId="7024" xr:uid="{00000000-0005-0000-0000-00004D190000}"/>
    <cellStyle name="Normal 109 4 3 2 2 2" xfId="16205" xr:uid="{00000000-0005-0000-0000-00004E190000}"/>
    <cellStyle name="Normal 109 4 3 2 2 2 2" xfId="32779" xr:uid="{00000000-0005-0000-0000-00004F190000}"/>
    <cellStyle name="Normal 109 4 3 2 2 3" xfId="24732" xr:uid="{00000000-0005-0000-0000-000050190000}"/>
    <cellStyle name="Normal 109 4 3 2 3" xfId="12293" xr:uid="{00000000-0005-0000-0000-000051190000}"/>
    <cellStyle name="Normal 109 4 3 2 3 2" xfId="28817" xr:uid="{00000000-0005-0000-0000-000052190000}"/>
    <cellStyle name="Normal 109 4 3 2 4" xfId="20774" xr:uid="{00000000-0005-0000-0000-000053190000}"/>
    <cellStyle name="Normal 109 4 3 3" xfId="7025" xr:uid="{00000000-0005-0000-0000-000054190000}"/>
    <cellStyle name="Normal 109 4 3 3 2" xfId="16206" xr:uid="{00000000-0005-0000-0000-000055190000}"/>
    <cellStyle name="Normal 109 4 3 3 2 2" xfId="32780" xr:uid="{00000000-0005-0000-0000-000056190000}"/>
    <cellStyle name="Normal 109 4 3 3 3" xfId="24733" xr:uid="{00000000-0005-0000-0000-000057190000}"/>
    <cellStyle name="Normal 109 4 3 4" xfId="12292" xr:uid="{00000000-0005-0000-0000-000058190000}"/>
    <cellStyle name="Normal 109 4 3 4 2" xfId="28816" xr:uid="{00000000-0005-0000-0000-000059190000}"/>
    <cellStyle name="Normal 109 4 3 5" xfId="20773" xr:uid="{00000000-0005-0000-0000-00005A190000}"/>
    <cellStyle name="Normal 109 4 4" xfId="2788" xr:uid="{00000000-0005-0000-0000-00005B190000}"/>
    <cellStyle name="Normal 109 4 4 2" xfId="7026" xr:uid="{00000000-0005-0000-0000-00005C190000}"/>
    <cellStyle name="Normal 109 4 4 2 2" xfId="16207" xr:uid="{00000000-0005-0000-0000-00005D190000}"/>
    <cellStyle name="Normal 109 4 4 2 2 2" xfId="32781" xr:uid="{00000000-0005-0000-0000-00005E190000}"/>
    <cellStyle name="Normal 109 4 4 2 3" xfId="24734" xr:uid="{00000000-0005-0000-0000-00005F190000}"/>
    <cellStyle name="Normal 109 4 4 3" xfId="12294" xr:uid="{00000000-0005-0000-0000-000060190000}"/>
    <cellStyle name="Normal 109 4 4 3 2" xfId="28818" xr:uid="{00000000-0005-0000-0000-000061190000}"/>
    <cellStyle name="Normal 109 4 4 4" xfId="20775" xr:uid="{00000000-0005-0000-0000-000062190000}"/>
    <cellStyle name="Normal 109 4 5" xfId="7027" xr:uid="{00000000-0005-0000-0000-000063190000}"/>
    <cellStyle name="Normal 109 4 5 2" xfId="16208" xr:uid="{00000000-0005-0000-0000-000064190000}"/>
    <cellStyle name="Normal 109 4 5 2 2" xfId="32782" xr:uid="{00000000-0005-0000-0000-000065190000}"/>
    <cellStyle name="Normal 109 4 5 3" xfId="24735" xr:uid="{00000000-0005-0000-0000-000066190000}"/>
    <cellStyle name="Normal 109 4 6" xfId="12287" xr:uid="{00000000-0005-0000-0000-000067190000}"/>
    <cellStyle name="Normal 109 4 6 2" xfId="28811" xr:uid="{00000000-0005-0000-0000-000068190000}"/>
    <cellStyle name="Normal 109 4 7" xfId="20768" xr:uid="{00000000-0005-0000-0000-000069190000}"/>
    <cellStyle name="Normal 109 5" xfId="2789" xr:uid="{00000000-0005-0000-0000-00006A190000}"/>
    <cellStyle name="Normal 109 5 2" xfId="2790" xr:uid="{00000000-0005-0000-0000-00006B190000}"/>
    <cellStyle name="Normal 109 5 2 2" xfId="2791" xr:uid="{00000000-0005-0000-0000-00006C190000}"/>
    <cellStyle name="Normal 109 5 2 2 2" xfId="2792" xr:uid="{00000000-0005-0000-0000-00006D190000}"/>
    <cellStyle name="Normal 109 5 2 2 2 2" xfId="7028" xr:uid="{00000000-0005-0000-0000-00006E190000}"/>
    <cellStyle name="Normal 109 5 2 2 2 2 2" xfId="16209" xr:uid="{00000000-0005-0000-0000-00006F190000}"/>
    <cellStyle name="Normal 109 5 2 2 2 2 2 2" xfId="32783" xr:uid="{00000000-0005-0000-0000-000070190000}"/>
    <cellStyle name="Normal 109 5 2 2 2 2 3" xfId="24736" xr:uid="{00000000-0005-0000-0000-000071190000}"/>
    <cellStyle name="Normal 109 5 2 2 2 3" xfId="12298" xr:uid="{00000000-0005-0000-0000-000072190000}"/>
    <cellStyle name="Normal 109 5 2 2 2 3 2" xfId="28822" xr:uid="{00000000-0005-0000-0000-000073190000}"/>
    <cellStyle name="Normal 109 5 2 2 2 4" xfId="20779" xr:uid="{00000000-0005-0000-0000-000074190000}"/>
    <cellStyle name="Normal 109 5 2 2 3" xfId="7029" xr:uid="{00000000-0005-0000-0000-000075190000}"/>
    <cellStyle name="Normal 109 5 2 2 3 2" xfId="16210" xr:uid="{00000000-0005-0000-0000-000076190000}"/>
    <cellStyle name="Normal 109 5 2 2 3 2 2" xfId="32784" xr:uid="{00000000-0005-0000-0000-000077190000}"/>
    <cellStyle name="Normal 109 5 2 2 3 3" xfId="24737" xr:uid="{00000000-0005-0000-0000-000078190000}"/>
    <cellStyle name="Normal 109 5 2 2 4" xfId="12297" xr:uid="{00000000-0005-0000-0000-000079190000}"/>
    <cellStyle name="Normal 109 5 2 2 4 2" xfId="28821" xr:uid="{00000000-0005-0000-0000-00007A190000}"/>
    <cellStyle name="Normal 109 5 2 2 5" xfId="20778" xr:uid="{00000000-0005-0000-0000-00007B190000}"/>
    <cellStyle name="Normal 109 5 2 3" xfId="2793" xr:uid="{00000000-0005-0000-0000-00007C190000}"/>
    <cellStyle name="Normal 109 5 2 3 2" xfId="7030" xr:uid="{00000000-0005-0000-0000-00007D190000}"/>
    <cellStyle name="Normal 109 5 2 3 2 2" xfId="16211" xr:uid="{00000000-0005-0000-0000-00007E190000}"/>
    <cellStyle name="Normal 109 5 2 3 2 2 2" xfId="32785" xr:uid="{00000000-0005-0000-0000-00007F190000}"/>
    <cellStyle name="Normal 109 5 2 3 2 3" xfId="24738" xr:uid="{00000000-0005-0000-0000-000080190000}"/>
    <cellStyle name="Normal 109 5 2 3 3" xfId="12299" xr:uid="{00000000-0005-0000-0000-000081190000}"/>
    <cellStyle name="Normal 109 5 2 3 3 2" xfId="28823" xr:uid="{00000000-0005-0000-0000-000082190000}"/>
    <cellStyle name="Normal 109 5 2 3 4" xfId="20780" xr:uid="{00000000-0005-0000-0000-000083190000}"/>
    <cellStyle name="Normal 109 5 2 4" xfId="7031" xr:uid="{00000000-0005-0000-0000-000084190000}"/>
    <cellStyle name="Normal 109 5 2 4 2" xfId="16212" xr:uid="{00000000-0005-0000-0000-000085190000}"/>
    <cellStyle name="Normal 109 5 2 4 2 2" xfId="32786" xr:uid="{00000000-0005-0000-0000-000086190000}"/>
    <cellStyle name="Normal 109 5 2 4 3" xfId="24739" xr:uid="{00000000-0005-0000-0000-000087190000}"/>
    <cellStyle name="Normal 109 5 2 5" xfId="12296" xr:uid="{00000000-0005-0000-0000-000088190000}"/>
    <cellStyle name="Normal 109 5 2 5 2" xfId="28820" xr:uid="{00000000-0005-0000-0000-000089190000}"/>
    <cellStyle name="Normal 109 5 2 6" xfId="20777" xr:uid="{00000000-0005-0000-0000-00008A190000}"/>
    <cellStyle name="Normal 109 5 3" xfId="2794" xr:uid="{00000000-0005-0000-0000-00008B190000}"/>
    <cellStyle name="Normal 109 5 3 2" xfId="2795" xr:uid="{00000000-0005-0000-0000-00008C190000}"/>
    <cellStyle name="Normal 109 5 3 2 2" xfId="7032" xr:uid="{00000000-0005-0000-0000-00008D190000}"/>
    <cellStyle name="Normal 109 5 3 2 2 2" xfId="16213" xr:uid="{00000000-0005-0000-0000-00008E190000}"/>
    <cellStyle name="Normal 109 5 3 2 2 2 2" xfId="32787" xr:uid="{00000000-0005-0000-0000-00008F190000}"/>
    <cellStyle name="Normal 109 5 3 2 2 3" xfId="24740" xr:uid="{00000000-0005-0000-0000-000090190000}"/>
    <cellStyle name="Normal 109 5 3 2 3" xfId="12301" xr:uid="{00000000-0005-0000-0000-000091190000}"/>
    <cellStyle name="Normal 109 5 3 2 3 2" xfId="28825" xr:uid="{00000000-0005-0000-0000-000092190000}"/>
    <cellStyle name="Normal 109 5 3 2 4" xfId="20782" xr:uid="{00000000-0005-0000-0000-000093190000}"/>
    <cellStyle name="Normal 109 5 3 3" xfId="7033" xr:uid="{00000000-0005-0000-0000-000094190000}"/>
    <cellStyle name="Normal 109 5 3 3 2" xfId="16214" xr:uid="{00000000-0005-0000-0000-000095190000}"/>
    <cellStyle name="Normal 109 5 3 3 2 2" xfId="32788" xr:uid="{00000000-0005-0000-0000-000096190000}"/>
    <cellStyle name="Normal 109 5 3 3 3" xfId="24741" xr:uid="{00000000-0005-0000-0000-000097190000}"/>
    <cellStyle name="Normal 109 5 3 4" xfId="12300" xr:uid="{00000000-0005-0000-0000-000098190000}"/>
    <cellStyle name="Normal 109 5 3 4 2" xfId="28824" xr:uid="{00000000-0005-0000-0000-000099190000}"/>
    <cellStyle name="Normal 109 5 3 5" xfId="20781" xr:uid="{00000000-0005-0000-0000-00009A190000}"/>
    <cellStyle name="Normal 109 5 4" xfId="2796" xr:uid="{00000000-0005-0000-0000-00009B190000}"/>
    <cellStyle name="Normal 109 5 4 2" xfId="7034" xr:uid="{00000000-0005-0000-0000-00009C190000}"/>
    <cellStyle name="Normal 109 5 4 2 2" xfId="16215" xr:uid="{00000000-0005-0000-0000-00009D190000}"/>
    <cellStyle name="Normal 109 5 4 2 2 2" xfId="32789" xr:uid="{00000000-0005-0000-0000-00009E190000}"/>
    <cellStyle name="Normal 109 5 4 2 3" xfId="24742" xr:uid="{00000000-0005-0000-0000-00009F190000}"/>
    <cellStyle name="Normal 109 5 4 3" xfId="12302" xr:uid="{00000000-0005-0000-0000-0000A0190000}"/>
    <cellStyle name="Normal 109 5 4 3 2" xfId="28826" xr:uid="{00000000-0005-0000-0000-0000A1190000}"/>
    <cellStyle name="Normal 109 5 4 4" xfId="20783" xr:uid="{00000000-0005-0000-0000-0000A2190000}"/>
    <cellStyle name="Normal 109 5 5" xfId="7035" xr:uid="{00000000-0005-0000-0000-0000A3190000}"/>
    <cellStyle name="Normal 109 5 5 2" xfId="16216" xr:uid="{00000000-0005-0000-0000-0000A4190000}"/>
    <cellStyle name="Normal 109 5 5 2 2" xfId="32790" xr:uid="{00000000-0005-0000-0000-0000A5190000}"/>
    <cellStyle name="Normal 109 5 5 3" xfId="24743" xr:uid="{00000000-0005-0000-0000-0000A6190000}"/>
    <cellStyle name="Normal 109 5 6" xfId="12295" xr:uid="{00000000-0005-0000-0000-0000A7190000}"/>
    <cellStyle name="Normal 109 5 6 2" xfId="28819" xr:uid="{00000000-0005-0000-0000-0000A8190000}"/>
    <cellStyle name="Normal 109 5 7" xfId="20776" xr:uid="{00000000-0005-0000-0000-0000A9190000}"/>
    <cellStyle name="Normal 109 6" xfId="2797" xr:uid="{00000000-0005-0000-0000-0000AA190000}"/>
    <cellStyle name="Normal 109 6 2" xfId="2798" xr:uid="{00000000-0005-0000-0000-0000AB190000}"/>
    <cellStyle name="Normal 109 6 2 2" xfId="2799" xr:uid="{00000000-0005-0000-0000-0000AC190000}"/>
    <cellStyle name="Normal 109 6 2 2 2" xfId="7036" xr:uid="{00000000-0005-0000-0000-0000AD190000}"/>
    <cellStyle name="Normal 109 6 2 2 2 2" xfId="16217" xr:uid="{00000000-0005-0000-0000-0000AE190000}"/>
    <cellStyle name="Normal 109 6 2 2 2 2 2" xfId="32791" xr:uid="{00000000-0005-0000-0000-0000AF190000}"/>
    <cellStyle name="Normal 109 6 2 2 2 3" xfId="24744" xr:uid="{00000000-0005-0000-0000-0000B0190000}"/>
    <cellStyle name="Normal 109 6 2 2 3" xfId="12305" xr:uid="{00000000-0005-0000-0000-0000B1190000}"/>
    <cellStyle name="Normal 109 6 2 2 3 2" xfId="28829" xr:uid="{00000000-0005-0000-0000-0000B2190000}"/>
    <cellStyle name="Normal 109 6 2 2 4" xfId="20786" xr:uid="{00000000-0005-0000-0000-0000B3190000}"/>
    <cellStyle name="Normal 109 6 2 3" xfId="7037" xr:uid="{00000000-0005-0000-0000-0000B4190000}"/>
    <cellStyle name="Normal 109 6 2 3 2" xfId="16218" xr:uid="{00000000-0005-0000-0000-0000B5190000}"/>
    <cellStyle name="Normal 109 6 2 3 2 2" xfId="32792" xr:uid="{00000000-0005-0000-0000-0000B6190000}"/>
    <cellStyle name="Normal 109 6 2 3 3" xfId="24745" xr:uid="{00000000-0005-0000-0000-0000B7190000}"/>
    <cellStyle name="Normal 109 6 2 4" xfId="12304" xr:uid="{00000000-0005-0000-0000-0000B8190000}"/>
    <cellStyle name="Normal 109 6 2 4 2" xfId="28828" xr:uid="{00000000-0005-0000-0000-0000B9190000}"/>
    <cellStyle name="Normal 109 6 2 5" xfId="20785" xr:uid="{00000000-0005-0000-0000-0000BA190000}"/>
    <cellStyle name="Normal 109 6 3" xfId="2800" xr:uid="{00000000-0005-0000-0000-0000BB190000}"/>
    <cellStyle name="Normal 109 6 3 2" xfId="7038" xr:uid="{00000000-0005-0000-0000-0000BC190000}"/>
    <cellStyle name="Normal 109 6 3 2 2" xfId="16219" xr:uid="{00000000-0005-0000-0000-0000BD190000}"/>
    <cellStyle name="Normal 109 6 3 2 2 2" xfId="32793" xr:uid="{00000000-0005-0000-0000-0000BE190000}"/>
    <cellStyle name="Normal 109 6 3 2 3" xfId="24746" xr:uid="{00000000-0005-0000-0000-0000BF190000}"/>
    <cellStyle name="Normal 109 6 3 3" xfId="12306" xr:uid="{00000000-0005-0000-0000-0000C0190000}"/>
    <cellStyle name="Normal 109 6 3 3 2" xfId="28830" xr:uid="{00000000-0005-0000-0000-0000C1190000}"/>
    <cellStyle name="Normal 109 6 3 4" xfId="20787" xr:uid="{00000000-0005-0000-0000-0000C2190000}"/>
    <cellStyle name="Normal 109 6 4" xfId="7039" xr:uid="{00000000-0005-0000-0000-0000C3190000}"/>
    <cellStyle name="Normal 109 6 4 2" xfId="16220" xr:uid="{00000000-0005-0000-0000-0000C4190000}"/>
    <cellStyle name="Normal 109 6 4 2 2" xfId="32794" xr:uid="{00000000-0005-0000-0000-0000C5190000}"/>
    <cellStyle name="Normal 109 6 4 3" xfId="24747" xr:uid="{00000000-0005-0000-0000-0000C6190000}"/>
    <cellStyle name="Normal 109 6 5" xfId="12303" xr:uid="{00000000-0005-0000-0000-0000C7190000}"/>
    <cellStyle name="Normal 109 6 5 2" xfId="28827" xr:uid="{00000000-0005-0000-0000-0000C8190000}"/>
    <cellStyle name="Normal 109 6 6" xfId="20784" xr:uid="{00000000-0005-0000-0000-0000C9190000}"/>
    <cellStyle name="Normal 109 7" xfId="2801" xr:uid="{00000000-0005-0000-0000-0000CA190000}"/>
    <cellStyle name="Normal 109 7 2" xfId="2802" xr:uid="{00000000-0005-0000-0000-0000CB190000}"/>
    <cellStyle name="Normal 109 7 2 2" xfId="7040" xr:uid="{00000000-0005-0000-0000-0000CC190000}"/>
    <cellStyle name="Normal 109 7 2 2 2" xfId="16221" xr:uid="{00000000-0005-0000-0000-0000CD190000}"/>
    <cellStyle name="Normal 109 7 2 2 2 2" xfId="32795" xr:uid="{00000000-0005-0000-0000-0000CE190000}"/>
    <cellStyle name="Normal 109 7 2 2 3" xfId="24748" xr:uid="{00000000-0005-0000-0000-0000CF190000}"/>
    <cellStyle name="Normal 109 7 2 3" xfId="12308" xr:uid="{00000000-0005-0000-0000-0000D0190000}"/>
    <cellStyle name="Normal 109 7 2 3 2" xfId="28832" xr:uid="{00000000-0005-0000-0000-0000D1190000}"/>
    <cellStyle name="Normal 109 7 2 4" xfId="20789" xr:uid="{00000000-0005-0000-0000-0000D2190000}"/>
    <cellStyle name="Normal 109 7 3" xfId="7041" xr:uid="{00000000-0005-0000-0000-0000D3190000}"/>
    <cellStyle name="Normal 109 7 3 2" xfId="16222" xr:uid="{00000000-0005-0000-0000-0000D4190000}"/>
    <cellStyle name="Normal 109 7 3 2 2" xfId="32796" xr:uid="{00000000-0005-0000-0000-0000D5190000}"/>
    <cellStyle name="Normal 109 7 3 3" xfId="24749" xr:uid="{00000000-0005-0000-0000-0000D6190000}"/>
    <cellStyle name="Normal 109 7 4" xfId="12307" xr:uid="{00000000-0005-0000-0000-0000D7190000}"/>
    <cellStyle name="Normal 109 7 4 2" xfId="28831" xr:uid="{00000000-0005-0000-0000-0000D8190000}"/>
    <cellStyle name="Normal 109 7 5" xfId="20788" xr:uid="{00000000-0005-0000-0000-0000D9190000}"/>
    <cellStyle name="Normal 109 8" xfId="2803" xr:uid="{00000000-0005-0000-0000-0000DA190000}"/>
    <cellStyle name="Normal 109 8 2" xfId="7042" xr:uid="{00000000-0005-0000-0000-0000DB190000}"/>
    <cellStyle name="Normal 109 8 2 2" xfId="16223" xr:uid="{00000000-0005-0000-0000-0000DC190000}"/>
    <cellStyle name="Normal 109 8 2 2 2" xfId="32797" xr:uid="{00000000-0005-0000-0000-0000DD190000}"/>
    <cellStyle name="Normal 109 8 2 3" xfId="24750" xr:uid="{00000000-0005-0000-0000-0000DE190000}"/>
    <cellStyle name="Normal 109 8 3" xfId="12309" xr:uid="{00000000-0005-0000-0000-0000DF190000}"/>
    <cellStyle name="Normal 109 8 3 2" xfId="28833" xr:uid="{00000000-0005-0000-0000-0000E0190000}"/>
    <cellStyle name="Normal 109 8 4" xfId="20790" xr:uid="{00000000-0005-0000-0000-0000E1190000}"/>
    <cellStyle name="Normal 109 9" xfId="7043" xr:uid="{00000000-0005-0000-0000-0000E2190000}"/>
    <cellStyle name="Normal 109 9 2" xfId="16224" xr:uid="{00000000-0005-0000-0000-0000E3190000}"/>
    <cellStyle name="Normal 109 9 2 2" xfId="32798" xr:uid="{00000000-0005-0000-0000-0000E4190000}"/>
    <cellStyle name="Normal 109 9 3" xfId="24751" xr:uid="{00000000-0005-0000-0000-0000E5190000}"/>
    <cellStyle name="Normal 11" xfId="245" xr:uid="{00000000-0005-0000-0000-0000E6190000}"/>
    <cellStyle name="Normal 11 10" xfId="11134" xr:uid="{00000000-0005-0000-0000-0000E7190000}"/>
    <cellStyle name="Normal 11 11" xfId="12310" xr:uid="{00000000-0005-0000-0000-0000E8190000}"/>
    <cellStyle name="Normal 11 11 2" xfId="28834" xr:uid="{00000000-0005-0000-0000-0000E9190000}"/>
    <cellStyle name="Normal 11 12" xfId="20791" xr:uid="{00000000-0005-0000-0000-0000EA190000}"/>
    <cellStyle name="Normal 11 2" xfId="388" xr:uid="{00000000-0005-0000-0000-0000EB190000}"/>
    <cellStyle name="Normal 11 2 2" xfId="2805" xr:uid="{00000000-0005-0000-0000-0000EC190000}"/>
    <cellStyle name="Normal 11 2 3" xfId="2804" xr:uid="{00000000-0005-0000-0000-0000ED190000}"/>
    <cellStyle name="Normal 11 2 3 2" xfId="28835" xr:uid="{00000000-0005-0000-0000-0000EE190000}"/>
    <cellStyle name="Normal 11 2 4" xfId="20792" xr:uid="{00000000-0005-0000-0000-0000EF190000}"/>
    <cellStyle name="Normal 11 2 5" xfId="444" xr:uid="{00000000-0005-0000-0000-0000F0190000}"/>
    <cellStyle name="Normal 11 3" xfId="445" xr:uid="{00000000-0005-0000-0000-0000F1190000}"/>
    <cellStyle name="Normal 11 3 2" xfId="2807" xr:uid="{00000000-0005-0000-0000-0000F2190000}"/>
    <cellStyle name="Normal 11 3 2 2" xfId="2808" xr:uid="{00000000-0005-0000-0000-0000F3190000}"/>
    <cellStyle name="Normal 11 3 2 2 2" xfId="2809" xr:uid="{00000000-0005-0000-0000-0000F4190000}"/>
    <cellStyle name="Normal 11 3 2 2 2 2" xfId="7044" xr:uid="{00000000-0005-0000-0000-0000F5190000}"/>
    <cellStyle name="Normal 11 3 2 2 2 2 2" xfId="16225" xr:uid="{00000000-0005-0000-0000-0000F6190000}"/>
    <cellStyle name="Normal 11 3 2 2 2 2 2 2" xfId="32799" xr:uid="{00000000-0005-0000-0000-0000F7190000}"/>
    <cellStyle name="Normal 11 3 2 2 2 2 3" xfId="24752" xr:uid="{00000000-0005-0000-0000-0000F8190000}"/>
    <cellStyle name="Normal 11 3 2 2 2 3" xfId="12313" xr:uid="{00000000-0005-0000-0000-0000F9190000}"/>
    <cellStyle name="Normal 11 3 2 2 2 3 2" xfId="28838" xr:uid="{00000000-0005-0000-0000-0000FA190000}"/>
    <cellStyle name="Normal 11 3 2 2 2 4" xfId="20795" xr:uid="{00000000-0005-0000-0000-0000FB190000}"/>
    <cellStyle name="Normal 11 3 2 2 3" xfId="7045" xr:uid="{00000000-0005-0000-0000-0000FC190000}"/>
    <cellStyle name="Normal 11 3 2 2 3 2" xfId="16226" xr:uid="{00000000-0005-0000-0000-0000FD190000}"/>
    <cellStyle name="Normal 11 3 2 2 3 2 2" xfId="32800" xr:uid="{00000000-0005-0000-0000-0000FE190000}"/>
    <cellStyle name="Normal 11 3 2 2 3 3" xfId="24753" xr:uid="{00000000-0005-0000-0000-0000FF190000}"/>
    <cellStyle name="Normal 11 3 2 2 4" xfId="12312" xr:uid="{00000000-0005-0000-0000-0000001A0000}"/>
    <cellStyle name="Normal 11 3 2 2 4 2" xfId="28837" xr:uid="{00000000-0005-0000-0000-0000011A0000}"/>
    <cellStyle name="Normal 11 3 2 2 5" xfId="20794" xr:uid="{00000000-0005-0000-0000-0000021A0000}"/>
    <cellStyle name="Normal 11 3 2 3" xfId="2810" xr:uid="{00000000-0005-0000-0000-0000031A0000}"/>
    <cellStyle name="Normal 11 3 2 3 2" xfId="7046" xr:uid="{00000000-0005-0000-0000-0000041A0000}"/>
    <cellStyle name="Normal 11 3 2 3 2 2" xfId="16227" xr:uid="{00000000-0005-0000-0000-0000051A0000}"/>
    <cellStyle name="Normal 11 3 2 3 2 2 2" xfId="32801" xr:uid="{00000000-0005-0000-0000-0000061A0000}"/>
    <cellStyle name="Normal 11 3 2 3 2 3" xfId="24754" xr:uid="{00000000-0005-0000-0000-0000071A0000}"/>
    <cellStyle name="Normal 11 3 2 3 3" xfId="12314" xr:uid="{00000000-0005-0000-0000-0000081A0000}"/>
    <cellStyle name="Normal 11 3 2 3 3 2" xfId="28839" xr:uid="{00000000-0005-0000-0000-0000091A0000}"/>
    <cellStyle name="Normal 11 3 2 3 4" xfId="20796" xr:uid="{00000000-0005-0000-0000-00000A1A0000}"/>
    <cellStyle name="Normal 11 3 2 4" xfId="7047" xr:uid="{00000000-0005-0000-0000-00000B1A0000}"/>
    <cellStyle name="Normal 11 3 2 4 2" xfId="16228" xr:uid="{00000000-0005-0000-0000-00000C1A0000}"/>
    <cellStyle name="Normal 11 3 2 4 2 2" xfId="32802" xr:uid="{00000000-0005-0000-0000-00000D1A0000}"/>
    <cellStyle name="Normal 11 3 2 4 3" xfId="24755" xr:uid="{00000000-0005-0000-0000-00000E1A0000}"/>
    <cellStyle name="Normal 11 3 2 5" xfId="12311" xr:uid="{00000000-0005-0000-0000-00000F1A0000}"/>
    <cellStyle name="Normal 11 3 2 5 2" xfId="28836" xr:uid="{00000000-0005-0000-0000-0000101A0000}"/>
    <cellStyle name="Normal 11 3 2 6" xfId="20793" xr:uid="{00000000-0005-0000-0000-0000111A0000}"/>
    <cellStyle name="Normal 11 3 3" xfId="2811" xr:uid="{00000000-0005-0000-0000-0000121A0000}"/>
    <cellStyle name="Normal 11 3 3 2" xfId="2812" xr:uid="{00000000-0005-0000-0000-0000131A0000}"/>
    <cellStyle name="Normal 11 3 3 2 2" xfId="7048" xr:uid="{00000000-0005-0000-0000-0000141A0000}"/>
    <cellStyle name="Normal 11 3 3 2 2 2" xfId="16229" xr:uid="{00000000-0005-0000-0000-0000151A0000}"/>
    <cellStyle name="Normal 11 3 3 2 2 2 2" xfId="32803" xr:uid="{00000000-0005-0000-0000-0000161A0000}"/>
    <cellStyle name="Normal 11 3 3 2 2 3" xfId="24756" xr:uid="{00000000-0005-0000-0000-0000171A0000}"/>
    <cellStyle name="Normal 11 3 3 2 3" xfId="12316" xr:uid="{00000000-0005-0000-0000-0000181A0000}"/>
    <cellStyle name="Normal 11 3 3 2 3 2" xfId="28841" xr:uid="{00000000-0005-0000-0000-0000191A0000}"/>
    <cellStyle name="Normal 11 3 3 2 4" xfId="20798" xr:uid="{00000000-0005-0000-0000-00001A1A0000}"/>
    <cellStyle name="Normal 11 3 3 3" xfId="7049" xr:uid="{00000000-0005-0000-0000-00001B1A0000}"/>
    <cellStyle name="Normal 11 3 3 3 2" xfId="16230" xr:uid="{00000000-0005-0000-0000-00001C1A0000}"/>
    <cellStyle name="Normal 11 3 3 3 2 2" xfId="32804" xr:uid="{00000000-0005-0000-0000-00001D1A0000}"/>
    <cellStyle name="Normal 11 3 3 3 3" xfId="24757" xr:uid="{00000000-0005-0000-0000-00001E1A0000}"/>
    <cellStyle name="Normal 11 3 3 4" xfId="12315" xr:uid="{00000000-0005-0000-0000-00001F1A0000}"/>
    <cellStyle name="Normal 11 3 3 4 2" xfId="28840" xr:uid="{00000000-0005-0000-0000-0000201A0000}"/>
    <cellStyle name="Normal 11 3 3 5" xfId="20797" xr:uid="{00000000-0005-0000-0000-0000211A0000}"/>
    <cellStyle name="Normal 11 3 4" xfId="2813" xr:uid="{00000000-0005-0000-0000-0000221A0000}"/>
    <cellStyle name="Normal 11 3 4 2" xfId="7050" xr:uid="{00000000-0005-0000-0000-0000231A0000}"/>
    <cellStyle name="Normal 11 3 4 2 2" xfId="16231" xr:uid="{00000000-0005-0000-0000-0000241A0000}"/>
    <cellStyle name="Normal 11 3 4 2 2 2" xfId="32805" xr:uid="{00000000-0005-0000-0000-0000251A0000}"/>
    <cellStyle name="Normal 11 3 4 2 3" xfId="24758" xr:uid="{00000000-0005-0000-0000-0000261A0000}"/>
    <cellStyle name="Normal 11 3 4 3" xfId="12317" xr:uid="{00000000-0005-0000-0000-0000271A0000}"/>
    <cellStyle name="Normal 11 3 4 3 2" xfId="28842" xr:uid="{00000000-0005-0000-0000-0000281A0000}"/>
    <cellStyle name="Normal 11 3 4 4" xfId="20799" xr:uid="{00000000-0005-0000-0000-0000291A0000}"/>
    <cellStyle name="Normal 11 3 5" xfId="2814" xr:uid="{00000000-0005-0000-0000-00002A1A0000}"/>
    <cellStyle name="Normal 11 3 5 2" xfId="12318" xr:uid="{00000000-0005-0000-0000-00002B1A0000}"/>
    <cellStyle name="Normal 11 3 5 2 2" xfId="28843" xr:uid="{00000000-0005-0000-0000-00002C1A0000}"/>
    <cellStyle name="Normal 11 3 5 3" xfId="20800" xr:uid="{00000000-0005-0000-0000-00002D1A0000}"/>
    <cellStyle name="Normal 11 3 6" xfId="2806" xr:uid="{00000000-0005-0000-0000-00002E1A0000}"/>
    <cellStyle name="Normal 11 4" xfId="1741" xr:uid="{00000000-0005-0000-0000-00002F1A0000}"/>
    <cellStyle name="Normal 11 4 2" xfId="2815" xr:uid="{00000000-0005-0000-0000-0000301A0000}"/>
    <cellStyle name="Normal 11 4 2 2" xfId="2816" xr:uid="{00000000-0005-0000-0000-0000311A0000}"/>
    <cellStyle name="Normal 11 4 2 2 2" xfId="2817" xr:uid="{00000000-0005-0000-0000-0000321A0000}"/>
    <cellStyle name="Normal 11 4 2 2 2 2" xfId="7051" xr:uid="{00000000-0005-0000-0000-0000331A0000}"/>
    <cellStyle name="Normal 11 4 2 2 2 2 2" xfId="16232" xr:uid="{00000000-0005-0000-0000-0000341A0000}"/>
    <cellStyle name="Normal 11 4 2 2 2 2 2 2" xfId="32806" xr:uid="{00000000-0005-0000-0000-0000351A0000}"/>
    <cellStyle name="Normal 11 4 2 2 2 2 3" xfId="24759" xr:uid="{00000000-0005-0000-0000-0000361A0000}"/>
    <cellStyle name="Normal 11 4 2 2 2 3" xfId="12322" xr:uid="{00000000-0005-0000-0000-0000371A0000}"/>
    <cellStyle name="Normal 11 4 2 2 2 3 2" xfId="28847" xr:uid="{00000000-0005-0000-0000-0000381A0000}"/>
    <cellStyle name="Normal 11 4 2 2 2 4" xfId="20804" xr:uid="{00000000-0005-0000-0000-0000391A0000}"/>
    <cellStyle name="Normal 11 4 2 2 3" xfId="7052" xr:uid="{00000000-0005-0000-0000-00003A1A0000}"/>
    <cellStyle name="Normal 11 4 2 2 3 2" xfId="16233" xr:uid="{00000000-0005-0000-0000-00003B1A0000}"/>
    <cellStyle name="Normal 11 4 2 2 3 2 2" xfId="32807" xr:uid="{00000000-0005-0000-0000-00003C1A0000}"/>
    <cellStyle name="Normal 11 4 2 2 3 3" xfId="24760" xr:uid="{00000000-0005-0000-0000-00003D1A0000}"/>
    <cellStyle name="Normal 11 4 2 2 4" xfId="12321" xr:uid="{00000000-0005-0000-0000-00003E1A0000}"/>
    <cellStyle name="Normal 11 4 2 2 4 2" xfId="28846" xr:uid="{00000000-0005-0000-0000-00003F1A0000}"/>
    <cellStyle name="Normal 11 4 2 2 5" xfId="20803" xr:uid="{00000000-0005-0000-0000-0000401A0000}"/>
    <cellStyle name="Normal 11 4 2 3" xfId="2818" xr:uid="{00000000-0005-0000-0000-0000411A0000}"/>
    <cellStyle name="Normal 11 4 2 3 2" xfId="7053" xr:uid="{00000000-0005-0000-0000-0000421A0000}"/>
    <cellStyle name="Normal 11 4 2 3 2 2" xfId="16234" xr:uid="{00000000-0005-0000-0000-0000431A0000}"/>
    <cellStyle name="Normal 11 4 2 3 2 2 2" xfId="32808" xr:uid="{00000000-0005-0000-0000-0000441A0000}"/>
    <cellStyle name="Normal 11 4 2 3 2 3" xfId="24761" xr:uid="{00000000-0005-0000-0000-0000451A0000}"/>
    <cellStyle name="Normal 11 4 2 3 3" xfId="12323" xr:uid="{00000000-0005-0000-0000-0000461A0000}"/>
    <cellStyle name="Normal 11 4 2 3 3 2" xfId="28848" xr:uid="{00000000-0005-0000-0000-0000471A0000}"/>
    <cellStyle name="Normal 11 4 2 3 4" xfId="20805" xr:uid="{00000000-0005-0000-0000-0000481A0000}"/>
    <cellStyle name="Normal 11 4 2 4" xfId="7054" xr:uid="{00000000-0005-0000-0000-0000491A0000}"/>
    <cellStyle name="Normal 11 4 2 4 2" xfId="16235" xr:uid="{00000000-0005-0000-0000-00004A1A0000}"/>
    <cellStyle name="Normal 11 4 2 4 2 2" xfId="32809" xr:uid="{00000000-0005-0000-0000-00004B1A0000}"/>
    <cellStyle name="Normal 11 4 2 4 3" xfId="24762" xr:uid="{00000000-0005-0000-0000-00004C1A0000}"/>
    <cellStyle name="Normal 11 4 2 5" xfId="12320" xr:uid="{00000000-0005-0000-0000-00004D1A0000}"/>
    <cellStyle name="Normal 11 4 2 5 2" xfId="28845" xr:uid="{00000000-0005-0000-0000-00004E1A0000}"/>
    <cellStyle name="Normal 11 4 2 6" xfId="20802" xr:uid="{00000000-0005-0000-0000-00004F1A0000}"/>
    <cellStyle name="Normal 11 4 3" xfId="2819" xr:uid="{00000000-0005-0000-0000-0000501A0000}"/>
    <cellStyle name="Normal 11 4 3 2" xfId="2820" xr:uid="{00000000-0005-0000-0000-0000511A0000}"/>
    <cellStyle name="Normal 11 4 3 2 2" xfId="7055" xr:uid="{00000000-0005-0000-0000-0000521A0000}"/>
    <cellStyle name="Normal 11 4 3 2 2 2" xfId="16236" xr:uid="{00000000-0005-0000-0000-0000531A0000}"/>
    <cellStyle name="Normal 11 4 3 2 2 2 2" xfId="32810" xr:uid="{00000000-0005-0000-0000-0000541A0000}"/>
    <cellStyle name="Normal 11 4 3 2 2 3" xfId="24763" xr:uid="{00000000-0005-0000-0000-0000551A0000}"/>
    <cellStyle name="Normal 11 4 3 2 3" xfId="12325" xr:uid="{00000000-0005-0000-0000-0000561A0000}"/>
    <cellStyle name="Normal 11 4 3 2 3 2" xfId="28850" xr:uid="{00000000-0005-0000-0000-0000571A0000}"/>
    <cellStyle name="Normal 11 4 3 2 4" xfId="20807" xr:uid="{00000000-0005-0000-0000-0000581A0000}"/>
    <cellStyle name="Normal 11 4 3 3" xfId="7056" xr:uid="{00000000-0005-0000-0000-0000591A0000}"/>
    <cellStyle name="Normal 11 4 3 3 2" xfId="16237" xr:uid="{00000000-0005-0000-0000-00005A1A0000}"/>
    <cellStyle name="Normal 11 4 3 3 2 2" xfId="32811" xr:uid="{00000000-0005-0000-0000-00005B1A0000}"/>
    <cellStyle name="Normal 11 4 3 3 3" xfId="24764" xr:uid="{00000000-0005-0000-0000-00005C1A0000}"/>
    <cellStyle name="Normal 11 4 3 4" xfId="12324" xr:uid="{00000000-0005-0000-0000-00005D1A0000}"/>
    <cellStyle name="Normal 11 4 3 4 2" xfId="28849" xr:uid="{00000000-0005-0000-0000-00005E1A0000}"/>
    <cellStyle name="Normal 11 4 3 5" xfId="20806" xr:uid="{00000000-0005-0000-0000-00005F1A0000}"/>
    <cellStyle name="Normal 11 4 4" xfId="2821" xr:uid="{00000000-0005-0000-0000-0000601A0000}"/>
    <cellStyle name="Normal 11 4 4 2" xfId="7057" xr:uid="{00000000-0005-0000-0000-0000611A0000}"/>
    <cellStyle name="Normal 11 4 4 2 2" xfId="16238" xr:uid="{00000000-0005-0000-0000-0000621A0000}"/>
    <cellStyle name="Normal 11 4 4 2 2 2" xfId="32812" xr:uid="{00000000-0005-0000-0000-0000631A0000}"/>
    <cellStyle name="Normal 11 4 4 2 3" xfId="24765" xr:uid="{00000000-0005-0000-0000-0000641A0000}"/>
    <cellStyle name="Normal 11 4 4 3" xfId="12326" xr:uid="{00000000-0005-0000-0000-0000651A0000}"/>
    <cellStyle name="Normal 11 4 4 3 2" xfId="28851" xr:uid="{00000000-0005-0000-0000-0000661A0000}"/>
    <cellStyle name="Normal 11 4 4 4" xfId="20808" xr:uid="{00000000-0005-0000-0000-0000671A0000}"/>
    <cellStyle name="Normal 11 4 5" xfId="7058" xr:uid="{00000000-0005-0000-0000-0000681A0000}"/>
    <cellStyle name="Normal 11 4 5 2" xfId="16239" xr:uid="{00000000-0005-0000-0000-0000691A0000}"/>
    <cellStyle name="Normal 11 4 5 2 2" xfId="32813" xr:uid="{00000000-0005-0000-0000-00006A1A0000}"/>
    <cellStyle name="Normal 11 4 5 3" xfId="24766" xr:uid="{00000000-0005-0000-0000-00006B1A0000}"/>
    <cellStyle name="Normal 11 4 6" xfId="12319" xr:uid="{00000000-0005-0000-0000-00006C1A0000}"/>
    <cellStyle name="Normal 11 4 6 2" xfId="28844" xr:uid="{00000000-0005-0000-0000-00006D1A0000}"/>
    <cellStyle name="Normal 11 4 7" xfId="20801" xr:uid="{00000000-0005-0000-0000-00006E1A0000}"/>
    <cellStyle name="Normal 11 5" xfId="2822" xr:uid="{00000000-0005-0000-0000-00006F1A0000}"/>
    <cellStyle name="Normal 11 5 2" xfId="2823" xr:uid="{00000000-0005-0000-0000-0000701A0000}"/>
    <cellStyle name="Normal 11 5 2 2" xfId="2824" xr:uid="{00000000-0005-0000-0000-0000711A0000}"/>
    <cellStyle name="Normal 11 5 2 2 2" xfId="2825" xr:uid="{00000000-0005-0000-0000-0000721A0000}"/>
    <cellStyle name="Normal 11 5 2 2 2 2" xfId="7059" xr:uid="{00000000-0005-0000-0000-0000731A0000}"/>
    <cellStyle name="Normal 11 5 2 2 2 2 2" xfId="16240" xr:uid="{00000000-0005-0000-0000-0000741A0000}"/>
    <cellStyle name="Normal 11 5 2 2 2 2 2 2" xfId="32814" xr:uid="{00000000-0005-0000-0000-0000751A0000}"/>
    <cellStyle name="Normal 11 5 2 2 2 2 3" xfId="24767" xr:uid="{00000000-0005-0000-0000-0000761A0000}"/>
    <cellStyle name="Normal 11 5 2 2 2 3" xfId="12330" xr:uid="{00000000-0005-0000-0000-0000771A0000}"/>
    <cellStyle name="Normal 11 5 2 2 2 3 2" xfId="28855" xr:uid="{00000000-0005-0000-0000-0000781A0000}"/>
    <cellStyle name="Normal 11 5 2 2 2 4" xfId="20812" xr:uid="{00000000-0005-0000-0000-0000791A0000}"/>
    <cellStyle name="Normal 11 5 2 2 3" xfId="7060" xr:uid="{00000000-0005-0000-0000-00007A1A0000}"/>
    <cellStyle name="Normal 11 5 2 2 3 2" xfId="16241" xr:uid="{00000000-0005-0000-0000-00007B1A0000}"/>
    <cellStyle name="Normal 11 5 2 2 3 2 2" xfId="32815" xr:uid="{00000000-0005-0000-0000-00007C1A0000}"/>
    <cellStyle name="Normal 11 5 2 2 3 3" xfId="24768" xr:uid="{00000000-0005-0000-0000-00007D1A0000}"/>
    <cellStyle name="Normal 11 5 2 2 4" xfId="12329" xr:uid="{00000000-0005-0000-0000-00007E1A0000}"/>
    <cellStyle name="Normal 11 5 2 2 4 2" xfId="28854" xr:uid="{00000000-0005-0000-0000-00007F1A0000}"/>
    <cellStyle name="Normal 11 5 2 2 5" xfId="20811" xr:uid="{00000000-0005-0000-0000-0000801A0000}"/>
    <cellStyle name="Normal 11 5 2 3" xfId="2826" xr:uid="{00000000-0005-0000-0000-0000811A0000}"/>
    <cellStyle name="Normal 11 5 2 3 2" xfId="7061" xr:uid="{00000000-0005-0000-0000-0000821A0000}"/>
    <cellStyle name="Normal 11 5 2 3 2 2" xfId="16242" xr:uid="{00000000-0005-0000-0000-0000831A0000}"/>
    <cellStyle name="Normal 11 5 2 3 2 2 2" xfId="32816" xr:uid="{00000000-0005-0000-0000-0000841A0000}"/>
    <cellStyle name="Normal 11 5 2 3 2 3" xfId="24769" xr:uid="{00000000-0005-0000-0000-0000851A0000}"/>
    <cellStyle name="Normal 11 5 2 3 3" xfId="12331" xr:uid="{00000000-0005-0000-0000-0000861A0000}"/>
    <cellStyle name="Normal 11 5 2 3 3 2" xfId="28856" xr:uid="{00000000-0005-0000-0000-0000871A0000}"/>
    <cellStyle name="Normal 11 5 2 3 4" xfId="20813" xr:uid="{00000000-0005-0000-0000-0000881A0000}"/>
    <cellStyle name="Normal 11 5 2 4" xfId="7062" xr:uid="{00000000-0005-0000-0000-0000891A0000}"/>
    <cellStyle name="Normal 11 5 2 4 2" xfId="16243" xr:uid="{00000000-0005-0000-0000-00008A1A0000}"/>
    <cellStyle name="Normal 11 5 2 4 2 2" xfId="32817" xr:uid="{00000000-0005-0000-0000-00008B1A0000}"/>
    <cellStyle name="Normal 11 5 2 4 3" xfId="24770" xr:uid="{00000000-0005-0000-0000-00008C1A0000}"/>
    <cellStyle name="Normal 11 5 2 5" xfId="12328" xr:uid="{00000000-0005-0000-0000-00008D1A0000}"/>
    <cellStyle name="Normal 11 5 2 5 2" xfId="28853" xr:uid="{00000000-0005-0000-0000-00008E1A0000}"/>
    <cellStyle name="Normal 11 5 2 6" xfId="20810" xr:uid="{00000000-0005-0000-0000-00008F1A0000}"/>
    <cellStyle name="Normal 11 5 3" xfId="2827" xr:uid="{00000000-0005-0000-0000-0000901A0000}"/>
    <cellStyle name="Normal 11 5 3 2" xfId="2828" xr:uid="{00000000-0005-0000-0000-0000911A0000}"/>
    <cellStyle name="Normal 11 5 3 2 2" xfId="7063" xr:uid="{00000000-0005-0000-0000-0000921A0000}"/>
    <cellStyle name="Normal 11 5 3 2 2 2" xfId="16244" xr:uid="{00000000-0005-0000-0000-0000931A0000}"/>
    <cellStyle name="Normal 11 5 3 2 2 2 2" xfId="32818" xr:uid="{00000000-0005-0000-0000-0000941A0000}"/>
    <cellStyle name="Normal 11 5 3 2 2 3" xfId="24771" xr:uid="{00000000-0005-0000-0000-0000951A0000}"/>
    <cellStyle name="Normal 11 5 3 2 3" xfId="12333" xr:uid="{00000000-0005-0000-0000-0000961A0000}"/>
    <cellStyle name="Normal 11 5 3 2 3 2" xfId="28858" xr:uid="{00000000-0005-0000-0000-0000971A0000}"/>
    <cellStyle name="Normal 11 5 3 2 4" xfId="20815" xr:uid="{00000000-0005-0000-0000-0000981A0000}"/>
    <cellStyle name="Normal 11 5 3 3" xfId="7064" xr:uid="{00000000-0005-0000-0000-0000991A0000}"/>
    <cellStyle name="Normal 11 5 3 3 2" xfId="16245" xr:uid="{00000000-0005-0000-0000-00009A1A0000}"/>
    <cellStyle name="Normal 11 5 3 3 2 2" xfId="32819" xr:uid="{00000000-0005-0000-0000-00009B1A0000}"/>
    <cellStyle name="Normal 11 5 3 3 3" xfId="24772" xr:uid="{00000000-0005-0000-0000-00009C1A0000}"/>
    <cellStyle name="Normal 11 5 3 4" xfId="12332" xr:uid="{00000000-0005-0000-0000-00009D1A0000}"/>
    <cellStyle name="Normal 11 5 3 4 2" xfId="28857" xr:uid="{00000000-0005-0000-0000-00009E1A0000}"/>
    <cellStyle name="Normal 11 5 3 5" xfId="20814" xr:uid="{00000000-0005-0000-0000-00009F1A0000}"/>
    <cellStyle name="Normal 11 5 4" xfId="2829" xr:uid="{00000000-0005-0000-0000-0000A01A0000}"/>
    <cellStyle name="Normal 11 5 4 2" xfId="7065" xr:uid="{00000000-0005-0000-0000-0000A11A0000}"/>
    <cellStyle name="Normal 11 5 4 2 2" xfId="16246" xr:uid="{00000000-0005-0000-0000-0000A21A0000}"/>
    <cellStyle name="Normal 11 5 4 2 2 2" xfId="32820" xr:uid="{00000000-0005-0000-0000-0000A31A0000}"/>
    <cellStyle name="Normal 11 5 4 2 3" xfId="24773" xr:uid="{00000000-0005-0000-0000-0000A41A0000}"/>
    <cellStyle name="Normal 11 5 4 3" xfId="12334" xr:uid="{00000000-0005-0000-0000-0000A51A0000}"/>
    <cellStyle name="Normal 11 5 4 3 2" xfId="28859" xr:uid="{00000000-0005-0000-0000-0000A61A0000}"/>
    <cellStyle name="Normal 11 5 4 4" xfId="20816" xr:uid="{00000000-0005-0000-0000-0000A71A0000}"/>
    <cellStyle name="Normal 11 5 5" xfId="7066" xr:uid="{00000000-0005-0000-0000-0000A81A0000}"/>
    <cellStyle name="Normal 11 5 5 2" xfId="16247" xr:uid="{00000000-0005-0000-0000-0000A91A0000}"/>
    <cellStyle name="Normal 11 5 5 2 2" xfId="32821" xr:uid="{00000000-0005-0000-0000-0000AA1A0000}"/>
    <cellStyle name="Normal 11 5 5 3" xfId="24774" xr:uid="{00000000-0005-0000-0000-0000AB1A0000}"/>
    <cellStyle name="Normal 11 5 6" xfId="12327" xr:uid="{00000000-0005-0000-0000-0000AC1A0000}"/>
    <cellStyle name="Normal 11 5 6 2" xfId="28852" xr:uid="{00000000-0005-0000-0000-0000AD1A0000}"/>
    <cellStyle name="Normal 11 5 7" xfId="20809" xr:uid="{00000000-0005-0000-0000-0000AE1A0000}"/>
    <cellStyle name="Normal 11 6" xfId="2830" xr:uid="{00000000-0005-0000-0000-0000AF1A0000}"/>
    <cellStyle name="Normal 11 6 2" xfId="2831" xr:uid="{00000000-0005-0000-0000-0000B01A0000}"/>
    <cellStyle name="Normal 11 6 2 2" xfId="2832" xr:uid="{00000000-0005-0000-0000-0000B11A0000}"/>
    <cellStyle name="Normal 11 6 2 2 2" xfId="7067" xr:uid="{00000000-0005-0000-0000-0000B21A0000}"/>
    <cellStyle name="Normal 11 6 2 2 2 2" xfId="16248" xr:uid="{00000000-0005-0000-0000-0000B31A0000}"/>
    <cellStyle name="Normal 11 6 2 2 2 2 2" xfId="32822" xr:uid="{00000000-0005-0000-0000-0000B41A0000}"/>
    <cellStyle name="Normal 11 6 2 2 2 3" xfId="24775" xr:uid="{00000000-0005-0000-0000-0000B51A0000}"/>
    <cellStyle name="Normal 11 6 2 2 3" xfId="12337" xr:uid="{00000000-0005-0000-0000-0000B61A0000}"/>
    <cellStyle name="Normal 11 6 2 2 3 2" xfId="28862" xr:uid="{00000000-0005-0000-0000-0000B71A0000}"/>
    <cellStyle name="Normal 11 6 2 2 4" xfId="20819" xr:uid="{00000000-0005-0000-0000-0000B81A0000}"/>
    <cellStyle name="Normal 11 6 2 3" xfId="7068" xr:uid="{00000000-0005-0000-0000-0000B91A0000}"/>
    <cellStyle name="Normal 11 6 2 3 2" xfId="16249" xr:uid="{00000000-0005-0000-0000-0000BA1A0000}"/>
    <cellStyle name="Normal 11 6 2 3 2 2" xfId="32823" xr:uid="{00000000-0005-0000-0000-0000BB1A0000}"/>
    <cellStyle name="Normal 11 6 2 3 3" xfId="24776" xr:uid="{00000000-0005-0000-0000-0000BC1A0000}"/>
    <cellStyle name="Normal 11 6 2 4" xfId="12336" xr:uid="{00000000-0005-0000-0000-0000BD1A0000}"/>
    <cellStyle name="Normal 11 6 2 4 2" xfId="28861" xr:uid="{00000000-0005-0000-0000-0000BE1A0000}"/>
    <cellStyle name="Normal 11 6 2 5" xfId="20818" xr:uid="{00000000-0005-0000-0000-0000BF1A0000}"/>
    <cellStyle name="Normal 11 6 3" xfId="2833" xr:uid="{00000000-0005-0000-0000-0000C01A0000}"/>
    <cellStyle name="Normal 11 6 3 2" xfId="7069" xr:uid="{00000000-0005-0000-0000-0000C11A0000}"/>
    <cellStyle name="Normal 11 6 3 2 2" xfId="16250" xr:uid="{00000000-0005-0000-0000-0000C21A0000}"/>
    <cellStyle name="Normal 11 6 3 2 2 2" xfId="32824" xr:uid="{00000000-0005-0000-0000-0000C31A0000}"/>
    <cellStyle name="Normal 11 6 3 2 3" xfId="24777" xr:uid="{00000000-0005-0000-0000-0000C41A0000}"/>
    <cellStyle name="Normal 11 6 3 3" xfId="12338" xr:uid="{00000000-0005-0000-0000-0000C51A0000}"/>
    <cellStyle name="Normal 11 6 3 3 2" xfId="28863" xr:uid="{00000000-0005-0000-0000-0000C61A0000}"/>
    <cellStyle name="Normal 11 6 3 4" xfId="20820" xr:uid="{00000000-0005-0000-0000-0000C71A0000}"/>
    <cellStyle name="Normal 11 6 4" xfId="7070" xr:uid="{00000000-0005-0000-0000-0000C81A0000}"/>
    <cellStyle name="Normal 11 6 4 2" xfId="16251" xr:uid="{00000000-0005-0000-0000-0000C91A0000}"/>
    <cellStyle name="Normal 11 6 4 2 2" xfId="32825" xr:uid="{00000000-0005-0000-0000-0000CA1A0000}"/>
    <cellStyle name="Normal 11 6 4 3" xfId="24778" xr:uid="{00000000-0005-0000-0000-0000CB1A0000}"/>
    <cellStyle name="Normal 11 6 5" xfId="12335" xr:uid="{00000000-0005-0000-0000-0000CC1A0000}"/>
    <cellStyle name="Normal 11 6 5 2" xfId="28860" xr:uid="{00000000-0005-0000-0000-0000CD1A0000}"/>
    <cellStyle name="Normal 11 6 6" xfId="20817" xr:uid="{00000000-0005-0000-0000-0000CE1A0000}"/>
    <cellStyle name="Normal 11 7" xfId="2834" xr:uid="{00000000-0005-0000-0000-0000CF1A0000}"/>
    <cellStyle name="Normal 11 7 2" xfId="2835" xr:uid="{00000000-0005-0000-0000-0000D01A0000}"/>
    <cellStyle name="Normal 11 7 2 2" xfId="7071" xr:uid="{00000000-0005-0000-0000-0000D11A0000}"/>
    <cellStyle name="Normal 11 7 2 2 2" xfId="16252" xr:uid="{00000000-0005-0000-0000-0000D21A0000}"/>
    <cellStyle name="Normal 11 7 2 2 2 2" xfId="32826" xr:uid="{00000000-0005-0000-0000-0000D31A0000}"/>
    <cellStyle name="Normal 11 7 2 2 3" xfId="24779" xr:uid="{00000000-0005-0000-0000-0000D41A0000}"/>
    <cellStyle name="Normal 11 7 2 3" xfId="12340" xr:uid="{00000000-0005-0000-0000-0000D51A0000}"/>
    <cellStyle name="Normal 11 7 2 3 2" xfId="28865" xr:uid="{00000000-0005-0000-0000-0000D61A0000}"/>
    <cellStyle name="Normal 11 7 2 4" xfId="20822" xr:uid="{00000000-0005-0000-0000-0000D71A0000}"/>
    <cellStyle name="Normal 11 7 3" xfId="7072" xr:uid="{00000000-0005-0000-0000-0000D81A0000}"/>
    <cellStyle name="Normal 11 7 3 2" xfId="16253" xr:uid="{00000000-0005-0000-0000-0000D91A0000}"/>
    <cellStyle name="Normal 11 7 3 2 2" xfId="32827" xr:uid="{00000000-0005-0000-0000-0000DA1A0000}"/>
    <cellStyle name="Normal 11 7 3 3" xfId="24780" xr:uid="{00000000-0005-0000-0000-0000DB1A0000}"/>
    <cellStyle name="Normal 11 7 4" xfId="12339" xr:uid="{00000000-0005-0000-0000-0000DC1A0000}"/>
    <cellStyle name="Normal 11 7 4 2" xfId="28864" xr:uid="{00000000-0005-0000-0000-0000DD1A0000}"/>
    <cellStyle name="Normal 11 7 5" xfId="20821" xr:uid="{00000000-0005-0000-0000-0000DE1A0000}"/>
    <cellStyle name="Normal 11 8" xfId="2836" xr:uid="{00000000-0005-0000-0000-0000DF1A0000}"/>
    <cellStyle name="Normal 11 8 2" xfId="7073" xr:uid="{00000000-0005-0000-0000-0000E01A0000}"/>
    <cellStyle name="Normal 11 8 2 2" xfId="16254" xr:uid="{00000000-0005-0000-0000-0000E11A0000}"/>
    <cellStyle name="Normal 11 8 2 2 2" xfId="32828" xr:uid="{00000000-0005-0000-0000-0000E21A0000}"/>
    <cellStyle name="Normal 11 8 2 3" xfId="24781" xr:uid="{00000000-0005-0000-0000-0000E31A0000}"/>
    <cellStyle name="Normal 11 8 3" xfId="12341" xr:uid="{00000000-0005-0000-0000-0000E41A0000}"/>
    <cellStyle name="Normal 11 8 3 2" xfId="28866" xr:uid="{00000000-0005-0000-0000-0000E51A0000}"/>
    <cellStyle name="Normal 11 8 4" xfId="20823" xr:uid="{00000000-0005-0000-0000-0000E61A0000}"/>
    <cellStyle name="Normal 11 9" xfId="7074" xr:uid="{00000000-0005-0000-0000-0000E71A0000}"/>
    <cellStyle name="Normal 11 9 2" xfId="16255" xr:uid="{00000000-0005-0000-0000-0000E81A0000}"/>
    <cellStyle name="Normal 11 9 2 2" xfId="32829" xr:uid="{00000000-0005-0000-0000-0000E91A0000}"/>
    <cellStyle name="Normal 11 9 3" xfId="24782" xr:uid="{00000000-0005-0000-0000-0000EA1A0000}"/>
    <cellStyle name="Normal 110" xfId="2837" xr:uid="{00000000-0005-0000-0000-0000EB1A0000}"/>
    <cellStyle name="Normal 110 10" xfId="12342" xr:uid="{00000000-0005-0000-0000-0000EC1A0000}"/>
    <cellStyle name="Normal 110 10 2" xfId="28867" xr:uid="{00000000-0005-0000-0000-0000ED1A0000}"/>
    <cellStyle name="Normal 110 11" xfId="20824" xr:uid="{00000000-0005-0000-0000-0000EE1A0000}"/>
    <cellStyle name="Normal 110 2" xfId="2838" xr:uid="{00000000-0005-0000-0000-0000EF1A0000}"/>
    <cellStyle name="Normal 110 2 2" xfId="2839" xr:uid="{00000000-0005-0000-0000-0000F01A0000}"/>
    <cellStyle name="Normal 110 2 3" xfId="12343" xr:uid="{00000000-0005-0000-0000-0000F11A0000}"/>
    <cellStyle name="Normal 110 2 3 2" xfId="28868" xr:uid="{00000000-0005-0000-0000-0000F21A0000}"/>
    <cellStyle name="Normal 110 2 4" xfId="20825" xr:uid="{00000000-0005-0000-0000-0000F31A0000}"/>
    <cellStyle name="Normal 110 3" xfId="2840" xr:uid="{00000000-0005-0000-0000-0000F41A0000}"/>
    <cellStyle name="Normal 110 3 2" xfId="2841" xr:uid="{00000000-0005-0000-0000-0000F51A0000}"/>
    <cellStyle name="Normal 110 3 2 2" xfId="2842" xr:uid="{00000000-0005-0000-0000-0000F61A0000}"/>
    <cellStyle name="Normal 110 3 2 2 2" xfId="2843" xr:uid="{00000000-0005-0000-0000-0000F71A0000}"/>
    <cellStyle name="Normal 110 3 2 2 2 2" xfId="7075" xr:uid="{00000000-0005-0000-0000-0000F81A0000}"/>
    <cellStyle name="Normal 110 3 2 2 2 2 2" xfId="16256" xr:uid="{00000000-0005-0000-0000-0000F91A0000}"/>
    <cellStyle name="Normal 110 3 2 2 2 2 2 2" xfId="32830" xr:uid="{00000000-0005-0000-0000-0000FA1A0000}"/>
    <cellStyle name="Normal 110 3 2 2 2 2 3" xfId="24783" xr:uid="{00000000-0005-0000-0000-0000FB1A0000}"/>
    <cellStyle name="Normal 110 3 2 2 2 3" xfId="12346" xr:uid="{00000000-0005-0000-0000-0000FC1A0000}"/>
    <cellStyle name="Normal 110 3 2 2 2 3 2" xfId="28871" xr:uid="{00000000-0005-0000-0000-0000FD1A0000}"/>
    <cellStyle name="Normal 110 3 2 2 2 4" xfId="20828" xr:uid="{00000000-0005-0000-0000-0000FE1A0000}"/>
    <cellStyle name="Normal 110 3 2 2 3" xfId="7076" xr:uid="{00000000-0005-0000-0000-0000FF1A0000}"/>
    <cellStyle name="Normal 110 3 2 2 3 2" xfId="16257" xr:uid="{00000000-0005-0000-0000-0000001B0000}"/>
    <cellStyle name="Normal 110 3 2 2 3 2 2" xfId="32831" xr:uid="{00000000-0005-0000-0000-0000011B0000}"/>
    <cellStyle name="Normal 110 3 2 2 3 3" xfId="24784" xr:uid="{00000000-0005-0000-0000-0000021B0000}"/>
    <cellStyle name="Normal 110 3 2 2 4" xfId="12345" xr:uid="{00000000-0005-0000-0000-0000031B0000}"/>
    <cellStyle name="Normal 110 3 2 2 4 2" xfId="28870" xr:uid="{00000000-0005-0000-0000-0000041B0000}"/>
    <cellStyle name="Normal 110 3 2 2 5" xfId="20827" xr:uid="{00000000-0005-0000-0000-0000051B0000}"/>
    <cellStyle name="Normal 110 3 2 3" xfId="2844" xr:uid="{00000000-0005-0000-0000-0000061B0000}"/>
    <cellStyle name="Normal 110 3 2 3 2" xfId="7077" xr:uid="{00000000-0005-0000-0000-0000071B0000}"/>
    <cellStyle name="Normal 110 3 2 3 2 2" xfId="16258" xr:uid="{00000000-0005-0000-0000-0000081B0000}"/>
    <cellStyle name="Normal 110 3 2 3 2 2 2" xfId="32832" xr:uid="{00000000-0005-0000-0000-0000091B0000}"/>
    <cellStyle name="Normal 110 3 2 3 2 3" xfId="24785" xr:uid="{00000000-0005-0000-0000-00000A1B0000}"/>
    <cellStyle name="Normal 110 3 2 3 3" xfId="12347" xr:uid="{00000000-0005-0000-0000-00000B1B0000}"/>
    <cellStyle name="Normal 110 3 2 3 3 2" xfId="28872" xr:uid="{00000000-0005-0000-0000-00000C1B0000}"/>
    <cellStyle name="Normal 110 3 2 3 4" xfId="20829" xr:uid="{00000000-0005-0000-0000-00000D1B0000}"/>
    <cellStyle name="Normal 110 3 2 4" xfId="7078" xr:uid="{00000000-0005-0000-0000-00000E1B0000}"/>
    <cellStyle name="Normal 110 3 2 4 2" xfId="16259" xr:uid="{00000000-0005-0000-0000-00000F1B0000}"/>
    <cellStyle name="Normal 110 3 2 4 2 2" xfId="32833" xr:uid="{00000000-0005-0000-0000-0000101B0000}"/>
    <cellStyle name="Normal 110 3 2 4 3" xfId="24786" xr:uid="{00000000-0005-0000-0000-0000111B0000}"/>
    <cellStyle name="Normal 110 3 2 5" xfId="12344" xr:uid="{00000000-0005-0000-0000-0000121B0000}"/>
    <cellStyle name="Normal 110 3 2 5 2" xfId="28869" xr:uid="{00000000-0005-0000-0000-0000131B0000}"/>
    <cellStyle name="Normal 110 3 2 6" xfId="20826" xr:uid="{00000000-0005-0000-0000-0000141B0000}"/>
    <cellStyle name="Normal 110 3 3" xfId="2845" xr:uid="{00000000-0005-0000-0000-0000151B0000}"/>
    <cellStyle name="Normal 110 3 3 2" xfId="2846" xr:uid="{00000000-0005-0000-0000-0000161B0000}"/>
    <cellStyle name="Normal 110 3 3 2 2" xfId="7079" xr:uid="{00000000-0005-0000-0000-0000171B0000}"/>
    <cellStyle name="Normal 110 3 3 2 2 2" xfId="16260" xr:uid="{00000000-0005-0000-0000-0000181B0000}"/>
    <cellStyle name="Normal 110 3 3 2 2 2 2" xfId="32834" xr:uid="{00000000-0005-0000-0000-0000191B0000}"/>
    <cellStyle name="Normal 110 3 3 2 2 3" xfId="24787" xr:uid="{00000000-0005-0000-0000-00001A1B0000}"/>
    <cellStyle name="Normal 110 3 3 2 3" xfId="12349" xr:uid="{00000000-0005-0000-0000-00001B1B0000}"/>
    <cellStyle name="Normal 110 3 3 2 3 2" xfId="28874" xr:uid="{00000000-0005-0000-0000-00001C1B0000}"/>
    <cellStyle name="Normal 110 3 3 2 4" xfId="20831" xr:uid="{00000000-0005-0000-0000-00001D1B0000}"/>
    <cellStyle name="Normal 110 3 3 3" xfId="7080" xr:uid="{00000000-0005-0000-0000-00001E1B0000}"/>
    <cellStyle name="Normal 110 3 3 3 2" xfId="16261" xr:uid="{00000000-0005-0000-0000-00001F1B0000}"/>
    <cellStyle name="Normal 110 3 3 3 2 2" xfId="32835" xr:uid="{00000000-0005-0000-0000-0000201B0000}"/>
    <cellStyle name="Normal 110 3 3 3 3" xfId="24788" xr:uid="{00000000-0005-0000-0000-0000211B0000}"/>
    <cellStyle name="Normal 110 3 3 4" xfId="12348" xr:uid="{00000000-0005-0000-0000-0000221B0000}"/>
    <cellStyle name="Normal 110 3 3 4 2" xfId="28873" xr:uid="{00000000-0005-0000-0000-0000231B0000}"/>
    <cellStyle name="Normal 110 3 3 5" xfId="20830" xr:uid="{00000000-0005-0000-0000-0000241B0000}"/>
    <cellStyle name="Normal 110 3 4" xfId="2847" xr:uid="{00000000-0005-0000-0000-0000251B0000}"/>
    <cellStyle name="Normal 110 3 4 2" xfId="7081" xr:uid="{00000000-0005-0000-0000-0000261B0000}"/>
    <cellStyle name="Normal 110 3 4 2 2" xfId="16262" xr:uid="{00000000-0005-0000-0000-0000271B0000}"/>
    <cellStyle name="Normal 110 3 4 2 2 2" xfId="32836" xr:uid="{00000000-0005-0000-0000-0000281B0000}"/>
    <cellStyle name="Normal 110 3 4 2 3" xfId="24789" xr:uid="{00000000-0005-0000-0000-0000291B0000}"/>
    <cellStyle name="Normal 110 3 4 3" xfId="12350" xr:uid="{00000000-0005-0000-0000-00002A1B0000}"/>
    <cellStyle name="Normal 110 3 4 3 2" xfId="28875" xr:uid="{00000000-0005-0000-0000-00002B1B0000}"/>
    <cellStyle name="Normal 110 3 4 4" xfId="20832" xr:uid="{00000000-0005-0000-0000-00002C1B0000}"/>
    <cellStyle name="Normal 110 3 5" xfId="2848" xr:uid="{00000000-0005-0000-0000-00002D1B0000}"/>
    <cellStyle name="Normal 110 3 5 2" xfId="12351" xr:uid="{00000000-0005-0000-0000-00002E1B0000}"/>
    <cellStyle name="Normal 110 3 5 2 2" xfId="28876" xr:uid="{00000000-0005-0000-0000-00002F1B0000}"/>
    <cellStyle name="Normal 110 3 5 3" xfId="20833" xr:uid="{00000000-0005-0000-0000-0000301B0000}"/>
    <cellStyle name="Normal 110 4" xfId="2849" xr:uid="{00000000-0005-0000-0000-0000311B0000}"/>
    <cellStyle name="Normal 110 4 2" xfId="2850" xr:uid="{00000000-0005-0000-0000-0000321B0000}"/>
    <cellStyle name="Normal 110 4 2 2" xfId="2851" xr:uid="{00000000-0005-0000-0000-0000331B0000}"/>
    <cellStyle name="Normal 110 4 2 2 2" xfId="2852" xr:uid="{00000000-0005-0000-0000-0000341B0000}"/>
    <cellStyle name="Normal 110 4 2 2 2 2" xfId="7082" xr:uid="{00000000-0005-0000-0000-0000351B0000}"/>
    <cellStyle name="Normal 110 4 2 2 2 2 2" xfId="16263" xr:uid="{00000000-0005-0000-0000-0000361B0000}"/>
    <cellStyle name="Normal 110 4 2 2 2 2 2 2" xfId="32837" xr:uid="{00000000-0005-0000-0000-0000371B0000}"/>
    <cellStyle name="Normal 110 4 2 2 2 2 3" xfId="24790" xr:uid="{00000000-0005-0000-0000-0000381B0000}"/>
    <cellStyle name="Normal 110 4 2 2 2 3" xfId="12355" xr:uid="{00000000-0005-0000-0000-0000391B0000}"/>
    <cellStyle name="Normal 110 4 2 2 2 3 2" xfId="28880" xr:uid="{00000000-0005-0000-0000-00003A1B0000}"/>
    <cellStyle name="Normal 110 4 2 2 2 4" xfId="20837" xr:uid="{00000000-0005-0000-0000-00003B1B0000}"/>
    <cellStyle name="Normal 110 4 2 2 3" xfId="7083" xr:uid="{00000000-0005-0000-0000-00003C1B0000}"/>
    <cellStyle name="Normal 110 4 2 2 3 2" xfId="16264" xr:uid="{00000000-0005-0000-0000-00003D1B0000}"/>
    <cellStyle name="Normal 110 4 2 2 3 2 2" xfId="32838" xr:uid="{00000000-0005-0000-0000-00003E1B0000}"/>
    <cellStyle name="Normal 110 4 2 2 3 3" xfId="24791" xr:uid="{00000000-0005-0000-0000-00003F1B0000}"/>
    <cellStyle name="Normal 110 4 2 2 4" xfId="12354" xr:uid="{00000000-0005-0000-0000-0000401B0000}"/>
    <cellStyle name="Normal 110 4 2 2 4 2" xfId="28879" xr:uid="{00000000-0005-0000-0000-0000411B0000}"/>
    <cellStyle name="Normal 110 4 2 2 5" xfId="20836" xr:uid="{00000000-0005-0000-0000-0000421B0000}"/>
    <cellStyle name="Normal 110 4 2 3" xfId="2853" xr:uid="{00000000-0005-0000-0000-0000431B0000}"/>
    <cellStyle name="Normal 110 4 2 3 2" xfId="7084" xr:uid="{00000000-0005-0000-0000-0000441B0000}"/>
    <cellStyle name="Normal 110 4 2 3 2 2" xfId="16265" xr:uid="{00000000-0005-0000-0000-0000451B0000}"/>
    <cellStyle name="Normal 110 4 2 3 2 2 2" xfId="32839" xr:uid="{00000000-0005-0000-0000-0000461B0000}"/>
    <cellStyle name="Normal 110 4 2 3 2 3" xfId="24792" xr:uid="{00000000-0005-0000-0000-0000471B0000}"/>
    <cellStyle name="Normal 110 4 2 3 3" xfId="12356" xr:uid="{00000000-0005-0000-0000-0000481B0000}"/>
    <cellStyle name="Normal 110 4 2 3 3 2" xfId="28881" xr:uid="{00000000-0005-0000-0000-0000491B0000}"/>
    <cellStyle name="Normal 110 4 2 3 4" xfId="20838" xr:uid="{00000000-0005-0000-0000-00004A1B0000}"/>
    <cellStyle name="Normal 110 4 2 4" xfId="7085" xr:uid="{00000000-0005-0000-0000-00004B1B0000}"/>
    <cellStyle name="Normal 110 4 2 4 2" xfId="16266" xr:uid="{00000000-0005-0000-0000-00004C1B0000}"/>
    <cellStyle name="Normal 110 4 2 4 2 2" xfId="32840" xr:uid="{00000000-0005-0000-0000-00004D1B0000}"/>
    <cellStyle name="Normal 110 4 2 4 3" xfId="24793" xr:uid="{00000000-0005-0000-0000-00004E1B0000}"/>
    <cellStyle name="Normal 110 4 2 5" xfId="12353" xr:uid="{00000000-0005-0000-0000-00004F1B0000}"/>
    <cellStyle name="Normal 110 4 2 5 2" xfId="28878" xr:uid="{00000000-0005-0000-0000-0000501B0000}"/>
    <cellStyle name="Normal 110 4 2 6" xfId="20835" xr:uid="{00000000-0005-0000-0000-0000511B0000}"/>
    <cellStyle name="Normal 110 4 3" xfId="2854" xr:uid="{00000000-0005-0000-0000-0000521B0000}"/>
    <cellStyle name="Normal 110 4 3 2" xfId="2855" xr:uid="{00000000-0005-0000-0000-0000531B0000}"/>
    <cellStyle name="Normal 110 4 3 2 2" xfId="7086" xr:uid="{00000000-0005-0000-0000-0000541B0000}"/>
    <cellStyle name="Normal 110 4 3 2 2 2" xfId="16267" xr:uid="{00000000-0005-0000-0000-0000551B0000}"/>
    <cellStyle name="Normal 110 4 3 2 2 2 2" xfId="32841" xr:uid="{00000000-0005-0000-0000-0000561B0000}"/>
    <cellStyle name="Normal 110 4 3 2 2 3" xfId="24794" xr:uid="{00000000-0005-0000-0000-0000571B0000}"/>
    <cellStyle name="Normal 110 4 3 2 3" xfId="12358" xr:uid="{00000000-0005-0000-0000-0000581B0000}"/>
    <cellStyle name="Normal 110 4 3 2 3 2" xfId="28883" xr:uid="{00000000-0005-0000-0000-0000591B0000}"/>
    <cellStyle name="Normal 110 4 3 2 4" xfId="20840" xr:uid="{00000000-0005-0000-0000-00005A1B0000}"/>
    <cellStyle name="Normal 110 4 3 3" xfId="7087" xr:uid="{00000000-0005-0000-0000-00005B1B0000}"/>
    <cellStyle name="Normal 110 4 3 3 2" xfId="16268" xr:uid="{00000000-0005-0000-0000-00005C1B0000}"/>
    <cellStyle name="Normal 110 4 3 3 2 2" xfId="32842" xr:uid="{00000000-0005-0000-0000-00005D1B0000}"/>
    <cellStyle name="Normal 110 4 3 3 3" xfId="24795" xr:uid="{00000000-0005-0000-0000-00005E1B0000}"/>
    <cellStyle name="Normal 110 4 3 4" xfId="12357" xr:uid="{00000000-0005-0000-0000-00005F1B0000}"/>
    <cellStyle name="Normal 110 4 3 4 2" xfId="28882" xr:uid="{00000000-0005-0000-0000-0000601B0000}"/>
    <cellStyle name="Normal 110 4 3 5" xfId="20839" xr:uid="{00000000-0005-0000-0000-0000611B0000}"/>
    <cellStyle name="Normal 110 4 4" xfId="2856" xr:uid="{00000000-0005-0000-0000-0000621B0000}"/>
    <cellStyle name="Normal 110 4 4 2" xfId="7088" xr:uid="{00000000-0005-0000-0000-0000631B0000}"/>
    <cellStyle name="Normal 110 4 4 2 2" xfId="16269" xr:uid="{00000000-0005-0000-0000-0000641B0000}"/>
    <cellStyle name="Normal 110 4 4 2 2 2" xfId="32843" xr:uid="{00000000-0005-0000-0000-0000651B0000}"/>
    <cellStyle name="Normal 110 4 4 2 3" xfId="24796" xr:uid="{00000000-0005-0000-0000-0000661B0000}"/>
    <cellStyle name="Normal 110 4 4 3" xfId="12359" xr:uid="{00000000-0005-0000-0000-0000671B0000}"/>
    <cellStyle name="Normal 110 4 4 3 2" xfId="28884" xr:uid="{00000000-0005-0000-0000-0000681B0000}"/>
    <cellStyle name="Normal 110 4 4 4" xfId="20841" xr:uid="{00000000-0005-0000-0000-0000691B0000}"/>
    <cellStyle name="Normal 110 4 5" xfId="7089" xr:uid="{00000000-0005-0000-0000-00006A1B0000}"/>
    <cellStyle name="Normal 110 4 5 2" xfId="16270" xr:uid="{00000000-0005-0000-0000-00006B1B0000}"/>
    <cellStyle name="Normal 110 4 5 2 2" xfId="32844" xr:uid="{00000000-0005-0000-0000-00006C1B0000}"/>
    <cellStyle name="Normal 110 4 5 3" xfId="24797" xr:uid="{00000000-0005-0000-0000-00006D1B0000}"/>
    <cellStyle name="Normal 110 4 6" xfId="12352" xr:uid="{00000000-0005-0000-0000-00006E1B0000}"/>
    <cellStyle name="Normal 110 4 6 2" xfId="28877" xr:uid="{00000000-0005-0000-0000-00006F1B0000}"/>
    <cellStyle name="Normal 110 4 7" xfId="20834" xr:uid="{00000000-0005-0000-0000-0000701B0000}"/>
    <cellStyle name="Normal 110 5" xfId="2857" xr:uid="{00000000-0005-0000-0000-0000711B0000}"/>
    <cellStyle name="Normal 110 5 2" xfId="2858" xr:uid="{00000000-0005-0000-0000-0000721B0000}"/>
    <cellStyle name="Normal 110 5 2 2" xfId="2859" xr:uid="{00000000-0005-0000-0000-0000731B0000}"/>
    <cellStyle name="Normal 110 5 2 2 2" xfId="2860" xr:uid="{00000000-0005-0000-0000-0000741B0000}"/>
    <cellStyle name="Normal 110 5 2 2 2 2" xfId="7090" xr:uid="{00000000-0005-0000-0000-0000751B0000}"/>
    <cellStyle name="Normal 110 5 2 2 2 2 2" xfId="16271" xr:uid="{00000000-0005-0000-0000-0000761B0000}"/>
    <cellStyle name="Normal 110 5 2 2 2 2 2 2" xfId="32845" xr:uid="{00000000-0005-0000-0000-0000771B0000}"/>
    <cellStyle name="Normal 110 5 2 2 2 2 3" xfId="24798" xr:uid="{00000000-0005-0000-0000-0000781B0000}"/>
    <cellStyle name="Normal 110 5 2 2 2 3" xfId="12363" xr:uid="{00000000-0005-0000-0000-0000791B0000}"/>
    <cellStyle name="Normal 110 5 2 2 2 3 2" xfId="28888" xr:uid="{00000000-0005-0000-0000-00007A1B0000}"/>
    <cellStyle name="Normal 110 5 2 2 2 4" xfId="20845" xr:uid="{00000000-0005-0000-0000-00007B1B0000}"/>
    <cellStyle name="Normal 110 5 2 2 3" xfId="7091" xr:uid="{00000000-0005-0000-0000-00007C1B0000}"/>
    <cellStyle name="Normal 110 5 2 2 3 2" xfId="16272" xr:uid="{00000000-0005-0000-0000-00007D1B0000}"/>
    <cellStyle name="Normal 110 5 2 2 3 2 2" xfId="32846" xr:uid="{00000000-0005-0000-0000-00007E1B0000}"/>
    <cellStyle name="Normal 110 5 2 2 3 3" xfId="24799" xr:uid="{00000000-0005-0000-0000-00007F1B0000}"/>
    <cellStyle name="Normal 110 5 2 2 4" xfId="12362" xr:uid="{00000000-0005-0000-0000-0000801B0000}"/>
    <cellStyle name="Normal 110 5 2 2 4 2" xfId="28887" xr:uid="{00000000-0005-0000-0000-0000811B0000}"/>
    <cellStyle name="Normal 110 5 2 2 5" xfId="20844" xr:uid="{00000000-0005-0000-0000-0000821B0000}"/>
    <cellStyle name="Normal 110 5 2 3" xfId="2861" xr:uid="{00000000-0005-0000-0000-0000831B0000}"/>
    <cellStyle name="Normal 110 5 2 3 2" xfId="7092" xr:uid="{00000000-0005-0000-0000-0000841B0000}"/>
    <cellStyle name="Normal 110 5 2 3 2 2" xfId="16273" xr:uid="{00000000-0005-0000-0000-0000851B0000}"/>
    <cellStyle name="Normal 110 5 2 3 2 2 2" xfId="32847" xr:uid="{00000000-0005-0000-0000-0000861B0000}"/>
    <cellStyle name="Normal 110 5 2 3 2 3" xfId="24800" xr:uid="{00000000-0005-0000-0000-0000871B0000}"/>
    <cellStyle name="Normal 110 5 2 3 3" xfId="12364" xr:uid="{00000000-0005-0000-0000-0000881B0000}"/>
    <cellStyle name="Normal 110 5 2 3 3 2" xfId="28889" xr:uid="{00000000-0005-0000-0000-0000891B0000}"/>
    <cellStyle name="Normal 110 5 2 3 4" xfId="20846" xr:uid="{00000000-0005-0000-0000-00008A1B0000}"/>
    <cellStyle name="Normal 110 5 2 4" xfId="7093" xr:uid="{00000000-0005-0000-0000-00008B1B0000}"/>
    <cellStyle name="Normal 110 5 2 4 2" xfId="16274" xr:uid="{00000000-0005-0000-0000-00008C1B0000}"/>
    <cellStyle name="Normal 110 5 2 4 2 2" xfId="32848" xr:uid="{00000000-0005-0000-0000-00008D1B0000}"/>
    <cellStyle name="Normal 110 5 2 4 3" xfId="24801" xr:uid="{00000000-0005-0000-0000-00008E1B0000}"/>
    <cellStyle name="Normal 110 5 2 5" xfId="12361" xr:uid="{00000000-0005-0000-0000-00008F1B0000}"/>
    <cellStyle name="Normal 110 5 2 5 2" xfId="28886" xr:uid="{00000000-0005-0000-0000-0000901B0000}"/>
    <cellStyle name="Normal 110 5 2 6" xfId="20843" xr:uid="{00000000-0005-0000-0000-0000911B0000}"/>
    <cellStyle name="Normal 110 5 3" xfId="2862" xr:uid="{00000000-0005-0000-0000-0000921B0000}"/>
    <cellStyle name="Normal 110 5 3 2" xfId="2863" xr:uid="{00000000-0005-0000-0000-0000931B0000}"/>
    <cellStyle name="Normal 110 5 3 2 2" xfId="7094" xr:uid="{00000000-0005-0000-0000-0000941B0000}"/>
    <cellStyle name="Normal 110 5 3 2 2 2" xfId="16275" xr:uid="{00000000-0005-0000-0000-0000951B0000}"/>
    <cellStyle name="Normal 110 5 3 2 2 2 2" xfId="32849" xr:uid="{00000000-0005-0000-0000-0000961B0000}"/>
    <cellStyle name="Normal 110 5 3 2 2 3" xfId="24802" xr:uid="{00000000-0005-0000-0000-0000971B0000}"/>
    <cellStyle name="Normal 110 5 3 2 3" xfId="12366" xr:uid="{00000000-0005-0000-0000-0000981B0000}"/>
    <cellStyle name="Normal 110 5 3 2 3 2" xfId="28891" xr:uid="{00000000-0005-0000-0000-0000991B0000}"/>
    <cellStyle name="Normal 110 5 3 2 4" xfId="20848" xr:uid="{00000000-0005-0000-0000-00009A1B0000}"/>
    <cellStyle name="Normal 110 5 3 3" xfId="7095" xr:uid="{00000000-0005-0000-0000-00009B1B0000}"/>
    <cellStyle name="Normal 110 5 3 3 2" xfId="16276" xr:uid="{00000000-0005-0000-0000-00009C1B0000}"/>
    <cellStyle name="Normal 110 5 3 3 2 2" xfId="32850" xr:uid="{00000000-0005-0000-0000-00009D1B0000}"/>
    <cellStyle name="Normal 110 5 3 3 3" xfId="24803" xr:uid="{00000000-0005-0000-0000-00009E1B0000}"/>
    <cellStyle name="Normal 110 5 3 4" xfId="12365" xr:uid="{00000000-0005-0000-0000-00009F1B0000}"/>
    <cellStyle name="Normal 110 5 3 4 2" xfId="28890" xr:uid="{00000000-0005-0000-0000-0000A01B0000}"/>
    <cellStyle name="Normal 110 5 3 5" xfId="20847" xr:uid="{00000000-0005-0000-0000-0000A11B0000}"/>
    <cellStyle name="Normal 110 5 4" xfId="2864" xr:uid="{00000000-0005-0000-0000-0000A21B0000}"/>
    <cellStyle name="Normal 110 5 4 2" xfId="7096" xr:uid="{00000000-0005-0000-0000-0000A31B0000}"/>
    <cellStyle name="Normal 110 5 4 2 2" xfId="16277" xr:uid="{00000000-0005-0000-0000-0000A41B0000}"/>
    <cellStyle name="Normal 110 5 4 2 2 2" xfId="32851" xr:uid="{00000000-0005-0000-0000-0000A51B0000}"/>
    <cellStyle name="Normal 110 5 4 2 3" xfId="24804" xr:uid="{00000000-0005-0000-0000-0000A61B0000}"/>
    <cellStyle name="Normal 110 5 4 3" xfId="12367" xr:uid="{00000000-0005-0000-0000-0000A71B0000}"/>
    <cellStyle name="Normal 110 5 4 3 2" xfId="28892" xr:uid="{00000000-0005-0000-0000-0000A81B0000}"/>
    <cellStyle name="Normal 110 5 4 4" xfId="20849" xr:uid="{00000000-0005-0000-0000-0000A91B0000}"/>
    <cellStyle name="Normal 110 5 5" xfId="7097" xr:uid="{00000000-0005-0000-0000-0000AA1B0000}"/>
    <cellStyle name="Normal 110 5 5 2" xfId="16278" xr:uid="{00000000-0005-0000-0000-0000AB1B0000}"/>
    <cellStyle name="Normal 110 5 5 2 2" xfId="32852" xr:uid="{00000000-0005-0000-0000-0000AC1B0000}"/>
    <cellStyle name="Normal 110 5 5 3" xfId="24805" xr:uid="{00000000-0005-0000-0000-0000AD1B0000}"/>
    <cellStyle name="Normal 110 5 6" xfId="12360" xr:uid="{00000000-0005-0000-0000-0000AE1B0000}"/>
    <cellStyle name="Normal 110 5 6 2" xfId="28885" xr:uid="{00000000-0005-0000-0000-0000AF1B0000}"/>
    <cellStyle name="Normal 110 5 7" xfId="20842" xr:uid="{00000000-0005-0000-0000-0000B01B0000}"/>
    <cellStyle name="Normal 110 6" xfId="2865" xr:uid="{00000000-0005-0000-0000-0000B11B0000}"/>
    <cellStyle name="Normal 110 6 2" xfId="2866" xr:uid="{00000000-0005-0000-0000-0000B21B0000}"/>
    <cellStyle name="Normal 110 6 2 2" xfId="2867" xr:uid="{00000000-0005-0000-0000-0000B31B0000}"/>
    <cellStyle name="Normal 110 6 2 2 2" xfId="7098" xr:uid="{00000000-0005-0000-0000-0000B41B0000}"/>
    <cellStyle name="Normal 110 6 2 2 2 2" xfId="16279" xr:uid="{00000000-0005-0000-0000-0000B51B0000}"/>
    <cellStyle name="Normal 110 6 2 2 2 2 2" xfId="32853" xr:uid="{00000000-0005-0000-0000-0000B61B0000}"/>
    <cellStyle name="Normal 110 6 2 2 2 3" xfId="24806" xr:uid="{00000000-0005-0000-0000-0000B71B0000}"/>
    <cellStyle name="Normal 110 6 2 2 3" xfId="12370" xr:uid="{00000000-0005-0000-0000-0000B81B0000}"/>
    <cellStyle name="Normal 110 6 2 2 3 2" xfId="28895" xr:uid="{00000000-0005-0000-0000-0000B91B0000}"/>
    <cellStyle name="Normal 110 6 2 2 4" xfId="20852" xr:uid="{00000000-0005-0000-0000-0000BA1B0000}"/>
    <cellStyle name="Normal 110 6 2 3" xfId="7099" xr:uid="{00000000-0005-0000-0000-0000BB1B0000}"/>
    <cellStyle name="Normal 110 6 2 3 2" xfId="16280" xr:uid="{00000000-0005-0000-0000-0000BC1B0000}"/>
    <cellStyle name="Normal 110 6 2 3 2 2" xfId="32854" xr:uid="{00000000-0005-0000-0000-0000BD1B0000}"/>
    <cellStyle name="Normal 110 6 2 3 3" xfId="24807" xr:uid="{00000000-0005-0000-0000-0000BE1B0000}"/>
    <cellStyle name="Normal 110 6 2 4" xfId="12369" xr:uid="{00000000-0005-0000-0000-0000BF1B0000}"/>
    <cellStyle name="Normal 110 6 2 4 2" xfId="28894" xr:uid="{00000000-0005-0000-0000-0000C01B0000}"/>
    <cellStyle name="Normal 110 6 2 5" xfId="20851" xr:uid="{00000000-0005-0000-0000-0000C11B0000}"/>
    <cellStyle name="Normal 110 6 3" xfId="2868" xr:uid="{00000000-0005-0000-0000-0000C21B0000}"/>
    <cellStyle name="Normal 110 6 3 2" xfId="7100" xr:uid="{00000000-0005-0000-0000-0000C31B0000}"/>
    <cellStyle name="Normal 110 6 3 2 2" xfId="16281" xr:uid="{00000000-0005-0000-0000-0000C41B0000}"/>
    <cellStyle name="Normal 110 6 3 2 2 2" xfId="32855" xr:uid="{00000000-0005-0000-0000-0000C51B0000}"/>
    <cellStyle name="Normal 110 6 3 2 3" xfId="24808" xr:uid="{00000000-0005-0000-0000-0000C61B0000}"/>
    <cellStyle name="Normal 110 6 3 3" xfId="12371" xr:uid="{00000000-0005-0000-0000-0000C71B0000}"/>
    <cellStyle name="Normal 110 6 3 3 2" xfId="28896" xr:uid="{00000000-0005-0000-0000-0000C81B0000}"/>
    <cellStyle name="Normal 110 6 3 4" xfId="20853" xr:uid="{00000000-0005-0000-0000-0000C91B0000}"/>
    <cellStyle name="Normal 110 6 4" xfId="7101" xr:uid="{00000000-0005-0000-0000-0000CA1B0000}"/>
    <cellStyle name="Normal 110 6 4 2" xfId="16282" xr:uid="{00000000-0005-0000-0000-0000CB1B0000}"/>
    <cellStyle name="Normal 110 6 4 2 2" xfId="32856" xr:uid="{00000000-0005-0000-0000-0000CC1B0000}"/>
    <cellStyle name="Normal 110 6 4 3" xfId="24809" xr:uid="{00000000-0005-0000-0000-0000CD1B0000}"/>
    <cellStyle name="Normal 110 6 5" xfId="12368" xr:uid="{00000000-0005-0000-0000-0000CE1B0000}"/>
    <cellStyle name="Normal 110 6 5 2" xfId="28893" xr:uid="{00000000-0005-0000-0000-0000CF1B0000}"/>
    <cellStyle name="Normal 110 6 6" xfId="20850" xr:uid="{00000000-0005-0000-0000-0000D01B0000}"/>
    <cellStyle name="Normal 110 7" xfId="2869" xr:uid="{00000000-0005-0000-0000-0000D11B0000}"/>
    <cellStyle name="Normal 110 7 2" xfId="2870" xr:uid="{00000000-0005-0000-0000-0000D21B0000}"/>
    <cellStyle name="Normal 110 7 2 2" xfId="7102" xr:uid="{00000000-0005-0000-0000-0000D31B0000}"/>
    <cellStyle name="Normal 110 7 2 2 2" xfId="16283" xr:uid="{00000000-0005-0000-0000-0000D41B0000}"/>
    <cellStyle name="Normal 110 7 2 2 2 2" xfId="32857" xr:uid="{00000000-0005-0000-0000-0000D51B0000}"/>
    <cellStyle name="Normal 110 7 2 2 3" xfId="24810" xr:uid="{00000000-0005-0000-0000-0000D61B0000}"/>
    <cellStyle name="Normal 110 7 2 3" xfId="12373" xr:uid="{00000000-0005-0000-0000-0000D71B0000}"/>
    <cellStyle name="Normal 110 7 2 3 2" xfId="28898" xr:uid="{00000000-0005-0000-0000-0000D81B0000}"/>
    <cellStyle name="Normal 110 7 2 4" xfId="20855" xr:uid="{00000000-0005-0000-0000-0000D91B0000}"/>
    <cellStyle name="Normal 110 7 3" xfId="7103" xr:uid="{00000000-0005-0000-0000-0000DA1B0000}"/>
    <cellStyle name="Normal 110 7 3 2" xfId="16284" xr:uid="{00000000-0005-0000-0000-0000DB1B0000}"/>
    <cellStyle name="Normal 110 7 3 2 2" xfId="32858" xr:uid="{00000000-0005-0000-0000-0000DC1B0000}"/>
    <cellStyle name="Normal 110 7 3 3" xfId="24811" xr:uid="{00000000-0005-0000-0000-0000DD1B0000}"/>
    <cellStyle name="Normal 110 7 4" xfId="12372" xr:uid="{00000000-0005-0000-0000-0000DE1B0000}"/>
    <cellStyle name="Normal 110 7 4 2" xfId="28897" xr:uid="{00000000-0005-0000-0000-0000DF1B0000}"/>
    <cellStyle name="Normal 110 7 5" xfId="20854" xr:uid="{00000000-0005-0000-0000-0000E01B0000}"/>
    <cellStyle name="Normal 110 8" xfId="2871" xr:uid="{00000000-0005-0000-0000-0000E11B0000}"/>
    <cellStyle name="Normal 110 8 2" xfId="7104" xr:uid="{00000000-0005-0000-0000-0000E21B0000}"/>
    <cellStyle name="Normal 110 8 2 2" xfId="16285" xr:uid="{00000000-0005-0000-0000-0000E31B0000}"/>
    <cellStyle name="Normal 110 8 2 2 2" xfId="32859" xr:uid="{00000000-0005-0000-0000-0000E41B0000}"/>
    <cellStyle name="Normal 110 8 2 3" xfId="24812" xr:uid="{00000000-0005-0000-0000-0000E51B0000}"/>
    <cellStyle name="Normal 110 8 3" xfId="12374" xr:uid="{00000000-0005-0000-0000-0000E61B0000}"/>
    <cellStyle name="Normal 110 8 3 2" xfId="28899" xr:uid="{00000000-0005-0000-0000-0000E71B0000}"/>
    <cellStyle name="Normal 110 8 4" xfId="20856" xr:uid="{00000000-0005-0000-0000-0000E81B0000}"/>
    <cellStyle name="Normal 110 9" xfId="7105" xr:uid="{00000000-0005-0000-0000-0000E91B0000}"/>
    <cellStyle name="Normal 110 9 2" xfId="16286" xr:uid="{00000000-0005-0000-0000-0000EA1B0000}"/>
    <cellStyle name="Normal 110 9 2 2" xfId="32860" xr:uid="{00000000-0005-0000-0000-0000EB1B0000}"/>
    <cellStyle name="Normal 110 9 3" xfId="24813" xr:uid="{00000000-0005-0000-0000-0000EC1B0000}"/>
    <cellStyle name="Normal 111" xfId="2872" xr:uid="{00000000-0005-0000-0000-0000ED1B0000}"/>
    <cellStyle name="Normal 111 10" xfId="12375" xr:uid="{00000000-0005-0000-0000-0000EE1B0000}"/>
    <cellStyle name="Normal 111 10 2" xfId="28900" xr:uid="{00000000-0005-0000-0000-0000EF1B0000}"/>
    <cellStyle name="Normal 111 11" xfId="20857" xr:uid="{00000000-0005-0000-0000-0000F01B0000}"/>
    <cellStyle name="Normal 111 2" xfId="2873" xr:uid="{00000000-0005-0000-0000-0000F11B0000}"/>
    <cellStyle name="Normal 111 2 2" xfId="2874" xr:uid="{00000000-0005-0000-0000-0000F21B0000}"/>
    <cellStyle name="Normal 111 2 3" xfId="12376" xr:uid="{00000000-0005-0000-0000-0000F31B0000}"/>
    <cellStyle name="Normal 111 2 3 2" xfId="28901" xr:uid="{00000000-0005-0000-0000-0000F41B0000}"/>
    <cellStyle name="Normal 111 2 4" xfId="20858" xr:uid="{00000000-0005-0000-0000-0000F51B0000}"/>
    <cellStyle name="Normal 111 3" xfId="2875" xr:uid="{00000000-0005-0000-0000-0000F61B0000}"/>
    <cellStyle name="Normal 111 3 2" xfId="2876" xr:uid="{00000000-0005-0000-0000-0000F71B0000}"/>
    <cellStyle name="Normal 111 3 2 2" xfId="2877" xr:uid="{00000000-0005-0000-0000-0000F81B0000}"/>
    <cellStyle name="Normal 111 3 2 2 2" xfId="2878" xr:uid="{00000000-0005-0000-0000-0000F91B0000}"/>
    <cellStyle name="Normal 111 3 2 2 2 2" xfId="7106" xr:uid="{00000000-0005-0000-0000-0000FA1B0000}"/>
    <cellStyle name="Normal 111 3 2 2 2 2 2" xfId="16287" xr:uid="{00000000-0005-0000-0000-0000FB1B0000}"/>
    <cellStyle name="Normal 111 3 2 2 2 2 2 2" xfId="32861" xr:uid="{00000000-0005-0000-0000-0000FC1B0000}"/>
    <cellStyle name="Normal 111 3 2 2 2 2 3" xfId="24814" xr:uid="{00000000-0005-0000-0000-0000FD1B0000}"/>
    <cellStyle name="Normal 111 3 2 2 2 3" xfId="12379" xr:uid="{00000000-0005-0000-0000-0000FE1B0000}"/>
    <cellStyle name="Normal 111 3 2 2 2 3 2" xfId="28904" xr:uid="{00000000-0005-0000-0000-0000FF1B0000}"/>
    <cellStyle name="Normal 111 3 2 2 2 4" xfId="20861" xr:uid="{00000000-0005-0000-0000-0000001C0000}"/>
    <cellStyle name="Normal 111 3 2 2 3" xfId="7107" xr:uid="{00000000-0005-0000-0000-0000011C0000}"/>
    <cellStyle name="Normal 111 3 2 2 3 2" xfId="16288" xr:uid="{00000000-0005-0000-0000-0000021C0000}"/>
    <cellStyle name="Normal 111 3 2 2 3 2 2" xfId="32862" xr:uid="{00000000-0005-0000-0000-0000031C0000}"/>
    <cellStyle name="Normal 111 3 2 2 3 3" xfId="24815" xr:uid="{00000000-0005-0000-0000-0000041C0000}"/>
    <cellStyle name="Normal 111 3 2 2 4" xfId="12378" xr:uid="{00000000-0005-0000-0000-0000051C0000}"/>
    <cellStyle name="Normal 111 3 2 2 4 2" xfId="28903" xr:uid="{00000000-0005-0000-0000-0000061C0000}"/>
    <cellStyle name="Normal 111 3 2 2 5" xfId="20860" xr:uid="{00000000-0005-0000-0000-0000071C0000}"/>
    <cellStyle name="Normal 111 3 2 3" xfId="2879" xr:uid="{00000000-0005-0000-0000-0000081C0000}"/>
    <cellStyle name="Normal 111 3 2 3 2" xfId="7108" xr:uid="{00000000-0005-0000-0000-0000091C0000}"/>
    <cellStyle name="Normal 111 3 2 3 2 2" xfId="16289" xr:uid="{00000000-0005-0000-0000-00000A1C0000}"/>
    <cellStyle name="Normal 111 3 2 3 2 2 2" xfId="32863" xr:uid="{00000000-0005-0000-0000-00000B1C0000}"/>
    <cellStyle name="Normal 111 3 2 3 2 3" xfId="24816" xr:uid="{00000000-0005-0000-0000-00000C1C0000}"/>
    <cellStyle name="Normal 111 3 2 3 3" xfId="12380" xr:uid="{00000000-0005-0000-0000-00000D1C0000}"/>
    <cellStyle name="Normal 111 3 2 3 3 2" xfId="28905" xr:uid="{00000000-0005-0000-0000-00000E1C0000}"/>
    <cellStyle name="Normal 111 3 2 3 4" xfId="20862" xr:uid="{00000000-0005-0000-0000-00000F1C0000}"/>
    <cellStyle name="Normal 111 3 2 4" xfId="7109" xr:uid="{00000000-0005-0000-0000-0000101C0000}"/>
    <cellStyle name="Normal 111 3 2 4 2" xfId="16290" xr:uid="{00000000-0005-0000-0000-0000111C0000}"/>
    <cellStyle name="Normal 111 3 2 4 2 2" xfId="32864" xr:uid="{00000000-0005-0000-0000-0000121C0000}"/>
    <cellStyle name="Normal 111 3 2 4 3" xfId="24817" xr:uid="{00000000-0005-0000-0000-0000131C0000}"/>
    <cellStyle name="Normal 111 3 2 5" xfId="12377" xr:uid="{00000000-0005-0000-0000-0000141C0000}"/>
    <cellStyle name="Normal 111 3 2 5 2" xfId="28902" xr:uid="{00000000-0005-0000-0000-0000151C0000}"/>
    <cellStyle name="Normal 111 3 2 6" xfId="20859" xr:uid="{00000000-0005-0000-0000-0000161C0000}"/>
    <cellStyle name="Normal 111 3 3" xfId="2880" xr:uid="{00000000-0005-0000-0000-0000171C0000}"/>
    <cellStyle name="Normal 111 3 3 2" xfId="2881" xr:uid="{00000000-0005-0000-0000-0000181C0000}"/>
    <cellStyle name="Normal 111 3 3 2 2" xfId="7110" xr:uid="{00000000-0005-0000-0000-0000191C0000}"/>
    <cellStyle name="Normal 111 3 3 2 2 2" xfId="16291" xr:uid="{00000000-0005-0000-0000-00001A1C0000}"/>
    <cellStyle name="Normal 111 3 3 2 2 2 2" xfId="32865" xr:uid="{00000000-0005-0000-0000-00001B1C0000}"/>
    <cellStyle name="Normal 111 3 3 2 2 3" xfId="24818" xr:uid="{00000000-0005-0000-0000-00001C1C0000}"/>
    <cellStyle name="Normal 111 3 3 2 3" xfId="12382" xr:uid="{00000000-0005-0000-0000-00001D1C0000}"/>
    <cellStyle name="Normal 111 3 3 2 3 2" xfId="28907" xr:uid="{00000000-0005-0000-0000-00001E1C0000}"/>
    <cellStyle name="Normal 111 3 3 2 4" xfId="20864" xr:uid="{00000000-0005-0000-0000-00001F1C0000}"/>
    <cellStyle name="Normal 111 3 3 3" xfId="7111" xr:uid="{00000000-0005-0000-0000-0000201C0000}"/>
    <cellStyle name="Normal 111 3 3 3 2" xfId="16292" xr:uid="{00000000-0005-0000-0000-0000211C0000}"/>
    <cellStyle name="Normal 111 3 3 3 2 2" xfId="32866" xr:uid="{00000000-0005-0000-0000-0000221C0000}"/>
    <cellStyle name="Normal 111 3 3 3 3" xfId="24819" xr:uid="{00000000-0005-0000-0000-0000231C0000}"/>
    <cellStyle name="Normal 111 3 3 4" xfId="12381" xr:uid="{00000000-0005-0000-0000-0000241C0000}"/>
    <cellStyle name="Normal 111 3 3 4 2" xfId="28906" xr:uid="{00000000-0005-0000-0000-0000251C0000}"/>
    <cellStyle name="Normal 111 3 3 5" xfId="20863" xr:uid="{00000000-0005-0000-0000-0000261C0000}"/>
    <cellStyle name="Normal 111 3 4" xfId="2882" xr:uid="{00000000-0005-0000-0000-0000271C0000}"/>
    <cellStyle name="Normal 111 3 4 2" xfId="7112" xr:uid="{00000000-0005-0000-0000-0000281C0000}"/>
    <cellStyle name="Normal 111 3 4 2 2" xfId="16293" xr:uid="{00000000-0005-0000-0000-0000291C0000}"/>
    <cellStyle name="Normal 111 3 4 2 2 2" xfId="32867" xr:uid="{00000000-0005-0000-0000-00002A1C0000}"/>
    <cellStyle name="Normal 111 3 4 2 3" xfId="24820" xr:uid="{00000000-0005-0000-0000-00002B1C0000}"/>
    <cellStyle name="Normal 111 3 4 3" xfId="12383" xr:uid="{00000000-0005-0000-0000-00002C1C0000}"/>
    <cellStyle name="Normal 111 3 4 3 2" xfId="28908" xr:uid="{00000000-0005-0000-0000-00002D1C0000}"/>
    <cellStyle name="Normal 111 3 4 4" xfId="20865" xr:uid="{00000000-0005-0000-0000-00002E1C0000}"/>
    <cellStyle name="Normal 111 3 5" xfId="2883" xr:uid="{00000000-0005-0000-0000-00002F1C0000}"/>
    <cellStyle name="Normal 111 3 5 2" xfId="12384" xr:uid="{00000000-0005-0000-0000-0000301C0000}"/>
    <cellStyle name="Normal 111 3 5 2 2" xfId="28909" xr:uid="{00000000-0005-0000-0000-0000311C0000}"/>
    <cellStyle name="Normal 111 3 5 3" xfId="20866" xr:uid="{00000000-0005-0000-0000-0000321C0000}"/>
    <cellStyle name="Normal 111 4" xfId="2884" xr:uid="{00000000-0005-0000-0000-0000331C0000}"/>
    <cellStyle name="Normal 111 4 2" xfId="2885" xr:uid="{00000000-0005-0000-0000-0000341C0000}"/>
    <cellStyle name="Normal 111 4 2 2" xfId="2886" xr:uid="{00000000-0005-0000-0000-0000351C0000}"/>
    <cellStyle name="Normal 111 4 2 2 2" xfId="2887" xr:uid="{00000000-0005-0000-0000-0000361C0000}"/>
    <cellStyle name="Normal 111 4 2 2 2 2" xfId="7113" xr:uid="{00000000-0005-0000-0000-0000371C0000}"/>
    <cellStyle name="Normal 111 4 2 2 2 2 2" xfId="16294" xr:uid="{00000000-0005-0000-0000-0000381C0000}"/>
    <cellStyle name="Normal 111 4 2 2 2 2 2 2" xfId="32868" xr:uid="{00000000-0005-0000-0000-0000391C0000}"/>
    <cellStyle name="Normal 111 4 2 2 2 2 3" xfId="24821" xr:uid="{00000000-0005-0000-0000-00003A1C0000}"/>
    <cellStyle name="Normal 111 4 2 2 2 3" xfId="12388" xr:uid="{00000000-0005-0000-0000-00003B1C0000}"/>
    <cellStyle name="Normal 111 4 2 2 2 3 2" xfId="28913" xr:uid="{00000000-0005-0000-0000-00003C1C0000}"/>
    <cellStyle name="Normal 111 4 2 2 2 4" xfId="20870" xr:uid="{00000000-0005-0000-0000-00003D1C0000}"/>
    <cellStyle name="Normal 111 4 2 2 3" xfId="7114" xr:uid="{00000000-0005-0000-0000-00003E1C0000}"/>
    <cellStyle name="Normal 111 4 2 2 3 2" xfId="16295" xr:uid="{00000000-0005-0000-0000-00003F1C0000}"/>
    <cellStyle name="Normal 111 4 2 2 3 2 2" xfId="32869" xr:uid="{00000000-0005-0000-0000-0000401C0000}"/>
    <cellStyle name="Normal 111 4 2 2 3 3" xfId="24822" xr:uid="{00000000-0005-0000-0000-0000411C0000}"/>
    <cellStyle name="Normal 111 4 2 2 4" xfId="12387" xr:uid="{00000000-0005-0000-0000-0000421C0000}"/>
    <cellStyle name="Normal 111 4 2 2 4 2" xfId="28912" xr:uid="{00000000-0005-0000-0000-0000431C0000}"/>
    <cellStyle name="Normal 111 4 2 2 5" xfId="20869" xr:uid="{00000000-0005-0000-0000-0000441C0000}"/>
    <cellStyle name="Normal 111 4 2 3" xfId="2888" xr:uid="{00000000-0005-0000-0000-0000451C0000}"/>
    <cellStyle name="Normal 111 4 2 3 2" xfId="7115" xr:uid="{00000000-0005-0000-0000-0000461C0000}"/>
    <cellStyle name="Normal 111 4 2 3 2 2" xfId="16296" xr:uid="{00000000-0005-0000-0000-0000471C0000}"/>
    <cellStyle name="Normal 111 4 2 3 2 2 2" xfId="32870" xr:uid="{00000000-0005-0000-0000-0000481C0000}"/>
    <cellStyle name="Normal 111 4 2 3 2 3" xfId="24823" xr:uid="{00000000-0005-0000-0000-0000491C0000}"/>
    <cellStyle name="Normal 111 4 2 3 3" xfId="12389" xr:uid="{00000000-0005-0000-0000-00004A1C0000}"/>
    <cellStyle name="Normal 111 4 2 3 3 2" xfId="28914" xr:uid="{00000000-0005-0000-0000-00004B1C0000}"/>
    <cellStyle name="Normal 111 4 2 3 4" xfId="20871" xr:uid="{00000000-0005-0000-0000-00004C1C0000}"/>
    <cellStyle name="Normal 111 4 2 4" xfId="7116" xr:uid="{00000000-0005-0000-0000-00004D1C0000}"/>
    <cellStyle name="Normal 111 4 2 4 2" xfId="16297" xr:uid="{00000000-0005-0000-0000-00004E1C0000}"/>
    <cellStyle name="Normal 111 4 2 4 2 2" xfId="32871" xr:uid="{00000000-0005-0000-0000-00004F1C0000}"/>
    <cellStyle name="Normal 111 4 2 4 3" xfId="24824" xr:uid="{00000000-0005-0000-0000-0000501C0000}"/>
    <cellStyle name="Normal 111 4 2 5" xfId="12386" xr:uid="{00000000-0005-0000-0000-0000511C0000}"/>
    <cellStyle name="Normal 111 4 2 5 2" xfId="28911" xr:uid="{00000000-0005-0000-0000-0000521C0000}"/>
    <cellStyle name="Normal 111 4 2 6" xfId="20868" xr:uid="{00000000-0005-0000-0000-0000531C0000}"/>
    <cellStyle name="Normal 111 4 3" xfId="2889" xr:uid="{00000000-0005-0000-0000-0000541C0000}"/>
    <cellStyle name="Normal 111 4 3 2" xfId="2890" xr:uid="{00000000-0005-0000-0000-0000551C0000}"/>
    <cellStyle name="Normal 111 4 3 2 2" xfId="7117" xr:uid="{00000000-0005-0000-0000-0000561C0000}"/>
    <cellStyle name="Normal 111 4 3 2 2 2" xfId="16298" xr:uid="{00000000-0005-0000-0000-0000571C0000}"/>
    <cellStyle name="Normal 111 4 3 2 2 2 2" xfId="32872" xr:uid="{00000000-0005-0000-0000-0000581C0000}"/>
    <cellStyle name="Normal 111 4 3 2 2 3" xfId="24825" xr:uid="{00000000-0005-0000-0000-0000591C0000}"/>
    <cellStyle name="Normal 111 4 3 2 3" xfId="12391" xr:uid="{00000000-0005-0000-0000-00005A1C0000}"/>
    <cellStyle name="Normal 111 4 3 2 3 2" xfId="28916" xr:uid="{00000000-0005-0000-0000-00005B1C0000}"/>
    <cellStyle name="Normal 111 4 3 2 4" xfId="20873" xr:uid="{00000000-0005-0000-0000-00005C1C0000}"/>
    <cellStyle name="Normal 111 4 3 3" xfId="7118" xr:uid="{00000000-0005-0000-0000-00005D1C0000}"/>
    <cellStyle name="Normal 111 4 3 3 2" xfId="16299" xr:uid="{00000000-0005-0000-0000-00005E1C0000}"/>
    <cellStyle name="Normal 111 4 3 3 2 2" xfId="32873" xr:uid="{00000000-0005-0000-0000-00005F1C0000}"/>
    <cellStyle name="Normal 111 4 3 3 3" xfId="24826" xr:uid="{00000000-0005-0000-0000-0000601C0000}"/>
    <cellStyle name="Normal 111 4 3 4" xfId="12390" xr:uid="{00000000-0005-0000-0000-0000611C0000}"/>
    <cellStyle name="Normal 111 4 3 4 2" xfId="28915" xr:uid="{00000000-0005-0000-0000-0000621C0000}"/>
    <cellStyle name="Normal 111 4 3 5" xfId="20872" xr:uid="{00000000-0005-0000-0000-0000631C0000}"/>
    <cellStyle name="Normal 111 4 4" xfId="2891" xr:uid="{00000000-0005-0000-0000-0000641C0000}"/>
    <cellStyle name="Normal 111 4 4 2" xfId="7119" xr:uid="{00000000-0005-0000-0000-0000651C0000}"/>
    <cellStyle name="Normal 111 4 4 2 2" xfId="16300" xr:uid="{00000000-0005-0000-0000-0000661C0000}"/>
    <cellStyle name="Normal 111 4 4 2 2 2" xfId="32874" xr:uid="{00000000-0005-0000-0000-0000671C0000}"/>
    <cellStyle name="Normal 111 4 4 2 3" xfId="24827" xr:uid="{00000000-0005-0000-0000-0000681C0000}"/>
    <cellStyle name="Normal 111 4 4 3" xfId="12392" xr:uid="{00000000-0005-0000-0000-0000691C0000}"/>
    <cellStyle name="Normal 111 4 4 3 2" xfId="28917" xr:uid="{00000000-0005-0000-0000-00006A1C0000}"/>
    <cellStyle name="Normal 111 4 4 4" xfId="20874" xr:uid="{00000000-0005-0000-0000-00006B1C0000}"/>
    <cellStyle name="Normal 111 4 5" xfId="7120" xr:uid="{00000000-0005-0000-0000-00006C1C0000}"/>
    <cellStyle name="Normal 111 4 5 2" xfId="16301" xr:uid="{00000000-0005-0000-0000-00006D1C0000}"/>
    <cellStyle name="Normal 111 4 5 2 2" xfId="32875" xr:uid="{00000000-0005-0000-0000-00006E1C0000}"/>
    <cellStyle name="Normal 111 4 5 3" xfId="24828" xr:uid="{00000000-0005-0000-0000-00006F1C0000}"/>
    <cellStyle name="Normal 111 4 6" xfId="12385" xr:uid="{00000000-0005-0000-0000-0000701C0000}"/>
    <cellStyle name="Normal 111 4 6 2" xfId="28910" xr:uid="{00000000-0005-0000-0000-0000711C0000}"/>
    <cellStyle name="Normal 111 4 7" xfId="20867" xr:uid="{00000000-0005-0000-0000-0000721C0000}"/>
    <cellStyle name="Normal 111 5" xfId="2892" xr:uid="{00000000-0005-0000-0000-0000731C0000}"/>
    <cellStyle name="Normal 111 5 2" xfId="2893" xr:uid="{00000000-0005-0000-0000-0000741C0000}"/>
    <cellStyle name="Normal 111 5 2 2" xfId="2894" xr:uid="{00000000-0005-0000-0000-0000751C0000}"/>
    <cellStyle name="Normal 111 5 2 2 2" xfId="2895" xr:uid="{00000000-0005-0000-0000-0000761C0000}"/>
    <cellStyle name="Normal 111 5 2 2 2 2" xfId="7121" xr:uid="{00000000-0005-0000-0000-0000771C0000}"/>
    <cellStyle name="Normal 111 5 2 2 2 2 2" xfId="16302" xr:uid="{00000000-0005-0000-0000-0000781C0000}"/>
    <cellStyle name="Normal 111 5 2 2 2 2 2 2" xfId="32876" xr:uid="{00000000-0005-0000-0000-0000791C0000}"/>
    <cellStyle name="Normal 111 5 2 2 2 2 3" xfId="24829" xr:uid="{00000000-0005-0000-0000-00007A1C0000}"/>
    <cellStyle name="Normal 111 5 2 2 2 3" xfId="12396" xr:uid="{00000000-0005-0000-0000-00007B1C0000}"/>
    <cellStyle name="Normal 111 5 2 2 2 3 2" xfId="28921" xr:uid="{00000000-0005-0000-0000-00007C1C0000}"/>
    <cellStyle name="Normal 111 5 2 2 2 4" xfId="20878" xr:uid="{00000000-0005-0000-0000-00007D1C0000}"/>
    <cellStyle name="Normal 111 5 2 2 3" xfId="7122" xr:uid="{00000000-0005-0000-0000-00007E1C0000}"/>
    <cellStyle name="Normal 111 5 2 2 3 2" xfId="16303" xr:uid="{00000000-0005-0000-0000-00007F1C0000}"/>
    <cellStyle name="Normal 111 5 2 2 3 2 2" xfId="32877" xr:uid="{00000000-0005-0000-0000-0000801C0000}"/>
    <cellStyle name="Normal 111 5 2 2 3 3" xfId="24830" xr:uid="{00000000-0005-0000-0000-0000811C0000}"/>
    <cellStyle name="Normal 111 5 2 2 4" xfId="12395" xr:uid="{00000000-0005-0000-0000-0000821C0000}"/>
    <cellStyle name="Normal 111 5 2 2 4 2" xfId="28920" xr:uid="{00000000-0005-0000-0000-0000831C0000}"/>
    <cellStyle name="Normal 111 5 2 2 5" xfId="20877" xr:uid="{00000000-0005-0000-0000-0000841C0000}"/>
    <cellStyle name="Normal 111 5 2 3" xfId="2896" xr:uid="{00000000-0005-0000-0000-0000851C0000}"/>
    <cellStyle name="Normal 111 5 2 3 2" xfId="7123" xr:uid="{00000000-0005-0000-0000-0000861C0000}"/>
    <cellStyle name="Normal 111 5 2 3 2 2" xfId="16304" xr:uid="{00000000-0005-0000-0000-0000871C0000}"/>
    <cellStyle name="Normal 111 5 2 3 2 2 2" xfId="32878" xr:uid="{00000000-0005-0000-0000-0000881C0000}"/>
    <cellStyle name="Normal 111 5 2 3 2 3" xfId="24831" xr:uid="{00000000-0005-0000-0000-0000891C0000}"/>
    <cellStyle name="Normal 111 5 2 3 3" xfId="12397" xr:uid="{00000000-0005-0000-0000-00008A1C0000}"/>
    <cellStyle name="Normal 111 5 2 3 3 2" xfId="28922" xr:uid="{00000000-0005-0000-0000-00008B1C0000}"/>
    <cellStyle name="Normal 111 5 2 3 4" xfId="20879" xr:uid="{00000000-0005-0000-0000-00008C1C0000}"/>
    <cellStyle name="Normal 111 5 2 4" xfId="7124" xr:uid="{00000000-0005-0000-0000-00008D1C0000}"/>
    <cellStyle name="Normal 111 5 2 4 2" xfId="16305" xr:uid="{00000000-0005-0000-0000-00008E1C0000}"/>
    <cellStyle name="Normal 111 5 2 4 2 2" xfId="32879" xr:uid="{00000000-0005-0000-0000-00008F1C0000}"/>
    <cellStyle name="Normal 111 5 2 4 3" xfId="24832" xr:uid="{00000000-0005-0000-0000-0000901C0000}"/>
    <cellStyle name="Normal 111 5 2 5" xfId="12394" xr:uid="{00000000-0005-0000-0000-0000911C0000}"/>
    <cellStyle name="Normal 111 5 2 5 2" xfId="28919" xr:uid="{00000000-0005-0000-0000-0000921C0000}"/>
    <cellStyle name="Normal 111 5 2 6" xfId="20876" xr:uid="{00000000-0005-0000-0000-0000931C0000}"/>
    <cellStyle name="Normal 111 5 3" xfId="2897" xr:uid="{00000000-0005-0000-0000-0000941C0000}"/>
    <cellStyle name="Normal 111 5 3 2" xfId="2898" xr:uid="{00000000-0005-0000-0000-0000951C0000}"/>
    <cellStyle name="Normal 111 5 3 2 2" xfId="7125" xr:uid="{00000000-0005-0000-0000-0000961C0000}"/>
    <cellStyle name="Normal 111 5 3 2 2 2" xfId="16306" xr:uid="{00000000-0005-0000-0000-0000971C0000}"/>
    <cellStyle name="Normal 111 5 3 2 2 2 2" xfId="32880" xr:uid="{00000000-0005-0000-0000-0000981C0000}"/>
    <cellStyle name="Normal 111 5 3 2 2 3" xfId="24833" xr:uid="{00000000-0005-0000-0000-0000991C0000}"/>
    <cellStyle name="Normal 111 5 3 2 3" xfId="12399" xr:uid="{00000000-0005-0000-0000-00009A1C0000}"/>
    <cellStyle name="Normal 111 5 3 2 3 2" xfId="28924" xr:uid="{00000000-0005-0000-0000-00009B1C0000}"/>
    <cellStyle name="Normal 111 5 3 2 4" xfId="20881" xr:uid="{00000000-0005-0000-0000-00009C1C0000}"/>
    <cellStyle name="Normal 111 5 3 3" xfId="7126" xr:uid="{00000000-0005-0000-0000-00009D1C0000}"/>
    <cellStyle name="Normal 111 5 3 3 2" xfId="16307" xr:uid="{00000000-0005-0000-0000-00009E1C0000}"/>
    <cellStyle name="Normal 111 5 3 3 2 2" xfId="32881" xr:uid="{00000000-0005-0000-0000-00009F1C0000}"/>
    <cellStyle name="Normal 111 5 3 3 3" xfId="24834" xr:uid="{00000000-0005-0000-0000-0000A01C0000}"/>
    <cellStyle name="Normal 111 5 3 4" xfId="12398" xr:uid="{00000000-0005-0000-0000-0000A11C0000}"/>
    <cellStyle name="Normal 111 5 3 4 2" xfId="28923" xr:uid="{00000000-0005-0000-0000-0000A21C0000}"/>
    <cellStyle name="Normal 111 5 3 5" xfId="20880" xr:uid="{00000000-0005-0000-0000-0000A31C0000}"/>
    <cellStyle name="Normal 111 5 4" xfId="2899" xr:uid="{00000000-0005-0000-0000-0000A41C0000}"/>
    <cellStyle name="Normal 111 5 4 2" xfId="7127" xr:uid="{00000000-0005-0000-0000-0000A51C0000}"/>
    <cellStyle name="Normal 111 5 4 2 2" xfId="16308" xr:uid="{00000000-0005-0000-0000-0000A61C0000}"/>
    <cellStyle name="Normal 111 5 4 2 2 2" xfId="32882" xr:uid="{00000000-0005-0000-0000-0000A71C0000}"/>
    <cellStyle name="Normal 111 5 4 2 3" xfId="24835" xr:uid="{00000000-0005-0000-0000-0000A81C0000}"/>
    <cellStyle name="Normal 111 5 4 3" xfId="12400" xr:uid="{00000000-0005-0000-0000-0000A91C0000}"/>
    <cellStyle name="Normal 111 5 4 3 2" xfId="28925" xr:uid="{00000000-0005-0000-0000-0000AA1C0000}"/>
    <cellStyle name="Normal 111 5 4 4" xfId="20882" xr:uid="{00000000-0005-0000-0000-0000AB1C0000}"/>
    <cellStyle name="Normal 111 5 5" xfId="7128" xr:uid="{00000000-0005-0000-0000-0000AC1C0000}"/>
    <cellStyle name="Normal 111 5 5 2" xfId="16309" xr:uid="{00000000-0005-0000-0000-0000AD1C0000}"/>
    <cellStyle name="Normal 111 5 5 2 2" xfId="32883" xr:uid="{00000000-0005-0000-0000-0000AE1C0000}"/>
    <cellStyle name="Normal 111 5 5 3" xfId="24836" xr:uid="{00000000-0005-0000-0000-0000AF1C0000}"/>
    <cellStyle name="Normal 111 5 6" xfId="12393" xr:uid="{00000000-0005-0000-0000-0000B01C0000}"/>
    <cellStyle name="Normal 111 5 6 2" xfId="28918" xr:uid="{00000000-0005-0000-0000-0000B11C0000}"/>
    <cellStyle name="Normal 111 5 7" xfId="20875" xr:uid="{00000000-0005-0000-0000-0000B21C0000}"/>
    <cellStyle name="Normal 111 6" xfId="2900" xr:uid="{00000000-0005-0000-0000-0000B31C0000}"/>
    <cellStyle name="Normal 111 6 2" xfId="2901" xr:uid="{00000000-0005-0000-0000-0000B41C0000}"/>
    <cellStyle name="Normal 111 6 2 2" xfId="2902" xr:uid="{00000000-0005-0000-0000-0000B51C0000}"/>
    <cellStyle name="Normal 111 6 2 2 2" xfId="7129" xr:uid="{00000000-0005-0000-0000-0000B61C0000}"/>
    <cellStyle name="Normal 111 6 2 2 2 2" xfId="16310" xr:uid="{00000000-0005-0000-0000-0000B71C0000}"/>
    <cellStyle name="Normal 111 6 2 2 2 2 2" xfId="32884" xr:uid="{00000000-0005-0000-0000-0000B81C0000}"/>
    <cellStyle name="Normal 111 6 2 2 2 3" xfId="24837" xr:uid="{00000000-0005-0000-0000-0000B91C0000}"/>
    <cellStyle name="Normal 111 6 2 2 3" xfId="12403" xr:uid="{00000000-0005-0000-0000-0000BA1C0000}"/>
    <cellStyle name="Normal 111 6 2 2 3 2" xfId="28928" xr:uid="{00000000-0005-0000-0000-0000BB1C0000}"/>
    <cellStyle name="Normal 111 6 2 2 4" xfId="20885" xr:uid="{00000000-0005-0000-0000-0000BC1C0000}"/>
    <cellStyle name="Normal 111 6 2 3" xfId="7130" xr:uid="{00000000-0005-0000-0000-0000BD1C0000}"/>
    <cellStyle name="Normal 111 6 2 3 2" xfId="16311" xr:uid="{00000000-0005-0000-0000-0000BE1C0000}"/>
    <cellStyle name="Normal 111 6 2 3 2 2" xfId="32885" xr:uid="{00000000-0005-0000-0000-0000BF1C0000}"/>
    <cellStyle name="Normal 111 6 2 3 3" xfId="24838" xr:uid="{00000000-0005-0000-0000-0000C01C0000}"/>
    <cellStyle name="Normal 111 6 2 4" xfId="12402" xr:uid="{00000000-0005-0000-0000-0000C11C0000}"/>
    <cellStyle name="Normal 111 6 2 4 2" xfId="28927" xr:uid="{00000000-0005-0000-0000-0000C21C0000}"/>
    <cellStyle name="Normal 111 6 2 5" xfId="20884" xr:uid="{00000000-0005-0000-0000-0000C31C0000}"/>
    <cellStyle name="Normal 111 6 3" xfId="2903" xr:uid="{00000000-0005-0000-0000-0000C41C0000}"/>
    <cellStyle name="Normal 111 6 3 2" xfId="7131" xr:uid="{00000000-0005-0000-0000-0000C51C0000}"/>
    <cellStyle name="Normal 111 6 3 2 2" xfId="16312" xr:uid="{00000000-0005-0000-0000-0000C61C0000}"/>
    <cellStyle name="Normal 111 6 3 2 2 2" xfId="32886" xr:uid="{00000000-0005-0000-0000-0000C71C0000}"/>
    <cellStyle name="Normal 111 6 3 2 3" xfId="24839" xr:uid="{00000000-0005-0000-0000-0000C81C0000}"/>
    <cellStyle name="Normal 111 6 3 3" xfId="12404" xr:uid="{00000000-0005-0000-0000-0000C91C0000}"/>
    <cellStyle name="Normal 111 6 3 3 2" xfId="28929" xr:uid="{00000000-0005-0000-0000-0000CA1C0000}"/>
    <cellStyle name="Normal 111 6 3 4" xfId="20886" xr:uid="{00000000-0005-0000-0000-0000CB1C0000}"/>
    <cellStyle name="Normal 111 6 4" xfId="7132" xr:uid="{00000000-0005-0000-0000-0000CC1C0000}"/>
    <cellStyle name="Normal 111 6 4 2" xfId="16313" xr:uid="{00000000-0005-0000-0000-0000CD1C0000}"/>
    <cellStyle name="Normal 111 6 4 2 2" xfId="32887" xr:uid="{00000000-0005-0000-0000-0000CE1C0000}"/>
    <cellStyle name="Normal 111 6 4 3" xfId="24840" xr:uid="{00000000-0005-0000-0000-0000CF1C0000}"/>
    <cellStyle name="Normal 111 6 5" xfId="12401" xr:uid="{00000000-0005-0000-0000-0000D01C0000}"/>
    <cellStyle name="Normal 111 6 5 2" xfId="28926" xr:uid="{00000000-0005-0000-0000-0000D11C0000}"/>
    <cellStyle name="Normal 111 6 6" xfId="20883" xr:uid="{00000000-0005-0000-0000-0000D21C0000}"/>
    <cellStyle name="Normal 111 7" xfId="2904" xr:uid="{00000000-0005-0000-0000-0000D31C0000}"/>
    <cellStyle name="Normal 111 7 2" xfId="2905" xr:uid="{00000000-0005-0000-0000-0000D41C0000}"/>
    <cellStyle name="Normal 111 7 2 2" xfId="7133" xr:uid="{00000000-0005-0000-0000-0000D51C0000}"/>
    <cellStyle name="Normal 111 7 2 2 2" xfId="16314" xr:uid="{00000000-0005-0000-0000-0000D61C0000}"/>
    <cellStyle name="Normal 111 7 2 2 2 2" xfId="32888" xr:uid="{00000000-0005-0000-0000-0000D71C0000}"/>
    <cellStyle name="Normal 111 7 2 2 3" xfId="24841" xr:uid="{00000000-0005-0000-0000-0000D81C0000}"/>
    <cellStyle name="Normal 111 7 2 3" xfId="12406" xr:uid="{00000000-0005-0000-0000-0000D91C0000}"/>
    <cellStyle name="Normal 111 7 2 3 2" xfId="28931" xr:uid="{00000000-0005-0000-0000-0000DA1C0000}"/>
    <cellStyle name="Normal 111 7 2 4" xfId="20888" xr:uid="{00000000-0005-0000-0000-0000DB1C0000}"/>
    <cellStyle name="Normal 111 7 3" xfId="7134" xr:uid="{00000000-0005-0000-0000-0000DC1C0000}"/>
    <cellStyle name="Normal 111 7 3 2" xfId="16315" xr:uid="{00000000-0005-0000-0000-0000DD1C0000}"/>
    <cellStyle name="Normal 111 7 3 2 2" xfId="32889" xr:uid="{00000000-0005-0000-0000-0000DE1C0000}"/>
    <cellStyle name="Normal 111 7 3 3" xfId="24842" xr:uid="{00000000-0005-0000-0000-0000DF1C0000}"/>
    <cellStyle name="Normal 111 7 4" xfId="12405" xr:uid="{00000000-0005-0000-0000-0000E01C0000}"/>
    <cellStyle name="Normal 111 7 4 2" xfId="28930" xr:uid="{00000000-0005-0000-0000-0000E11C0000}"/>
    <cellStyle name="Normal 111 7 5" xfId="20887" xr:uid="{00000000-0005-0000-0000-0000E21C0000}"/>
    <cellStyle name="Normal 111 8" xfId="2906" xr:uid="{00000000-0005-0000-0000-0000E31C0000}"/>
    <cellStyle name="Normal 111 8 2" xfId="7135" xr:uid="{00000000-0005-0000-0000-0000E41C0000}"/>
    <cellStyle name="Normal 111 8 2 2" xfId="16316" xr:uid="{00000000-0005-0000-0000-0000E51C0000}"/>
    <cellStyle name="Normal 111 8 2 2 2" xfId="32890" xr:uid="{00000000-0005-0000-0000-0000E61C0000}"/>
    <cellStyle name="Normal 111 8 2 3" xfId="24843" xr:uid="{00000000-0005-0000-0000-0000E71C0000}"/>
    <cellStyle name="Normal 111 8 3" xfId="12407" xr:uid="{00000000-0005-0000-0000-0000E81C0000}"/>
    <cellStyle name="Normal 111 8 3 2" xfId="28932" xr:uid="{00000000-0005-0000-0000-0000E91C0000}"/>
    <cellStyle name="Normal 111 8 4" xfId="20889" xr:uid="{00000000-0005-0000-0000-0000EA1C0000}"/>
    <cellStyle name="Normal 111 9" xfId="7136" xr:uid="{00000000-0005-0000-0000-0000EB1C0000}"/>
    <cellStyle name="Normal 111 9 2" xfId="16317" xr:uid="{00000000-0005-0000-0000-0000EC1C0000}"/>
    <cellStyle name="Normal 111 9 2 2" xfId="32891" xr:uid="{00000000-0005-0000-0000-0000ED1C0000}"/>
    <cellStyle name="Normal 111 9 3" xfId="24844" xr:uid="{00000000-0005-0000-0000-0000EE1C0000}"/>
    <cellStyle name="Normal 112" xfId="2907" xr:uid="{00000000-0005-0000-0000-0000EF1C0000}"/>
    <cellStyle name="Normal 112 10" xfId="12408" xr:uid="{00000000-0005-0000-0000-0000F01C0000}"/>
    <cellStyle name="Normal 112 10 2" xfId="28933" xr:uid="{00000000-0005-0000-0000-0000F11C0000}"/>
    <cellStyle name="Normal 112 11" xfId="20890" xr:uid="{00000000-0005-0000-0000-0000F21C0000}"/>
    <cellStyle name="Normal 112 2" xfId="2908" xr:uid="{00000000-0005-0000-0000-0000F31C0000}"/>
    <cellStyle name="Normal 112 2 2" xfId="2909" xr:uid="{00000000-0005-0000-0000-0000F41C0000}"/>
    <cellStyle name="Normal 112 2 3" xfId="12409" xr:uid="{00000000-0005-0000-0000-0000F51C0000}"/>
    <cellStyle name="Normal 112 2 3 2" xfId="28934" xr:uid="{00000000-0005-0000-0000-0000F61C0000}"/>
    <cellStyle name="Normal 112 2 4" xfId="20891" xr:uid="{00000000-0005-0000-0000-0000F71C0000}"/>
    <cellStyle name="Normal 112 3" xfId="2910" xr:uid="{00000000-0005-0000-0000-0000F81C0000}"/>
    <cellStyle name="Normal 112 3 2" xfId="2911" xr:uid="{00000000-0005-0000-0000-0000F91C0000}"/>
    <cellStyle name="Normal 112 3 2 2" xfId="2912" xr:uid="{00000000-0005-0000-0000-0000FA1C0000}"/>
    <cellStyle name="Normal 112 3 2 2 2" xfId="2913" xr:uid="{00000000-0005-0000-0000-0000FB1C0000}"/>
    <cellStyle name="Normal 112 3 2 2 2 2" xfId="7137" xr:uid="{00000000-0005-0000-0000-0000FC1C0000}"/>
    <cellStyle name="Normal 112 3 2 2 2 2 2" xfId="16318" xr:uid="{00000000-0005-0000-0000-0000FD1C0000}"/>
    <cellStyle name="Normal 112 3 2 2 2 2 2 2" xfId="32892" xr:uid="{00000000-0005-0000-0000-0000FE1C0000}"/>
    <cellStyle name="Normal 112 3 2 2 2 2 3" xfId="24845" xr:uid="{00000000-0005-0000-0000-0000FF1C0000}"/>
    <cellStyle name="Normal 112 3 2 2 2 3" xfId="12412" xr:uid="{00000000-0005-0000-0000-0000001D0000}"/>
    <cellStyle name="Normal 112 3 2 2 2 3 2" xfId="28937" xr:uid="{00000000-0005-0000-0000-0000011D0000}"/>
    <cellStyle name="Normal 112 3 2 2 2 4" xfId="20894" xr:uid="{00000000-0005-0000-0000-0000021D0000}"/>
    <cellStyle name="Normal 112 3 2 2 3" xfId="7138" xr:uid="{00000000-0005-0000-0000-0000031D0000}"/>
    <cellStyle name="Normal 112 3 2 2 3 2" xfId="16319" xr:uid="{00000000-0005-0000-0000-0000041D0000}"/>
    <cellStyle name="Normal 112 3 2 2 3 2 2" xfId="32893" xr:uid="{00000000-0005-0000-0000-0000051D0000}"/>
    <cellStyle name="Normal 112 3 2 2 3 3" xfId="24846" xr:uid="{00000000-0005-0000-0000-0000061D0000}"/>
    <cellStyle name="Normal 112 3 2 2 4" xfId="12411" xr:uid="{00000000-0005-0000-0000-0000071D0000}"/>
    <cellStyle name="Normal 112 3 2 2 4 2" xfId="28936" xr:uid="{00000000-0005-0000-0000-0000081D0000}"/>
    <cellStyle name="Normal 112 3 2 2 5" xfId="20893" xr:uid="{00000000-0005-0000-0000-0000091D0000}"/>
    <cellStyle name="Normal 112 3 2 3" xfId="2914" xr:uid="{00000000-0005-0000-0000-00000A1D0000}"/>
    <cellStyle name="Normal 112 3 2 3 2" xfId="7139" xr:uid="{00000000-0005-0000-0000-00000B1D0000}"/>
    <cellStyle name="Normal 112 3 2 3 2 2" xfId="16320" xr:uid="{00000000-0005-0000-0000-00000C1D0000}"/>
    <cellStyle name="Normal 112 3 2 3 2 2 2" xfId="32894" xr:uid="{00000000-0005-0000-0000-00000D1D0000}"/>
    <cellStyle name="Normal 112 3 2 3 2 3" xfId="24847" xr:uid="{00000000-0005-0000-0000-00000E1D0000}"/>
    <cellStyle name="Normal 112 3 2 3 3" xfId="12413" xr:uid="{00000000-0005-0000-0000-00000F1D0000}"/>
    <cellStyle name="Normal 112 3 2 3 3 2" xfId="28938" xr:uid="{00000000-0005-0000-0000-0000101D0000}"/>
    <cellStyle name="Normal 112 3 2 3 4" xfId="20895" xr:uid="{00000000-0005-0000-0000-0000111D0000}"/>
    <cellStyle name="Normal 112 3 2 4" xfId="7140" xr:uid="{00000000-0005-0000-0000-0000121D0000}"/>
    <cellStyle name="Normal 112 3 2 4 2" xfId="16321" xr:uid="{00000000-0005-0000-0000-0000131D0000}"/>
    <cellStyle name="Normal 112 3 2 4 2 2" xfId="32895" xr:uid="{00000000-0005-0000-0000-0000141D0000}"/>
    <cellStyle name="Normal 112 3 2 4 3" xfId="24848" xr:uid="{00000000-0005-0000-0000-0000151D0000}"/>
    <cellStyle name="Normal 112 3 2 5" xfId="12410" xr:uid="{00000000-0005-0000-0000-0000161D0000}"/>
    <cellStyle name="Normal 112 3 2 5 2" xfId="28935" xr:uid="{00000000-0005-0000-0000-0000171D0000}"/>
    <cellStyle name="Normal 112 3 2 6" xfId="20892" xr:uid="{00000000-0005-0000-0000-0000181D0000}"/>
    <cellStyle name="Normal 112 3 3" xfId="2915" xr:uid="{00000000-0005-0000-0000-0000191D0000}"/>
    <cellStyle name="Normal 112 3 3 2" xfId="2916" xr:uid="{00000000-0005-0000-0000-00001A1D0000}"/>
    <cellStyle name="Normal 112 3 3 2 2" xfId="7141" xr:uid="{00000000-0005-0000-0000-00001B1D0000}"/>
    <cellStyle name="Normal 112 3 3 2 2 2" xfId="16322" xr:uid="{00000000-0005-0000-0000-00001C1D0000}"/>
    <cellStyle name="Normal 112 3 3 2 2 2 2" xfId="32896" xr:uid="{00000000-0005-0000-0000-00001D1D0000}"/>
    <cellStyle name="Normal 112 3 3 2 2 3" xfId="24849" xr:uid="{00000000-0005-0000-0000-00001E1D0000}"/>
    <cellStyle name="Normal 112 3 3 2 3" xfId="12415" xr:uid="{00000000-0005-0000-0000-00001F1D0000}"/>
    <cellStyle name="Normal 112 3 3 2 3 2" xfId="28940" xr:uid="{00000000-0005-0000-0000-0000201D0000}"/>
    <cellStyle name="Normal 112 3 3 2 4" xfId="20897" xr:uid="{00000000-0005-0000-0000-0000211D0000}"/>
    <cellStyle name="Normal 112 3 3 3" xfId="7142" xr:uid="{00000000-0005-0000-0000-0000221D0000}"/>
    <cellStyle name="Normal 112 3 3 3 2" xfId="16323" xr:uid="{00000000-0005-0000-0000-0000231D0000}"/>
    <cellStyle name="Normal 112 3 3 3 2 2" xfId="32897" xr:uid="{00000000-0005-0000-0000-0000241D0000}"/>
    <cellStyle name="Normal 112 3 3 3 3" xfId="24850" xr:uid="{00000000-0005-0000-0000-0000251D0000}"/>
    <cellStyle name="Normal 112 3 3 4" xfId="12414" xr:uid="{00000000-0005-0000-0000-0000261D0000}"/>
    <cellStyle name="Normal 112 3 3 4 2" xfId="28939" xr:uid="{00000000-0005-0000-0000-0000271D0000}"/>
    <cellStyle name="Normal 112 3 3 5" xfId="20896" xr:uid="{00000000-0005-0000-0000-0000281D0000}"/>
    <cellStyle name="Normal 112 3 4" xfId="2917" xr:uid="{00000000-0005-0000-0000-0000291D0000}"/>
    <cellStyle name="Normal 112 3 4 2" xfId="7143" xr:uid="{00000000-0005-0000-0000-00002A1D0000}"/>
    <cellStyle name="Normal 112 3 4 2 2" xfId="16324" xr:uid="{00000000-0005-0000-0000-00002B1D0000}"/>
    <cellStyle name="Normal 112 3 4 2 2 2" xfId="32898" xr:uid="{00000000-0005-0000-0000-00002C1D0000}"/>
    <cellStyle name="Normal 112 3 4 2 3" xfId="24851" xr:uid="{00000000-0005-0000-0000-00002D1D0000}"/>
    <cellStyle name="Normal 112 3 4 3" xfId="12416" xr:uid="{00000000-0005-0000-0000-00002E1D0000}"/>
    <cellStyle name="Normal 112 3 4 3 2" xfId="28941" xr:uid="{00000000-0005-0000-0000-00002F1D0000}"/>
    <cellStyle name="Normal 112 3 4 4" xfId="20898" xr:uid="{00000000-0005-0000-0000-0000301D0000}"/>
    <cellStyle name="Normal 112 3 5" xfId="2918" xr:uid="{00000000-0005-0000-0000-0000311D0000}"/>
    <cellStyle name="Normal 112 3 5 2" xfId="12417" xr:uid="{00000000-0005-0000-0000-0000321D0000}"/>
    <cellStyle name="Normal 112 3 5 2 2" xfId="28942" xr:uid="{00000000-0005-0000-0000-0000331D0000}"/>
    <cellStyle name="Normal 112 3 5 3" xfId="20899" xr:uid="{00000000-0005-0000-0000-0000341D0000}"/>
    <cellStyle name="Normal 112 4" xfId="2919" xr:uid="{00000000-0005-0000-0000-0000351D0000}"/>
    <cellStyle name="Normal 112 4 2" xfId="2920" xr:uid="{00000000-0005-0000-0000-0000361D0000}"/>
    <cellStyle name="Normal 112 4 2 2" xfId="2921" xr:uid="{00000000-0005-0000-0000-0000371D0000}"/>
    <cellStyle name="Normal 112 4 2 2 2" xfId="2922" xr:uid="{00000000-0005-0000-0000-0000381D0000}"/>
    <cellStyle name="Normal 112 4 2 2 2 2" xfId="7144" xr:uid="{00000000-0005-0000-0000-0000391D0000}"/>
    <cellStyle name="Normal 112 4 2 2 2 2 2" xfId="16325" xr:uid="{00000000-0005-0000-0000-00003A1D0000}"/>
    <cellStyle name="Normal 112 4 2 2 2 2 2 2" xfId="32899" xr:uid="{00000000-0005-0000-0000-00003B1D0000}"/>
    <cellStyle name="Normal 112 4 2 2 2 2 3" xfId="24852" xr:uid="{00000000-0005-0000-0000-00003C1D0000}"/>
    <cellStyle name="Normal 112 4 2 2 2 3" xfId="12421" xr:uid="{00000000-0005-0000-0000-00003D1D0000}"/>
    <cellStyle name="Normal 112 4 2 2 2 3 2" xfId="28946" xr:uid="{00000000-0005-0000-0000-00003E1D0000}"/>
    <cellStyle name="Normal 112 4 2 2 2 4" xfId="20903" xr:uid="{00000000-0005-0000-0000-00003F1D0000}"/>
    <cellStyle name="Normal 112 4 2 2 3" xfId="7145" xr:uid="{00000000-0005-0000-0000-0000401D0000}"/>
    <cellStyle name="Normal 112 4 2 2 3 2" xfId="16326" xr:uid="{00000000-0005-0000-0000-0000411D0000}"/>
    <cellStyle name="Normal 112 4 2 2 3 2 2" xfId="32900" xr:uid="{00000000-0005-0000-0000-0000421D0000}"/>
    <cellStyle name="Normal 112 4 2 2 3 3" xfId="24853" xr:uid="{00000000-0005-0000-0000-0000431D0000}"/>
    <cellStyle name="Normal 112 4 2 2 4" xfId="12420" xr:uid="{00000000-0005-0000-0000-0000441D0000}"/>
    <cellStyle name="Normal 112 4 2 2 4 2" xfId="28945" xr:uid="{00000000-0005-0000-0000-0000451D0000}"/>
    <cellStyle name="Normal 112 4 2 2 5" xfId="20902" xr:uid="{00000000-0005-0000-0000-0000461D0000}"/>
    <cellStyle name="Normal 112 4 2 3" xfId="2923" xr:uid="{00000000-0005-0000-0000-0000471D0000}"/>
    <cellStyle name="Normal 112 4 2 3 2" xfId="7146" xr:uid="{00000000-0005-0000-0000-0000481D0000}"/>
    <cellStyle name="Normal 112 4 2 3 2 2" xfId="16327" xr:uid="{00000000-0005-0000-0000-0000491D0000}"/>
    <cellStyle name="Normal 112 4 2 3 2 2 2" xfId="32901" xr:uid="{00000000-0005-0000-0000-00004A1D0000}"/>
    <cellStyle name="Normal 112 4 2 3 2 3" xfId="24854" xr:uid="{00000000-0005-0000-0000-00004B1D0000}"/>
    <cellStyle name="Normal 112 4 2 3 3" xfId="12422" xr:uid="{00000000-0005-0000-0000-00004C1D0000}"/>
    <cellStyle name="Normal 112 4 2 3 3 2" xfId="28947" xr:uid="{00000000-0005-0000-0000-00004D1D0000}"/>
    <cellStyle name="Normal 112 4 2 3 4" xfId="20904" xr:uid="{00000000-0005-0000-0000-00004E1D0000}"/>
    <cellStyle name="Normal 112 4 2 4" xfId="7147" xr:uid="{00000000-0005-0000-0000-00004F1D0000}"/>
    <cellStyle name="Normal 112 4 2 4 2" xfId="16328" xr:uid="{00000000-0005-0000-0000-0000501D0000}"/>
    <cellStyle name="Normal 112 4 2 4 2 2" xfId="32902" xr:uid="{00000000-0005-0000-0000-0000511D0000}"/>
    <cellStyle name="Normal 112 4 2 4 3" xfId="24855" xr:uid="{00000000-0005-0000-0000-0000521D0000}"/>
    <cellStyle name="Normal 112 4 2 5" xfId="12419" xr:uid="{00000000-0005-0000-0000-0000531D0000}"/>
    <cellStyle name="Normal 112 4 2 5 2" xfId="28944" xr:uid="{00000000-0005-0000-0000-0000541D0000}"/>
    <cellStyle name="Normal 112 4 2 6" xfId="20901" xr:uid="{00000000-0005-0000-0000-0000551D0000}"/>
    <cellStyle name="Normal 112 4 3" xfId="2924" xr:uid="{00000000-0005-0000-0000-0000561D0000}"/>
    <cellStyle name="Normal 112 4 3 2" xfId="2925" xr:uid="{00000000-0005-0000-0000-0000571D0000}"/>
    <cellStyle name="Normal 112 4 3 2 2" xfId="7148" xr:uid="{00000000-0005-0000-0000-0000581D0000}"/>
    <cellStyle name="Normal 112 4 3 2 2 2" xfId="16329" xr:uid="{00000000-0005-0000-0000-0000591D0000}"/>
    <cellStyle name="Normal 112 4 3 2 2 2 2" xfId="32903" xr:uid="{00000000-0005-0000-0000-00005A1D0000}"/>
    <cellStyle name="Normal 112 4 3 2 2 3" xfId="24856" xr:uid="{00000000-0005-0000-0000-00005B1D0000}"/>
    <cellStyle name="Normal 112 4 3 2 3" xfId="12424" xr:uid="{00000000-0005-0000-0000-00005C1D0000}"/>
    <cellStyle name="Normal 112 4 3 2 3 2" xfId="28949" xr:uid="{00000000-0005-0000-0000-00005D1D0000}"/>
    <cellStyle name="Normal 112 4 3 2 4" xfId="20906" xr:uid="{00000000-0005-0000-0000-00005E1D0000}"/>
    <cellStyle name="Normal 112 4 3 3" xfId="7149" xr:uid="{00000000-0005-0000-0000-00005F1D0000}"/>
    <cellStyle name="Normal 112 4 3 3 2" xfId="16330" xr:uid="{00000000-0005-0000-0000-0000601D0000}"/>
    <cellStyle name="Normal 112 4 3 3 2 2" xfId="32904" xr:uid="{00000000-0005-0000-0000-0000611D0000}"/>
    <cellStyle name="Normal 112 4 3 3 3" xfId="24857" xr:uid="{00000000-0005-0000-0000-0000621D0000}"/>
    <cellStyle name="Normal 112 4 3 4" xfId="12423" xr:uid="{00000000-0005-0000-0000-0000631D0000}"/>
    <cellStyle name="Normal 112 4 3 4 2" xfId="28948" xr:uid="{00000000-0005-0000-0000-0000641D0000}"/>
    <cellStyle name="Normal 112 4 3 5" xfId="20905" xr:uid="{00000000-0005-0000-0000-0000651D0000}"/>
    <cellStyle name="Normal 112 4 4" xfId="2926" xr:uid="{00000000-0005-0000-0000-0000661D0000}"/>
    <cellStyle name="Normal 112 4 4 2" xfId="7150" xr:uid="{00000000-0005-0000-0000-0000671D0000}"/>
    <cellStyle name="Normal 112 4 4 2 2" xfId="16331" xr:uid="{00000000-0005-0000-0000-0000681D0000}"/>
    <cellStyle name="Normal 112 4 4 2 2 2" xfId="32905" xr:uid="{00000000-0005-0000-0000-0000691D0000}"/>
    <cellStyle name="Normal 112 4 4 2 3" xfId="24858" xr:uid="{00000000-0005-0000-0000-00006A1D0000}"/>
    <cellStyle name="Normal 112 4 4 3" xfId="12425" xr:uid="{00000000-0005-0000-0000-00006B1D0000}"/>
    <cellStyle name="Normal 112 4 4 3 2" xfId="28950" xr:uid="{00000000-0005-0000-0000-00006C1D0000}"/>
    <cellStyle name="Normal 112 4 4 4" xfId="20907" xr:uid="{00000000-0005-0000-0000-00006D1D0000}"/>
    <cellStyle name="Normal 112 4 5" xfId="7151" xr:uid="{00000000-0005-0000-0000-00006E1D0000}"/>
    <cellStyle name="Normal 112 4 5 2" xfId="16332" xr:uid="{00000000-0005-0000-0000-00006F1D0000}"/>
    <cellStyle name="Normal 112 4 5 2 2" xfId="32906" xr:uid="{00000000-0005-0000-0000-0000701D0000}"/>
    <cellStyle name="Normal 112 4 5 3" xfId="24859" xr:uid="{00000000-0005-0000-0000-0000711D0000}"/>
    <cellStyle name="Normal 112 4 6" xfId="12418" xr:uid="{00000000-0005-0000-0000-0000721D0000}"/>
    <cellStyle name="Normal 112 4 6 2" xfId="28943" xr:uid="{00000000-0005-0000-0000-0000731D0000}"/>
    <cellStyle name="Normal 112 4 7" xfId="20900" xr:uid="{00000000-0005-0000-0000-0000741D0000}"/>
    <cellStyle name="Normal 112 5" xfId="2927" xr:uid="{00000000-0005-0000-0000-0000751D0000}"/>
    <cellStyle name="Normal 112 5 2" xfId="2928" xr:uid="{00000000-0005-0000-0000-0000761D0000}"/>
    <cellStyle name="Normal 112 5 2 2" xfId="2929" xr:uid="{00000000-0005-0000-0000-0000771D0000}"/>
    <cellStyle name="Normal 112 5 2 2 2" xfId="2930" xr:uid="{00000000-0005-0000-0000-0000781D0000}"/>
    <cellStyle name="Normal 112 5 2 2 2 2" xfId="7152" xr:uid="{00000000-0005-0000-0000-0000791D0000}"/>
    <cellStyle name="Normal 112 5 2 2 2 2 2" xfId="16333" xr:uid="{00000000-0005-0000-0000-00007A1D0000}"/>
    <cellStyle name="Normal 112 5 2 2 2 2 2 2" xfId="32907" xr:uid="{00000000-0005-0000-0000-00007B1D0000}"/>
    <cellStyle name="Normal 112 5 2 2 2 2 3" xfId="24860" xr:uid="{00000000-0005-0000-0000-00007C1D0000}"/>
    <cellStyle name="Normal 112 5 2 2 2 3" xfId="12429" xr:uid="{00000000-0005-0000-0000-00007D1D0000}"/>
    <cellStyle name="Normal 112 5 2 2 2 3 2" xfId="28954" xr:uid="{00000000-0005-0000-0000-00007E1D0000}"/>
    <cellStyle name="Normal 112 5 2 2 2 4" xfId="20911" xr:uid="{00000000-0005-0000-0000-00007F1D0000}"/>
    <cellStyle name="Normal 112 5 2 2 3" xfId="7153" xr:uid="{00000000-0005-0000-0000-0000801D0000}"/>
    <cellStyle name="Normal 112 5 2 2 3 2" xfId="16334" xr:uid="{00000000-0005-0000-0000-0000811D0000}"/>
    <cellStyle name="Normal 112 5 2 2 3 2 2" xfId="32908" xr:uid="{00000000-0005-0000-0000-0000821D0000}"/>
    <cellStyle name="Normal 112 5 2 2 3 3" xfId="24861" xr:uid="{00000000-0005-0000-0000-0000831D0000}"/>
    <cellStyle name="Normal 112 5 2 2 4" xfId="12428" xr:uid="{00000000-0005-0000-0000-0000841D0000}"/>
    <cellStyle name="Normal 112 5 2 2 4 2" xfId="28953" xr:uid="{00000000-0005-0000-0000-0000851D0000}"/>
    <cellStyle name="Normal 112 5 2 2 5" xfId="20910" xr:uid="{00000000-0005-0000-0000-0000861D0000}"/>
    <cellStyle name="Normal 112 5 2 3" xfId="2931" xr:uid="{00000000-0005-0000-0000-0000871D0000}"/>
    <cellStyle name="Normal 112 5 2 3 2" xfId="7154" xr:uid="{00000000-0005-0000-0000-0000881D0000}"/>
    <cellStyle name="Normal 112 5 2 3 2 2" xfId="16335" xr:uid="{00000000-0005-0000-0000-0000891D0000}"/>
    <cellStyle name="Normal 112 5 2 3 2 2 2" xfId="32909" xr:uid="{00000000-0005-0000-0000-00008A1D0000}"/>
    <cellStyle name="Normal 112 5 2 3 2 3" xfId="24862" xr:uid="{00000000-0005-0000-0000-00008B1D0000}"/>
    <cellStyle name="Normal 112 5 2 3 3" xfId="12430" xr:uid="{00000000-0005-0000-0000-00008C1D0000}"/>
    <cellStyle name="Normal 112 5 2 3 3 2" xfId="28955" xr:uid="{00000000-0005-0000-0000-00008D1D0000}"/>
    <cellStyle name="Normal 112 5 2 3 4" xfId="20912" xr:uid="{00000000-0005-0000-0000-00008E1D0000}"/>
    <cellStyle name="Normal 112 5 2 4" xfId="7155" xr:uid="{00000000-0005-0000-0000-00008F1D0000}"/>
    <cellStyle name="Normal 112 5 2 4 2" xfId="16336" xr:uid="{00000000-0005-0000-0000-0000901D0000}"/>
    <cellStyle name="Normal 112 5 2 4 2 2" xfId="32910" xr:uid="{00000000-0005-0000-0000-0000911D0000}"/>
    <cellStyle name="Normal 112 5 2 4 3" xfId="24863" xr:uid="{00000000-0005-0000-0000-0000921D0000}"/>
    <cellStyle name="Normal 112 5 2 5" xfId="12427" xr:uid="{00000000-0005-0000-0000-0000931D0000}"/>
    <cellStyle name="Normal 112 5 2 5 2" xfId="28952" xr:uid="{00000000-0005-0000-0000-0000941D0000}"/>
    <cellStyle name="Normal 112 5 2 6" xfId="20909" xr:uid="{00000000-0005-0000-0000-0000951D0000}"/>
    <cellStyle name="Normal 112 5 3" xfId="2932" xr:uid="{00000000-0005-0000-0000-0000961D0000}"/>
    <cellStyle name="Normal 112 5 3 2" xfId="2933" xr:uid="{00000000-0005-0000-0000-0000971D0000}"/>
    <cellStyle name="Normal 112 5 3 2 2" xfId="7156" xr:uid="{00000000-0005-0000-0000-0000981D0000}"/>
    <cellStyle name="Normal 112 5 3 2 2 2" xfId="16337" xr:uid="{00000000-0005-0000-0000-0000991D0000}"/>
    <cellStyle name="Normal 112 5 3 2 2 2 2" xfId="32911" xr:uid="{00000000-0005-0000-0000-00009A1D0000}"/>
    <cellStyle name="Normal 112 5 3 2 2 3" xfId="24864" xr:uid="{00000000-0005-0000-0000-00009B1D0000}"/>
    <cellStyle name="Normal 112 5 3 2 3" xfId="12432" xr:uid="{00000000-0005-0000-0000-00009C1D0000}"/>
    <cellStyle name="Normal 112 5 3 2 3 2" xfId="28957" xr:uid="{00000000-0005-0000-0000-00009D1D0000}"/>
    <cellStyle name="Normal 112 5 3 2 4" xfId="20914" xr:uid="{00000000-0005-0000-0000-00009E1D0000}"/>
    <cellStyle name="Normal 112 5 3 3" xfId="7157" xr:uid="{00000000-0005-0000-0000-00009F1D0000}"/>
    <cellStyle name="Normal 112 5 3 3 2" xfId="16338" xr:uid="{00000000-0005-0000-0000-0000A01D0000}"/>
    <cellStyle name="Normal 112 5 3 3 2 2" xfId="32912" xr:uid="{00000000-0005-0000-0000-0000A11D0000}"/>
    <cellStyle name="Normal 112 5 3 3 3" xfId="24865" xr:uid="{00000000-0005-0000-0000-0000A21D0000}"/>
    <cellStyle name="Normal 112 5 3 4" xfId="12431" xr:uid="{00000000-0005-0000-0000-0000A31D0000}"/>
    <cellStyle name="Normal 112 5 3 4 2" xfId="28956" xr:uid="{00000000-0005-0000-0000-0000A41D0000}"/>
    <cellStyle name="Normal 112 5 3 5" xfId="20913" xr:uid="{00000000-0005-0000-0000-0000A51D0000}"/>
    <cellStyle name="Normal 112 5 4" xfId="2934" xr:uid="{00000000-0005-0000-0000-0000A61D0000}"/>
    <cellStyle name="Normal 112 5 4 2" xfId="7158" xr:uid="{00000000-0005-0000-0000-0000A71D0000}"/>
    <cellStyle name="Normal 112 5 4 2 2" xfId="16339" xr:uid="{00000000-0005-0000-0000-0000A81D0000}"/>
    <cellStyle name="Normal 112 5 4 2 2 2" xfId="32913" xr:uid="{00000000-0005-0000-0000-0000A91D0000}"/>
    <cellStyle name="Normal 112 5 4 2 3" xfId="24866" xr:uid="{00000000-0005-0000-0000-0000AA1D0000}"/>
    <cellStyle name="Normal 112 5 4 3" xfId="12433" xr:uid="{00000000-0005-0000-0000-0000AB1D0000}"/>
    <cellStyle name="Normal 112 5 4 3 2" xfId="28958" xr:uid="{00000000-0005-0000-0000-0000AC1D0000}"/>
    <cellStyle name="Normal 112 5 4 4" xfId="20915" xr:uid="{00000000-0005-0000-0000-0000AD1D0000}"/>
    <cellStyle name="Normal 112 5 5" xfId="7159" xr:uid="{00000000-0005-0000-0000-0000AE1D0000}"/>
    <cellStyle name="Normal 112 5 5 2" xfId="16340" xr:uid="{00000000-0005-0000-0000-0000AF1D0000}"/>
    <cellStyle name="Normal 112 5 5 2 2" xfId="32914" xr:uid="{00000000-0005-0000-0000-0000B01D0000}"/>
    <cellStyle name="Normal 112 5 5 3" xfId="24867" xr:uid="{00000000-0005-0000-0000-0000B11D0000}"/>
    <cellStyle name="Normal 112 5 6" xfId="12426" xr:uid="{00000000-0005-0000-0000-0000B21D0000}"/>
    <cellStyle name="Normal 112 5 6 2" xfId="28951" xr:uid="{00000000-0005-0000-0000-0000B31D0000}"/>
    <cellStyle name="Normal 112 5 7" xfId="20908" xr:uid="{00000000-0005-0000-0000-0000B41D0000}"/>
    <cellStyle name="Normal 112 6" xfId="2935" xr:uid="{00000000-0005-0000-0000-0000B51D0000}"/>
    <cellStyle name="Normal 112 6 2" xfId="2936" xr:uid="{00000000-0005-0000-0000-0000B61D0000}"/>
    <cellStyle name="Normal 112 6 2 2" xfId="2937" xr:uid="{00000000-0005-0000-0000-0000B71D0000}"/>
    <cellStyle name="Normal 112 6 2 2 2" xfId="7160" xr:uid="{00000000-0005-0000-0000-0000B81D0000}"/>
    <cellStyle name="Normal 112 6 2 2 2 2" xfId="16341" xr:uid="{00000000-0005-0000-0000-0000B91D0000}"/>
    <cellStyle name="Normal 112 6 2 2 2 2 2" xfId="32915" xr:uid="{00000000-0005-0000-0000-0000BA1D0000}"/>
    <cellStyle name="Normal 112 6 2 2 2 3" xfId="24868" xr:uid="{00000000-0005-0000-0000-0000BB1D0000}"/>
    <cellStyle name="Normal 112 6 2 2 3" xfId="12436" xr:uid="{00000000-0005-0000-0000-0000BC1D0000}"/>
    <cellStyle name="Normal 112 6 2 2 3 2" xfId="28961" xr:uid="{00000000-0005-0000-0000-0000BD1D0000}"/>
    <cellStyle name="Normal 112 6 2 2 4" xfId="20918" xr:uid="{00000000-0005-0000-0000-0000BE1D0000}"/>
    <cellStyle name="Normal 112 6 2 3" xfId="7161" xr:uid="{00000000-0005-0000-0000-0000BF1D0000}"/>
    <cellStyle name="Normal 112 6 2 3 2" xfId="16342" xr:uid="{00000000-0005-0000-0000-0000C01D0000}"/>
    <cellStyle name="Normal 112 6 2 3 2 2" xfId="32916" xr:uid="{00000000-0005-0000-0000-0000C11D0000}"/>
    <cellStyle name="Normal 112 6 2 3 3" xfId="24869" xr:uid="{00000000-0005-0000-0000-0000C21D0000}"/>
    <cellStyle name="Normal 112 6 2 4" xfId="12435" xr:uid="{00000000-0005-0000-0000-0000C31D0000}"/>
    <cellStyle name="Normal 112 6 2 4 2" xfId="28960" xr:uid="{00000000-0005-0000-0000-0000C41D0000}"/>
    <cellStyle name="Normal 112 6 2 5" xfId="20917" xr:uid="{00000000-0005-0000-0000-0000C51D0000}"/>
    <cellStyle name="Normal 112 6 3" xfId="2938" xr:uid="{00000000-0005-0000-0000-0000C61D0000}"/>
    <cellStyle name="Normal 112 6 3 2" xfId="7162" xr:uid="{00000000-0005-0000-0000-0000C71D0000}"/>
    <cellStyle name="Normal 112 6 3 2 2" xfId="16343" xr:uid="{00000000-0005-0000-0000-0000C81D0000}"/>
    <cellStyle name="Normal 112 6 3 2 2 2" xfId="32917" xr:uid="{00000000-0005-0000-0000-0000C91D0000}"/>
    <cellStyle name="Normal 112 6 3 2 3" xfId="24870" xr:uid="{00000000-0005-0000-0000-0000CA1D0000}"/>
    <cellStyle name="Normal 112 6 3 3" xfId="12437" xr:uid="{00000000-0005-0000-0000-0000CB1D0000}"/>
    <cellStyle name="Normal 112 6 3 3 2" xfId="28962" xr:uid="{00000000-0005-0000-0000-0000CC1D0000}"/>
    <cellStyle name="Normal 112 6 3 4" xfId="20919" xr:uid="{00000000-0005-0000-0000-0000CD1D0000}"/>
    <cellStyle name="Normal 112 6 4" xfId="7163" xr:uid="{00000000-0005-0000-0000-0000CE1D0000}"/>
    <cellStyle name="Normal 112 6 4 2" xfId="16344" xr:uid="{00000000-0005-0000-0000-0000CF1D0000}"/>
    <cellStyle name="Normal 112 6 4 2 2" xfId="32918" xr:uid="{00000000-0005-0000-0000-0000D01D0000}"/>
    <cellStyle name="Normal 112 6 4 3" xfId="24871" xr:uid="{00000000-0005-0000-0000-0000D11D0000}"/>
    <cellStyle name="Normal 112 6 5" xfId="12434" xr:uid="{00000000-0005-0000-0000-0000D21D0000}"/>
    <cellStyle name="Normal 112 6 5 2" xfId="28959" xr:uid="{00000000-0005-0000-0000-0000D31D0000}"/>
    <cellStyle name="Normal 112 6 6" xfId="20916" xr:uid="{00000000-0005-0000-0000-0000D41D0000}"/>
    <cellStyle name="Normal 112 7" xfId="2939" xr:uid="{00000000-0005-0000-0000-0000D51D0000}"/>
    <cellStyle name="Normal 112 7 2" xfId="2940" xr:uid="{00000000-0005-0000-0000-0000D61D0000}"/>
    <cellStyle name="Normal 112 7 2 2" xfId="7164" xr:uid="{00000000-0005-0000-0000-0000D71D0000}"/>
    <cellStyle name="Normal 112 7 2 2 2" xfId="16345" xr:uid="{00000000-0005-0000-0000-0000D81D0000}"/>
    <cellStyle name="Normal 112 7 2 2 2 2" xfId="32919" xr:uid="{00000000-0005-0000-0000-0000D91D0000}"/>
    <cellStyle name="Normal 112 7 2 2 3" xfId="24872" xr:uid="{00000000-0005-0000-0000-0000DA1D0000}"/>
    <cellStyle name="Normal 112 7 2 3" xfId="12439" xr:uid="{00000000-0005-0000-0000-0000DB1D0000}"/>
    <cellStyle name="Normal 112 7 2 3 2" xfId="28964" xr:uid="{00000000-0005-0000-0000-0000DC1D0000}"/>
    <cellStyle name="Normal 112 7 2 4" xfId="20921" xr:uid="{00000000-0005-0000-0000-0000DD1D0000}"/>
    <cellStyle name="Normal 112 7 3" xfId="7165" xr:uid="{00000000-0005-0000-0000-0000DE1D0000}"/>
    <cellStyle name="Normal 112 7 3 2" xfId="16346" xr:uid="{00000000-0005-0000-0000-0000DF1D0000}"/>
    <cellStyle name="Normal 112 7 3 2 2" xfId="32920" xr:uid="{00000000-0005-0000-0000-0000E01D0000}"/>
    <cellStyle name="Normal 112 7 3 3" xfId="24873" xr:uid="{00000000-0005-0000-0000-0000E11D0000}"/>
    <cellStyle name="Normal 112 7 4" xfId="12438" xr:uid="{00000000-0005-0000-0000-0000E21D0000}"/>
    <cellStyle name="Normal 112 7 4 2" xfId="28963" xr:uid="{00000000-0005-0000-0000-0000E31D0000}"/>
    <cellStyle name="Normal 112 7 5" xfId="20920" xr:uid="{00000000-0005-0000-0000-0000E41D0000}"/>
    <cellStyle name="Normal 112 8" xfId="2941" xr:uid="{00000000-0005-0000-0000-0000E51D0000}"/>
    <cellStyle name="Normal 112 8 2" xfId="7166" xr:uid="{00000000-0005-0000-0000-0000E61D0000}"/>
    <cellStyle name="Normal 112 8 2 2" xfId="16347" xr:uid="{00000000-0005-0000-0000-0000E71D0000}"/>
    <cellStyle name="Normal 112 8 2 2 2" xfId="32921" xr:uid="{00000000-0005-0000-0000-0000E81D0000}"/>
    <cellStyle name="Normal 112 8 2 3" xfId="24874" xr:uid="{00000000-0005-0000-0000-0000E91D0000}"/>
    <cellStyle name="Normal 112 8 3" xfId="12440" xr:uid="{00000000-0005-0000-0000-0000EA1D0000}"/>
    <cellStyle name="Normal 112 8 3 2" xfId="28965" xr:uid="{00000000-0005-0000-0000-0000EB1D0000}"/>
    <cellStyle name="Normal 112 8 4" xfId="20922" xr:uid="{00000000-0005-0000-0000-0000EC1D0000}"/>
    <cellStyle name="Normal 112 9" xfId="7167" xr:uid="{00000000-0005-0000-0000-0000ED1D0000}"/>
    <cellStyle name="Normal 112 9 2" xfId="16348" xr:uid="{00000000-0005-0000-0000-0000EE1D0000}"/>
    <cellStyle name="Normal 112 9 2 2" xfId="32922" xr:uid="{00000000-0005-0000-0000-0000EF1D0000}"/>
    <cellStyle name="Normal 112 9 3" xfId="24875" xr:uid="{00000000-0005-0000-0000-0000F01D0000}"/>
    <cellStyle name="Normal 113" xfId="2942" xr:uid="{00000000-0005-0000-0000-0000F11D0000}"/>
    <cellStyle name="Normal 113 10" xfId="12441" xr:uid="{00000000-0005-0000-0000-0000F21D0000}"/>
    <cellStyle name="Normal 113 10 2" xfId="28966" xr:uid="{00000000-0005-0000-0000-0000F31D0000}"/>
    <cellStyle name="Normal 113 11" xfId="20923" xr:uid="{00000000-0005-0000-0000-0000F41D0000}"/>
    <cellStyle name="Normal 113 2" xfId="2943" xr:uid="{00000000-0005-0000-0000-0000F51D0000}"/>
    <cellStyle name="Normal 113 2 2" xfId="2944" xr:uid="{00000000-0005-0000-0000-0000F61D0000}"/>
    <cellStyle name="Normal 113 2 3" xfId="12442" xr:uid="{00000000-0005-0000-0000-0000F71D0000}"/>
    <cellStyle name="Normal 113 2 3 2" xfId="28967" xr:uid="{00000000-0005-0000-0000-0000F81D0000}"/>
    <cellStyle name="Normal 113 2 4" xfId="20924" xr:uid="{00000000-0005-0000-0000-0000F91D0000}"/>
    <cellStyle name="Normal 113 3" xfId="2945" xr:uid="{00000000-0005-0000-0000-0000FA1D0000}"/>
    <cellStyle name="Normal 113 3 2" xfId="2946" xr:uid="{00000000-0005-0000-0000-0000FB1D0000}"/>
    <cellStyle name="Normal 113 3 2 2" xfId="2947" xr:uid="{00000000-0005-0000-0000-0000FC1D0000}"/>
    <cellStyle name="Normal 113 3 2 2 2" xfId="2948" xr:uid="{00000000-0005-0000-0000-0000FD1D0000}"/>
    <cellStyle name="Normal 113 3 2 2 2 2" xfId="7168" xr:uid="{00000000-0005-0000-0000-0000FE1D0000}"/>
    <cellStyle name="Normal 113 3 2 2 2 2 2" xfId="16349" xr:uid="{00000000-0005-0000-0000-0000FF1D0000}"/>
    <cellStyle name="Normal 113 3 2 2 2 2 2 2" xfId="32923" xr:uid="{00000000-0005-0000-0000-0000001E0000}"/>
    <cellStyle name="Normal 113 3 2 2 2 2 3" xfId="24876" xr:uid="{00000000-0005-0000-0000-0000011E0000}"/>
    <cellStyle name="Normal 113 3 2 2 2 3" xfId="12445" xr:uid="{00000000-0005-0000-0000-0000021E0000}"/>
    <cellStyle name="Normal 113 3 2 2 2 3 2" xfId="28970" xr:uid="{00000000-0005-0000-0000-0000031E0000}"/>
    <cellStyle name="Normal 113 3 2 2 2 4" xfId="20927" xr:uid="{00000000-0005-0000-0000-0000041E0000}"/>
    <cellStyle name="Normal 113 3 2 2 3" xfId="7169" xr:uid="{00000000-0005-0000-0000-0000051E0000}"/>
    <cellStyle name="Normal 113 3 2 2 3 2" xfId="16350" xr:uid="{00000000-0005-0000-0000-0000061E0000}"/>
    <cellStyle name="Normal 113 3 2 2 3 2 2" xfId="32924" xr:uid="{00000000-0005-0000-0000-0000071E0000}"/>
    <cellStyle name="Normal 113 3 2 2 3 3" xfId="24877" xr:uid="{00000000-0005-0000-0000-0000081E0000}"/>
    <cellStyle name="Normal 113 3 2 2 4" xfId="12444" xr:uid="{00000000-0005-0000-0000-0000091E0000}"/>
    <cellStyle name="Normal 113 3 2 2 4 2" xfId="28969" xr:uid="{00000000-0005-0000-0000-00000A1E0000}"/>
    <cellStyle name="Normal 113 3 2 2 5" xfId="20926" xr:uid="{00000000-0005-0000-0000-00000B1E0000}"/>
    <cellStyle name="Normal 113 3 2 3" xfId="2949" xr:uid="{00000000-0005-0000-0000-00000C1E0000}"/>
    <cellStyle name="Normal 113 3 2 3 2" xfId="7170" xr:uid="{00000000-0005-0000-0000-00000D1E0000}"/>
    <cellStyle name="Normal 113 3 2 3 2 2" xfId="16351" xr:uid="{00000000-0005-0000-0000-00000E1E0000}"/>
    <cellStyle name="Normal 113 3 2 3 2 2 2" xfId="32925" xr:uid="{00000000-0005-0000-0000-00000F1E0000}"/>
    <cellStyle name="Normal 113 3 2 3 2 3" xfId="24878" xr:uid="{00000000-0005-0000-0000-0000101E0000}"/>
    <cellStyle name="Normal 113 3 2 3 3" xfId="12446" xr:uid="{00000000-0005-0000-0000-0000111E0000}"/>
    <cellStyle name="Normal 113 3 2 3 3 2" xfId="28971" xr:uid="{00000000-0005-0000-0000-0000121E0000}"/>
    <cellStyle name="Normal 113 3 2 3 4" xfId="20928" xr:uid="{00000000-0005-0000-0000-0000131E0000}"/>
    <cellStyle name="Normal 113 3 2 4" xfId="7171" xr:uid="{00000000-0005-0000-0000-0000141E0000}"/>
    <cellStyle name="Normal 113 3 2 4 2" xfId="16352" xr:uid="{00000000-0005-0000-0000-0000151E0000}"/>
    <cellStyle name="Normal 113 3 2 4 2 2" xfId="32926" xr:uid="{00000000-0005-0000-0000-0000161E0000}"/>
    <cellStyle name="Normal 113 3 2 4 3" xfId="24879" xr:uid="{00000000-0005-0000-0000-0000171E0000}"/>
    <cellStyle name="Normal 113 3 2 5" xfId="12443" xr:uid="{00000000-0005-0000-0000-0000181E0000}"/>
    <cellStyle name="Normal 113 3 2 5 2" xfId="28968" xr:uid="{00000000-0005-0000-0000-0000191E0000}"/>
    <cellStyle name="Normal 113 3 2 6" xfId="20925" xr:uid="{00000000-0005-0000-0000-00001A1E0000}"/>
    <cellStyle name="Normal 113 3 3" xfId="2950" xr:uid="{00000000-0005-0000-0000-00001B1E0000}"/>
    <cellStyle name="Normal 113 3 3 2" xfId="2951" xr:uid="{00000000-0005-0000-0000-00001C1E0000}"/>
    <cellStyle name="Normal 113 3 3 2 2" xfId="7172" xr:uid="{00000000-0005-0000-0000-00001D1E0000}"/>
    <cellStyle name="Normal 113 3 3 2 2 2" xfId="16353" xr:uid="{00000000-0005-0000-0000-00001E1E0000}"/>
    <cellStyle name="Normal 113 3 3 2 2 2 2" xfId="32927" xr:uid="{00000000-0005-0000-0000-00001F1E0000}"/>
    <cellStyle name="Normal 113 3 3 2 2 3" xfId="24880" xr:uid="{00000000-0005-0000-0000-0000201E0000}"/>
    <cellStyle name="Normal 113 3 3 2 3" xfId="12448" xr:uid="{00000000-0005-0000-0000-0000211E0000}"/>
    <cellStyle name="Normal 113 3 3 2 3 2" xfId="28973" xr:uid="{00000000-0005-0000-0000-0000221E0000}"/>
    <cellStyle name="Normal 113 3 3 2 4" xfId="20930" xr:uid="{00000000-0005-0000-0000-0000231E0000}"/>
    <cellStyle name="Normal 113 3 3 3" xfId="7173" xr:uid="{00000000-0005-0000-0000-0000241E0000}"/>
    <cellStyle name="Normal 113 3 3 3 2" xfId="16354" xr:uid="{00000000-0005-0000-0000-0000251E0000}"/>
    <cellStyle name="Normal 113 3 3 3 2 2" xfId="32928" xr:uid="{00000000-0005-0000-0000-0000261E0000}"/>
    <cellStyle name="Normal 113 3 3 3 3" xfId="24881" xr:uid="{00000000-0005-0000-0000-0000271E0000}"/>
    <cellStyle name="Normal 113 3 3 4" xfId="12447" xr:uid="{00000000-0005-0000-0000-0000281E0000}"/>
    <cellStyle name="Normal 113 3 3 4 2" xfId="28972" xr:uid="{00000000-0005-0000-0000-0000291E0000}"/>
    <cellStyle name="Normal 113 3 3 5" xfId="20929" xr:uid="{00000000-0005-0000-0000-00002A1E0000}"/>
    <cellStyle name="Normal 113 3 4" xfId="2952" xr:uid="{00000000-0005-0000-0000-00002B1E0000}"/>
    <cellStyle name="Normal 113 3 4 2" xfId="7174" xr:uid="{00000000-0005-0000-0000-00002C1E0000}"/>
    <cellStyle name="Normal 113 3 4 2 2" xfId="16355" xr:uid="{00000000-0005-0000-0000-00002D1E0000}"/>
    <cellStyle name="Normal 113 3 4 2 2 2" xfId="32929" xr:uid="{00000000-0005-0000-0000-00002E1E0000}"/>
    <cellStyle name="Normal 113 3 4 2 3" xfId="24882" xr:uid="{00000000-0005-0000-0000-00002F1E0000}"/>
    <cellStyle name="Normal 113 3 4 3" xfId="12449" xr:uid="{00000000-0005-0000-0000-0000301E0000}"/>
    <cellStyle name="Normal 113 3 4 3 2" xfId="28974" xr:uid="{00000000-0005-0000-0000-0000311E0000}"/>
    <cellStyle name="Normal 113 3 4 4" xfId="20931" xr:uid="{00000000-0005-0000-0000-0000321E0000}"/>
    <cellStyle name="Normal 113 3 5" xfId="2953" xr:uid="{00000000-0005-0000-0000-0000331E0000}"/>
    <cellStyle name="Normal 113 3 5 2" xfId="12450" xr:uid="{00000000-0005-0000-0000-0000341E0000}"/>
    <cellStyle name="Normal 113 3 5 2 2" xfId="28975" xr:uid="{00000000-0005-0000-0000-0000351E0000}"/>
    <cellStyle name="Normal 113 3 5 3" xfId="20932" xr:uid="{00000000-0005-0000-0000-0000361E0000}"/>
    <cellStyle name="Normal 113 4" xfId="2954" xr:uid="{00000000-0005-0000-0000-0000371E0000}"/>
    <cellStyle name="Normal 113 4 2" xfId="2955" xr:uid="{00000000-0005-0000-0000-0000381E0000}"/>
    <cellStyle name="Normal 113 4 2 2" xfId="2956" xr:uid="{00000000-0005-0000-0000-0000391E0000}"/>
    <cellStyle name="Normal 113 4 2 2 2" xfId="2957" xr:uid="{00000000-0005-0000-0000-00003A1E0000}"/>
    <cellStyle name="Normal 113 4 2 2 2 2" xfId="7175" xr:uid="{00000000-0005-0000-0000-00003B1E0000}"/>
    <cellStyle name="Normal 113 4 2 2 2 2 2" xfId="16356" xr:uid="{00000000-0005-0000-0000-00003C1E0000}"/>
    <cellStyle name="Normal 113 4 2 2 2 2 2 2" xfId="32930" xr:uid="{00000000-0005-0000-0000-00003D1E0000}"/>
    <cellStyle name="Normal 113 4 2 2 2 2 3" xfId="24883" xr:uid="{00000000-0005-0000-0000-00003E1E0000}"/>
    <cellStyle name="Normal 113 4 2 2 2 3" xfId="12454" xr:uid="{00000000-0005-0000-0000-00003F1E0000}"/>
    <cellStyle name="Normal 113 4 2 2 2 3 2" xfId="28979" xr:uid="{00000000-0005-0000-0000-0000401E0000}"/>
    <cellStyle name="Normal 113 4 2 2 2 4" xfId="20936" xr:uid="{00000000-0005-0000-0000-0000411E0000}"/>
    <cellStyle name="Normal 113 4 2 2 3" xfId="7176" xr:uid="{00000000-0005-0000-0000-0000421E0000}"/>
    <cellStyle name="Normal 113 4 2 2 3 2" xfId="16357" xr:uid="{00000000-0005-0000-0000-0000431E0000}"/>
    <cellStyle name="Normal 113 4 2 2 3 2 2" xfId="32931" xr:uid="{00000000-0005-0000-0000-0000441E0000}"/>
    <cellStyle name="Normal 113 4 2 2 3 3" xfId="24884" xr:uid="{00000000-0005-0000-0000-0000451E0000}"/>
    <cellStyle name="Normal 113 4 2 2 4" xfId="12453" xr:uid="{00000000-0005-0000-0000-0000461E0000}"/>
    <cellStyle name="Normal 113 4 2 2 4 2" xfId="28978" xr:uid="{00000000-0005-0000-0000-0000471E0000}"/>
    <cellStyle name="Normal 113 4 2 2 5" xfId="20935" xr:uid="{00000000-0005-0000-0000-0000481E0000}"/>
    <cellStyle name="Normal 113 4 2 3" xfId="2958" xr:uid="{00000000-0005-0000-0000-0000491E0000}"/>
    <cellStyle name="Normal 113 4 2 3 2" xfId="7177" xr:uid="{00000000-0005-0000-0000-00004A1E0000}"/>
    <cellStyle name="Normal 113 4 2 3 2 2" xfId="16358" xr:uid="{00000000-0005-0000-0000-00004B1E0000}"/>
    <cellStyle name="Normal 113 4 2 3 2 2 2" xfId="32932" xr:uid="{00000000-0005-0000-0000-00004C1E0000}"/>
    <cellStyle name="Normal 113 4 2 3 2 3" xfId="24885" xr:uid="{00000000-0005-0000-0000-00004D1E0000}"/>
    <cellStyle name="Normal 113 4 2 3 3" xfId="12455" xr:uid="{00000000-0005-0000-0000-00004E1E0000}"/>
    <cellStyle name="Normal 113 4 2 3 3 2" xfId="28980" xr:uid="{00000000-0005-0000-0000-00004F1E0000}"/>
    <cellStyle name="Normal 113 4 2 3 4" xfId="20937" xr:uid="{00000000-0005-0000-0000-0000501E0000}"/>
    <cellStyle name="Normal 113 4 2 4" xfId="7178" xr:uid="{00000000-0005-0000-0000-0000511E0000}"/>
    <cellStyle name="Normal 113 4 2 4 2" xfId="16359" xr:uid="{00000000-0005-0000-0000-0000521E0000}"/>
    <cellStyle name="Normal 113 4 2 4 2 2" xfId="32933" xr:uid="{00000000-0005-0000-0000-0000531E0000}"/>
    <cellStyle name="Normal 113 4 2 4 3" xfId="24886" xr:uid="{00000000-0005-0000-0000-0000541E0000}"/>
    <cellStyle name="Normal 113 4 2 5" xfId="12452" xr:uid="{00000000-0005-0000-0000-0000551E0000}"/>
    <cellStyle name="Normal 113 4 2 5 2" xfId="28977" xr:uid="{00000000-0005-0000-0000-0000561E0000}"/>
    <cellStyle name="Normal 113 4 2 6" xfId="20934" xr:uid="{00000000-0005-0000-0000-0000571E0000}"/>
    <cellStyle name="Normal 113 4 3" xfId="2959" xr:uid="{00000000-0005-0000-0000-0000581E0000}"/>
    <cellStyle name="Normal 113 4 3 2" xfId="2960" xr:uid="{00000000-0005-0000-0000-0000591E0000}"/>
    <cellStyle name="Normal 113 4 3 2 2" xfId="7179" xr:uid="{00000000-0005-0000-0000-00005A1E0000}"/>
    <cellStyle name="Normal 113 4 3 2 2 2" xfId="16360" xr:uid="{00000000-0005-0000-0000-00005B1E0000}"/>
    <cellStyle name="Normal 113 4 3 2 2 2 2" xfId="32934" xr:uid="{00000000-0005-0000-0000-00005C1E0000}"/>
    <cellStyle name="Normal 113 4 3 2 2 3" xfId="24887" xr:uid="{00000000-0005-0000-0000-00005D1E0000}"/>
    <cellStyle name="Normal 113 4 3 2 3" xfId="12457" xr:uid="{00000000-0005-0000-0000-00005E1E0000}"/>
    <cellStyle name="Normal 113 4 3 2 3 2" xfId="28982" xr:uid="{00000000-0005-0000-0000-00005F1E0000}"/>
    <cellStyle name="Normal 113 4 3 2 4" xfId="20939" xr:uid="{00000000-0005-0000-0000-0000601E0000}"/>
    <cellStyle name="Normal 113 4 3 3" xfId="7180" xr:uid="{00000000-0005-0000-0000-0000611E0000}"/>
    <cellStyle name="Normal 113 4 3 3 2" xfId="16361" xr:uid="{00000000-0005-0000-0000-0000621E0000}"/>
    <cellStyle name="Normal 113 4 3 3 2 2" xfId="32935" xr:uid="{00000000-0005-0000-0000-0000631E0000}"/>
    <cellStyle name="Normal 113 4 3 3 3" xfId="24888" xr:uid="{00000000-0005-0000-0000-0000641E0000}"/>
    <cellStyle name="Normal 113 4 3 4" xfId="12456" xr:uid="{00000000-0005-0000-0000-0000651E0000}"/>
    <cellStyle name="Normal 113 4 3 4 2" xfId="28981" xr:uid="{00000000-0005-0000-0000-0000661E0000}"/>
    <cellStyle name="Normal 113 4 3 5" xfId="20938" xr:uid="{00000000-0005-0000-0000-0000671E0000}"/>
    <cellStyle name="Normal 113 4 4" xfId="2961" xr:uid="{00000000-0005-0000-0000-0000681E0000}"/>
    <cellStyle name="Normal 113 4 4 2" xfId="7181" xr:uid="{00000000-0005-0000-0000-0000691E0000}"/>
    <cellStyle name="Normal 113 4 4 2 2" xfId="16362" xr:uid="{00000000-0005-0000-0000-00006A1E0000}"/>
    <cellStyle name="Normal 113 4 4 2 2 2" xfId="32936" xr:uid="{00000000-0005-0000-0000-00006B1E0000}"/>
    <cellStyle name="Normal 113 4 4 2 3" xfId="24889" xr:uid="{00000000-0005-0000-0000-00006C1E0000}"/>
    <cellStyle name="Normal 113 4 4 3" xfId="12458" xr:uid="{00000000-0005-0000-0000-00006D1E0000}"/>
    <cellStyle name="Normal 113 4 4 3 2" xfId="28983" xr:uid="{00000000-0005-0000-0000-00006E1E0000}"/>
    <cellStyle name="Normal 113 4 4 4" xfId="20940" xr:uid="{00000000-0005-0000-0000-00006F1E0000}"/>
    <cellStyle name="Normal 113 4 5" xfId="7182" xr:uid="{00000000-0005-0000-0000-0000701E0000}"/>
    <cellStyle name="Normal 113 4 5 2" xfId="16363" xr:uid="{00000000-0005-0000-0000-0000711E0000}"/>
    <cellStyle name="Normal 113 4 5 2 2" xfId="32937" xr:uid="{00000000-0005-0000-0000-0000721E0000}"/>
    <cellStyle name="Normal 113 4 5 3" xfId="24890" xr:uid="{00000000-0005-0000-0000-0000731E0000}"/>
    <cellStyle name="Normal 113 4 6" xfId="12451" xr:uid="{00000000-0005-0000-0000-0000741E0000}"/>
    <cellStyle name="Normal 113 4 6 2" xfId="28976" xr:uid="{00000000-0005-0000-0000-0000751E0000}"/>
    <cellStyle name="Normal 113 4 7" xfId="20933" xr:uid="{00000000-0005-0000-0000-0000761E0000}"/>
    <cellStyle name="Normal 113 5" xfId="2962" xr:uid="{00000000-0005-0000-0000-0000771E0000}"/>
    <cellStyle name="Normal 113 5 2" xfId="2963" xr:uid="{00000000-0005-0000-0000-0000781E0000}"/>
    <cellStyle name="Normal 113 5 2 2" xfId="2964" xr:uid="{00000000-0005-0000-0000-0000791E0000}"/>
    <cellStyle name="Normal 113 5 2 2 2" xfId="2965" xr:uid="{00000000-0005-0000-0000-00007A1E0000}"/>
    <cellStyle name="Normal 113 5 2 2 2 2" xfId="7183" xr:uid="{00000000-0005-0000-0000-00007B1E0000}"/>
    <cellStyle name="Normal 113 5 2 2 2 2 2" xfId="16364" xr:uid="{00000000-0005-0000-0000-00007C1E0000}"/>
    <cellStyle name="Normal 113 5 2 2 2 2 2 2" xfId="32938" xr:uid="{00000000-0005-0000-0000-00007D1E0000}"/>
    <cellStyle name="Normal 113 5 2 2 2 2 3" xfId="24891" xr:uid="{00000000-0005-0000-0000-00007E1E0000}"/>
    <cellStyle name="Normal 113 5 2 2 2 3" xfId="12462" xr:uid="{00000000-0005-0000-0000-00007F1E0000}"/>
    <cellStyle name="Normal 113 5 2 2 2 3 2" xfId="28987" xr:uid="{00000000-0005-0000-0000-0000801E0000}"/>
    <cellStyle name="Normal 113 5 2 2 2 4" xfId="20944" xr:uid="{00000000-0005-0000-0000-0000811E0000}"/>
    <cellStyle name="Normal 113 5 2 2 3" xfId="7184" xr:uid="{00000000-0005-0000-0000-0000821E0000}"/>
    <cellStyle name="Normal 113 5 2 2 3 2" xfId="16365" xr:uid="{00000000-0005-0000-0000-0000831E0000}"/>
    <cellStyle name="Normal 113 5 2 2 3 2 2" xfId="32939" xr:uid="{00000000-0005-0000-0000-0000841E0000}"/>
    <cellStyle name="Normal 113 5 2 2 3 3" xfId="24892" xr:uid="{00000000-0005-0000-0000-0000851E0000}"/>
    <cellStyle name="Normal 113 5 2 2 4" xfId="12461" xr:uid="{00000000-0005-0000-0000-0000861E0000}"/>
    <cellStyle name="Normal 113 5 2 2 4 2" xfId="28986" xr:uid="{00000000-0005-0000-0000-0000871E0000}"/>
    <cellStyle name="Normal 113 5 2 2 5" xfId="20943" xr:uid="{00000000-0005-0000-0000-0000881E0000}"/>
    <cellStyle name="Normal 113 5 2 3" xfId="2966" xr:uid="{00000000-0005-0000-0000-0000891E0000}"/>
    <cellStyle name="Normal 113 5 2 3 2" xfId="7185" xr:uid="{00000000-0005-0000-0000-00008A1E0000}"/>
    <cellStyle name="Normal 113 5 2 3 2 2" xfId="16366" xr:uid="{00000000-0005-0000-0000-00008B1E0000}"/>
    <cellStyle name="Normal 113 5 2 3 2 2 2" xfId="32940" xr:uid="{00000000-0005-0000-0000-00008C1E0000}"/>
    <cellStyle name="Normal 113 5 2 3 2 3" xfId="24893" xr:uid="{00000000-0005-0000-0000-00008D1E0000}"/>
    <cellStyle name="Normal 113 5 2 3 3" xfId="12463" xr:uid="{00000000-0005-0000-0000-00008E1E0000}"/>
    <cellStyle name="Normal 113 5 2 3 3 2" xfId="28988" xr:uid="{00000000-0005-0000-0000-00008F1E0000}"/>
    <cellStyle name="Normal 113 5 2 3 4" xfId="20945" xr:uid="{00000000-0005-0000-0000-0000901E0000}"/>
    <cellStyle name="Normal 113 5 2 4" xfId="7186" xr:uid="{00000000-0005-0000-0000-0000911E0000}"/>
    <cellStyle name="Normal 113 5 2 4 2" xfId="16367" xr:uid="{00000000-0005-0000-0000-0000921E0000}"/>
    <cellStyle name="Normal 113 5 2 4 2 2" xfId="32941" xr:uid="{00000000-0005-0000-0000-0000931E0000}"/>
    <cellStyle name="Normal 113 5 2 4 3" xfId="24894" xr:uid="{00000000-0005-0000-0000-0000941E0000}"/>
    <cellStyle name="Normal 113 5 2 5" xfId="12460" xr:uid="{00000000-0005-0000-0000-0000951E0000}"/>
    <cellStyle name="Normal 113 5 2 5 2" xfId="28985" xr:uid="{00000000-0005-0000-0000-0000961E0000}"/>
    <cellStyle name="Normal 113 5 2 6" xfId="20942" xr:uid="{00000000-0005-0000-0000-0000971E0000}"/>
    <cellStyle name="Normal 113 5 3" xfId="2967" xr:uid="{00000000-0005-0000-0000-0000981E0000}"/>
    <cellStyle name="Normal 113 5 3 2" xfId="2968" xr:uid="{00000000-0005-0000-0000-0000991E0000}"/>
    <cellStyle name="Normal 113 5 3 2 2" xfId="7187" xr:uid="{00000000-0005-0000-0000-00009A1E0000}"/>
    <cellStyle name="Normal 113 5 3 2 2 2" xfId="16368" xr:uid="{00000000-0005-0000-0000-00009B1E0000}"/>
    <cellStyle name="Normal 113 5 3 2 2 2 2" xfId="32942" xr:uid="{00000000-0005-0000-0000-00009C1E0000}"/>
    <cellStyle name="Normal 113 5 3 2 2 3" xfId="24895" xr:uid="{00000000-0005-0000-0000-00009D1E0000}"/>
    <cellStyle name="Normal 113 5 3 2 3" xfId="12465" xr:uid="{00000000-0005-0000-0000-00009E1E0000}"/>
    <cellStyle name="Normal 113 5 3 2 3 2" xfId="28990" xr:uid="{00000000-0005-0000-0000-00009F1E0000}"/>
    <cellStyle name="Normal 113 5 3 2 4" xfId="20947" xr:uid="{00000000-0005-0000-0000-0000A01E0000}"/>
    <cellStyle name="Normal 113 5 3 3" xfId="7188" xr:uid="{00000000-0005-0000-0000-0000A11E0000}"/>
    <cellStyle name="Normal 113 5 3 3 2" xfId="16369" xr:uid="{00000000-0005-0000-0000-0000A21E0000}"/>
    <cellStyle name="Normal 113 5 3 3 2 2" xfId="32943" xr:uid="{00000000-0005-0000-0000-0000A31E0000}"/>
    <cellStyle name="Normal 113 5 3 3 3" xfId="24896" xr:uid="{00000000-0005-0000-0000-0000A41E0000}"/>
    <cellStyle name="Normal 113 5 3 4" xfId="12464" xr:uid="{00000000-0005-0000-0000-0000A51E0000}"/>
    <cellStyle name="Normal 113 5 3 4 2" xfId="28989" xr:uid="{00000000-0005-0000-0000-0000A61E0000}"/>
    <cellStyle name="Normal 113 5 3 5" xfId="20946" xr:uid="{00000000-0005-0000-0000-0000A71E0000}"/>
    <cellStyle name="Normal 113 5 4" xfId="2969" xr:uid="{00000000-0005-0000-0000-0000A81E0000}"/>
    <cellStyle name="Normal 113 5 4 2" xfId="7189" xr:uid="{00000000-0005-0000-0000-0000A91E0000}"/>
    <cellStyle name="Normal 113 5 4 2 2" xfId="16370" xr:uid="{00000000-0005-0000-0000-0000AA1E0000}"/>
    <cellStyle name="Normal 113 5 4 2 2 2" xfId="32944" xr:uid="{00000000-0005-0000-0000-0000AB1E0000}"/>
    <cellStyle name="Normal 113 5 4 2 3" xfId="24897" xr:uid="{00000000-0005-0000-0000-0000AC1E0000}"/>
    <cellStyle name="Normal 113 5 4 3" xfId="12466" xr:uid="{00000000-0005-0000-0000-0000AD1E0000}"/>
    <cellStyle name="Normal 113 5 4 3 2" xfId="28991" xr:uid="{00000000-0005-0000-0000-0000AE1E0000}"/>
    <cellStyle name="Normal 113 5 4 4" xfId="20948" xr:uid="{00000000-0005-0000-0000-0000AF1E0000}"/>
    <cellStyle name="Normal 113 5 5" xfId="7190" xr:uid="{00000000-0005-0000-0000-0000B01E0000}"/>
    <cellStyle name="Normal 113 5 5 2" xfId="16371" xr:uid="{00000000-0005-0000-0000-0000B11E0000}"/>
    <cellStyle name="Normal 113 5 5 2 2" xfId="32945" xr:uid="{00000000-0005-0000-0000-0000B21E0000}"/>
    <cellStyle name="Normal 113 5 5 3" xfId="24898" xr:uid="{00000000-0005-0000-0000-0000B31E0000}"/>
    <cellStyle name="Normal 113 5 6" xfId="12459" xr:uid="{00000000-0005-0000-0000-0000B41E0000}"/>
    <cellStyle name="Normal 113 5 6 2" xfId="28984" xr:uid="{00000000-0005-0000-0000-0000B51E0000}"/>
    <cellStyle name="Normal 113 5 7" xfId="20941" xr:uid="{00000000-0005-0000-0000-0000B61E0000}"/>
    <cellStyle name="Normal 113 6" xfId="2970" xr:uid="{00000000-0005-0000-0000-0000B71E0000}"/>
    <cellStyle name="Normal 113 6 2" xfId="2971" xr:uid="{00000000-0005-0000-0000-0000B81E0000}"/>
    <cellStyle name="Normal 113 6 2 2" xfId="2972" xr:uid="{00000000-0005-0000-0000-0000B91E0000}"/>
    <cellStyle name="Normal 113 6 2 2 2" xfId="7191" xr:uid="{00000000-0005-0000-0000-0000BA1E0000}"/>
    <cellStyle name="Normal 113 6 2 2 2 2" xfId="16372" xr:uid="{00000000-0005-0000-0000-0000BB1E0000}"/>
    <cellStyle name="Normal 113 6 2 2 2 2 2" xfId="32946" xr:uid="{00000000-0005-0000-0000-0000BC1E0000}"/>
    <cellStyle name="Normal 113 6 2 2 2 3" xfId="24899" xr:uid="{00000000-0005-0000-0000-0000BD1E0000}"/>
    <cellStyle name="Normal 113 6 2 2 3" xfId="12469" xr:uid="{00000000-0005-0000-0000-0000BE1E0000}"/>
    <cellStyle name="Normal 113 6 2 2 3 2" xfId="28994" xr:uid="{00000000-0005-0000-0000-0000BF1E0000}"/>
    <cellStyle name="Normal 113 6 2 2 4" xfId="20951" xr:uid="{00000000-0005-0000-0000-0000C01E0000}"/>
    <cellStyle name="Normal 113 6 2 3" xfId="7192" xr:uid="{00000000-0005-0000-0000-0000C11E0000}"/>
    <cellStyle name="Normal 113 6 2 3 2" xfId="16373" xr:uid="{00000000-0005-0000-0000-0000C21E0000}"/>
    <cellStyle name="Normal 113 6 2 3 2 2" xfId="32947" xr:uid="{00000000-0005-0000-0000-0000C31E0000}"/>
    <cellStyle name="Normal 113 6 2 3 3" xfId="24900" xr:uid="{00000000-0005-0000-0000-0000C41E0000}"/>
    <cellStyle name="Normal 113 6 2 4" xfId="12468" xr:uid="{00000000-0005-0000-0000-0000C51E0000}"/>
    <cellStyle name="Normal 113 6 2 4 2" xfId="28993" xr:uid="{00000000-0005-0000-0000-0000C61E0000}"/>
    <cellStyle name="Normal 113 6 2 5" xfId="20950" xr:uid="{00000000-0005-0000-0000-0000C71E0000}"/>
    <cellStyle name="Normal 113 6 3" xfId="2973" xr:uid="{00000000-0005-0000-0000-0000C81E0000}"/>
    <cellStyle name="Normal 113 6 3 2" xfId="7193" xr:uid="{00000000-0005-0000-0000-0000C91E0000}"/>
    <cellStyle name="Normal 113 6 3 2 2" xfId="16374" xr:uid="{00000000-0005-0000-0000-0000CA1E0000}"/>
    <cellStyle name="Normal 113 6 3 2 2 2" xfId="32948" xr:uid="{00000000-0005-0000-0000-0000CB1E0000}"/>
    <cellStyle name="Normal 113 6 3 2 3" xfId="24901" xr:uid="{00000000-0005-0000-0000-0000CC1E0000}"/>
    <cellStyle name="Normal 113 6 3 3" xfId="12470" xr:uid="{00000000-0005-0000-0000-0000CD1E0000}"/>
    <cellStyle name="Normal 113 6 3 3 2" xfId="28995" xr:uid="{00000000-0005-0000-0000-0000CE1E0000}"/>
    <cellStyle name="Normal 113 6 3 4" xfId="20952" xr:uid="{00000000-0005-0000-0000-0000CF1E0000}"/>
    <cellStyle name="Normal 113 6 4" xfId="7194" xr:uid="{00000000-0005-0000-0000-0000D01E0000}"/>
    <cellStyle name="Normal 113 6 4 2" xfId="16375" xr:uid="{00000000-0005-0000-0000-0000D11E0000}"/>
    <cellStyle name="Normal 113 6 4 2 2" xfId="32949" xr:uid="{00000000-0005-0000-0000-0000D21E0000}"/>
    <cellStyle name="Normal 113 6 4 3" xfId="24902" xr:uid="{00000000-0005-0000-0000-0000D31E0000}"/>
    <cellStyle name="Normal 113 6 5" xfId="12467" xr:uid="{00000000-0005-0000-0000-0000D41E0000}"/>
    <cellStyle name="Normal 113 6 5 2" xfId="28992" xr:uid="{00000000-0005-0000-0000-0000D51E0000}"/>
    <cellStyle name="Normal 113 6 6" xfId="20949" xr:uid="{00000000-0005-0000-0000-0000D61E0000}"/>
    <cellStyle name="Normal 113 7" xfId="2974" xr:uid="{00000000-0005-0000-0000-0000D71E0000}"/>
    <cellStyle name="Normal 113 7 2" xfId="2975" xr:uid="{00000000-0005-0000-0000-0000D81E0000}"/>
    <cellStyle name="Normal 113 7 2 2" xfId="7195" xr:uid="{00000000-0005-0000-0000-0000D91E0000}"/>
    <cellStyle name="Normal 113 7 2 2 2" xfId="16376" xr:uid="{00000000-0005-0000-0000-0000DA1E0000}"/>
    <cellStyle name="Normal 113 7 2 2 2 2" xfId="32950" xr:uid="{00000000-0005-0000-0000-0000DB1E0000}"/>
    <cellStyle name="Normal 113 7 2 2 3" xfId="24903" xr:uid="{00000000-0005-0000-0000-0000DC1E0000}"/>
    <cellStyle name="Normal 113 7 2 3" xfId="12472" xr:uid="{00000000-0005-0000-0000-0000DD1E0000}"/>
    <cellStyle name="Normal 113 7 2 3 2" xfId="28997" xr:uid="{00000000-0005-0000-0000-0000DE1E0000}"/>
    <cellStyle name="Normal 113 7 2 4" xfId="20954" xr:uid="{00000000-0005-0000-0000-0000DF1E0000}"/>
    <cellStyle name="Normal 113 7 3" xfId="7196" xr:uid="{00000000-0005-0000-0000-0000E01E0000}"/>
    <cellStyle name="Normal 113 7 3 2" xfId="16377" xr:uid="{00000000-0005-0000-0000-0000E11E0000}"/>
    <cellStyle name="Normal 113 7 3 2 2" xfId="32951" xr:uid="{00000000-0005-0000-0000-0000E21E0000}"/>
    <cellStyle name="Normal 113 7 3 3" xfId="24904" xr:uid="{00000000-0005-0000-0000-0000E31E0000}"/>
    <cellStyle name="Normal 113 7 4" xfId="12471" xr:uid="{00000000-0005-0000-0000-0000E41E0000}"/>
    <cellStyle name="Normal 113 7 4 2" xfId="28996" xr:uid="{00000000-0005-0000-0000-0000E51E0000}"/>
    <cellStyle name="Normal 113 7 5" xfId="20953" xr:uid="{00000000-0005-0000-0000-0000E61E0000}"/>
    <cellStyle name="Normal 113 8" xfId="2976" xr:uid="{00000000-0005-0000-0000-0000E71E0000}"/>
    <cellStyle name="Normal 113 8 2" xfId="7197" xr:uid="{00000000-0005-0000-0000-0000E81E0000}"/>
    <cellStyle name="Normal 113 8 2 2" xfId="16378" xr:uid="{00000000-0005-0000-0000-0000E91E0000}"/>
    <cellStyle name="Normal 113 8 2 2 2" xfId="32952" xr:uid="{00000000-0005-0000-0000-0000EA1E0000}"/>
    <cellStyle name="Normal 113 8 2 3" xfId="24905" xr:uid="{00000000-0005-0000-0000-0000EB1E0000}"/>
    <cellStyle name="Normal 113 8 3" xfId="12473" xr:uid="{00000000-0005-0000-0000-0000EC1E0000}"/>
    <cellStyle name="Normal 113 8 3 2" xfId="28998" xr:uid="{00000000-0005-0000-0000-0000ED1E0000}"/>
    <cellStyle name="Normal 113 8 4" xfId="20955" xr:uid="{00000000-0005-0000-0000-0000EE1E0000}"/>
    <cellStyle name="Normal 113 9" xfId="7198" xr:uid="{00000000-0005-0000-0000-0000EF1E0000}"/>
    <cellStyle name="Normal 113 9 2" xfId="16379" xr:uid="{00000000-0005-0000-0000-0000F01E0000}"/>
    <cellStyle name="Normal 113 9 2 2" xfId="32953" xr:uid="{00000000-0005-0000-0000-0000F11E0000}"/>
    <cellStyle name="Normal 113 9 3" xfId="24906" xr:uid="{00000000-0005-0000-0000-0000F21E0000}"/>
    <cellStyle name="Normal 114" xfId="2977" xr:uid="{00000000-0005-0000-0000-0000F31E0000}"/>
    <cellStyle name="Normal 114 2" xfId="2978" xr:uid="{00000000-0005-0000-0000-0000F41E0000}"/>
    <cellStyle name="Normal 114 2 2" xfId="2979" xr:uid="{00000000-0005-0000-0000-0000F51E0000}"/>
    <cellStyle name="Normal 114 2 2 2" xfId="2980" xr:uid="{00000000-0005-0000-0000-0000F61E0000}"/>
    <cellStyle name="Normal 114 2 2 2 2" xfId="7199" xr:uid="{00000000-0005-0000-0000-0000F71E0000}"/>
    <cellStyle name="Normal 114 2 2 2 2 2" xfId="16380" xr:uid="{00000000-0005-0000-0000-0000F81E0000}"/>
    <cellStyle name="Normal 114 2 2 2 2 2 2" xfId="32954" xr:uid="{00000000-0005-0000-0000-0000F91E0000}"/>
    <cellStyle name="Normal 114 2 2 2 2 3" xfId="24907" xr:uid="{00000000-0005-0000-0000-0000FA1E0000}"/>
    <cellStyle name="Normal 114 2 2 2 3" xfId="12475" xr:uid="{00000000-0005-0000-0000-0000FB1E0000}"/>
    <cellStyle name="Normal 114 2 2 2 3 2" xfId="29000" xr:uid="{00000000-0005-0000-0000-0000FC1E0000}"/>
    <cellStyle name="Normal 114 2 2 2 4" xfId="20957" xr:uid="{00000000-0005-0000-0000-0000FD1E0000}"/>
    <cellStyle name="Normal 114 2 2 3" xfId="7200" xr:uid="{00000000-0005-0000-0000-0000FE1E0000}"/>
    <cellStyle name="Normal 114 2 2 3 2" xfId="16381" xr:uid="{00000000-0005-0000-0000-0000FF1E0000}"/>
    <cellStyle name="Normal 114 2 2 3 2 2" xfId="32955" xr:uid="{00000000-0005-0000-0000-0000001F0000}"/>
    <cellStyle name="Normal 114 2 2 3 3" xfId="24908" xr:uid="{00000000-0005-0000-0000-0000011F0000}"/>
    <cellStyle name="Normal 114 2 2 4" xfId="12474" xr:uid="{00000000-0005-0000-0000-0000021F0000}"/>
    <cellStyle name="Normal 114 2 2 4 2" xfId="28999" xr:uid="{00000000-0005-0000-0000-0000031F0000}"/>
    <cellStyle name="Normal 114 2 2 5" xfId="20956" xr:uid="{00000000-0005-0000-0000-0000041F0000}"/>
    <cellStyle name="Normal 114 2 3" xfId="2981" xr:uid="{00000000-0005-0000-0000-0000051F0000}"/>
    <cellStyle name="Normal 114 2 3 2" xfId="7201" xr:uid="{00000000-0005-0000-0000-0000061F0000}"/>
    <cellStyle name="Normal 114 2 3 2 2" xfId="16382" xr:uid="{00000000-0005-0000-0000-0000071F0000}"/>
    <cellStyle name="Normal 114 2 3 2 2 2" xfId="32956" xr:uid="{00000000-0005-0000-0000-0000081F0000}"/>
    <cellStyle name="Normal 114 2 3 2 3" xfId="24909" xr:uid="{00000000-0005-0000-0000-0000091F0000}"/>
    <cellStyle name="Normal 114 2 3 3" xfId="12476" xr:uid="{00000000-0005-0000-0000-00000A1F0000}"/>
    <cellStyle name="Normal 114 2 3 3 2" xfId="29001" xr:uid="{00000000-0005-0000-0000-00000B1F0000}"/>
    <cellStyle name="Normal 114 2 3 4" xfId="20958" xr:uid="{00000000-0005-0000-0000-00000C1F0000}"/>
    <cellStyle name="Normal 114 2 4" xfId="2982" xr:uid="{00000000-0005-0000-0000-00000D1F0000}"/>
    <cellStyle name="Normal 114 2 4 2" xfId="12477" xr:uid="{00000000-0005-0000-0000-00000E1F0000}"/>
    <cellStyle name="Normal 114 2 4 2 2" xfId="29002" xr:uid="{00000000-0005-0000-0000-00000F1F0000}"/>
    <cellStyle name="Normal 114 2 4 3" xfId="20959" xr:uid="{00000000-0005-0000-0000-0000101F0000}"/>
    <cellStyle name="Normal 114 3" xfId="2983" xr:uid="{00000000-0005-0000-0000-0000111F0000}"/>
    <cellStyle name="Normal 114 3 2" xfId="2984" xr:uid="{00000000-0005-0000-0000-0000121F0000}"/>
    <cellStyle name="Normal 114 3 2 2" xfId="7202" xr:uid="{00000000-0005-0000-0000-0000131F0000}"/>
    <cellStyle name="Normal 114 3 2 2 2" xfId="16383" xr:uid="{00000000-0005-0000-0000-0000141F0000}"/>
    <cellStyle name="Normal 114 3 2 2 2 2" xfId="32957" xr:uid="{00000000-0005-0000-0000-0000151F0000}"/>
    <cellStyle name="Normal 114 3 2 2 3" xfId="24910" xr:uid="{00000000-0005-0000-0000-0000161F0000}"/>
    <cellStyle name="Normal 114 3 2 3" xfId="12479" xr:uid="{00000000-0005-0000-0000-0000171F0000}"/>
    <cellStyle name="Normal 114 3 2 3 2" xfId="29004" xr:uid="{00000000-0005-0000-0000-0000181F0000}"/>
    <cellStyle name="Normal 114 3 2 4" xfId="20961" xr:uid="{00000000-0005-0000-0000-0000191F0000}"/>
    <cellStyle name="Normal 114 3 3" xfId="7203" xr:uid="{00000000-0005-0000-0000-00001A1F0000}"/>
    <cellStyle name="Normal 114 3 3 2" xfId="16384" xr:uid="{00000000-0005-0000-0000-00001B1F0000}"/>
    <cellStyle name="Normal 114 3 3 2 2" xfId="32958" xr:uid="{00000000-0005-0000-0000-00001C1F0000}"/>
    <cellStyle name="Normal 114 3 3 3" xfId="24911" xr:uid="{00000000-0005-0000-0000-00001D1F0000}"/>
    <cellStyle name="Normal 114 3 4" xfId="12478" xr:uid="{00000000-0005-0000-0000-00001E1F0000}"/>
    <cellStyle name="Normal 114 3 4 2" xfId="29003" xr:uid="{00000000-0005-0000-0000-00001F1F0000}"/>
    <cellStyle name="Normal 114 3 5" xfId="20960" xr:uid="{00000000-0005-0000-0000-0000201F0000}"/>
    <cellStyle name="Normal 114 4" xfId="2985" xr:uid="{00000000-0005-0000-0000-0000211F0000}"/>
    <cellStyle name="Normal 114 4 2" xfId="7204" xr:uid="{00000000-0005-0000-0000-0000221F0000}"/>
    <cellStyle name="Normal 114 4 2 2" xfId="16385" xr:uid="{00000000-0005-0000-0000-0000231F0000}"/>
    <cellStyle name="Normal 114 4 2 2 2" xfId="32959" xr:uid="{00000000-0005-0000-0000-0000241F0000}"/>
    <cellStyle name="Normal 114 4 2 3" xfId="24912" xr:uid="{00000000-0005-0000-0000-0000251F0000}"/>
    <cellStyle name="Normal 114 4 3" xfId="12480" xr:uid="{00000000-0005-0000-0000-0000261F0000}"/>
    <cellStyle name="Normal 114 4 3 2" xfId="29005" xr:uid="{00000000-0005-0000-0000-0000271F0000}"/>
    <cellStyle name="Normal 114 4 4" xfId="20962" xr:uid="{00000000-0005-0000-0000-0000281F0000}"/>
    <cellStyle name="Normal 114 5" xfId="2986" xr:uid="{00000000-0005-0000-0000-0000291F0000}"/>
    <cellStyle name="Normal 114 5 2" xfId="12481" xr:uid="{00000000-0005-0000-0000-00002A1F0000}"/>
    <cellStyle name="Normal 114 5 2 2" xfId="29006" xr:uid="{00000000-0005-0000-0000-00002B1F0000}"/>
    <cellStyle name="Normal 114 5 3" xfId="20963" xr:uid="{00000000-0005-0000-0000-00002C1F0000}"/>
    <cellStyle name="Normal 114 6" xfId="7205" xr:uid="{00000000-0005-0000-0000-00002D1F0000}"/>
    <cellStyle name="Normal 114 6 2" xfId="16386" xr:uid="{00000000-0005-0000-0000-00002E1F0000}"/>
    <cellStyle name="Normal 114 6 2 2" xfId="32960" xr:uid="{00000000-0005-0000-0000-00002F1F0000}"/>
    <cellStyle name="Normal 114 6 3" xfId="24913" xr:uid="{00000000-0005-0000-0000-0000301F0000}"/>
    <cellStyle name="Normal 115" xfId="2987" xr:uid="{00000000-0005-0000-0000-0000311F0000}"/>
    <cellStyle name="Normal 115 10" xfId="12482" xr:uid="{00000000-0005-0000-0000-0000321F0000}"/>
    <cellStyle name="Normal 115 10 2" xfId="29007" xr:uid="{00000000-0005-0000-0000-0000331F0000}"/>
    <cellStyle name="Normal 115 11" xfId="20964" xr:uid="{00000000-0005-0000-0000-0000341F0000}"/>
    <cellStyle name="Normal 115 2" xfId="2988" xr:uid="{00000000-0005-0000-0000-0000351F0000}"/>
    <cellStyle name="Normal 115 2 2" xfId="2989" xr:uid="{00000000-0005-0000-0000-0000361F0000}"/>
    <cellStyle name="Normal 115 2 3" xfId="12483" xr:uid="{00000000-0005-0000-0000-0000371F0000}"/>
    <cellStyle name="Normal 115 2 3 2" xfId="29008" xr:uid="{00000000-0005-0000-0000-0000381F0000}"/>
    <cellStyle name="Normal 115 2 4" xfId="20965" xr:uid="{00000000-0005-0000-0000-0000391F0000}"/>
    <cellStyle name="Normal 115 3" xfId="2990" xr:uid="{00000000-0005-0000-0000-00003A1F0000}"/>
    <cellStyle name="Normal 115 3 2" xfId="2991" xr:uid="{00000000-0005-0000-0000-00003B1F0000}"/>
    <cellStyle name="Normal 115 3 2 2" xfId="2992" xr:uid="{00000000-0005-0000-0000-00003C1F0000}"/>
    <cellStyle name="Normal 115 3 2 2 2" xfId="2993" xr:uid="{00000000-0005-0000-0000-00003D1F0000}"/>
    <cellStyle name="Normal 115 3 2 2 2 2" xfId="7206" xr:uid="{00000000-0005-0000-0000-00003E1F0000}"/>
    <cellStyle name="Normal 115 3 2 2 2 2 2" xfId="16387" xr:uid="{00000000-0005-0000-0000-00003F1F0000}"/>
    <cellStyle name="Normal 115 3 2 2 2 2 2 2" xfId="32961" xr:uid="{00000000-0005-0000-0000-0000401F0000}"/>
    <cellStyle name="Normal 115 3 2 2 2 2 3" xfId="24914" xr:uid="{00000000-0005-0000-0000-0000411F0000}"/>
    <cellStyle name="Normal 115 3 2 2 2 3" xfId="12486" xr:uid="{00000000-0005-0000-0000-0000421F0000}"/>
    <cellStyle name="Normal 115 3 2 2 2 3 2" xfId="29011" xr:uid="{00000000-0005-0000-0000-0000431F0000}"/>
    <cellStyle name="Normal 115 3 2 2 2 4" xfId="20968" xr:uid="{00000000-0005-0000-0000-0000441F0000}"/>
    <cellStyle name="Normal 115 3 2 2 3" xfId="7207" xr:uid="{00000000-0005-0000-0000-0000451F0000}"/>
    <cellStyle name="Normal 115 3 2 2 3 2" xfId="16388" xr:uid="{00000000-0005-0000-0000-0000461F0000}"/>
    <cellStyle name="Normal 115 3 2 2 3 2 2" xfId="32962" xr:uid="{00000000-0005-0000-0000-0000471F0000}"/>
    <cellStyle name="Normal 115 3 2 2 3 3" xfId="24915" xr:uid="{00000000-0005-0000-0000-0000481F0000}"/>
    <cellStyle name="Normal 115 3 2 2 4" xfId="12485" xr:uid="{00000000-0005-0000-0000-0000491F0000}"/>
    <cellStyle name="Normal 115 3 2 2 4 2" xfId="29010" xr:uid="{00000000-0005-0000-0000-00004A1F0000}"/>
    <cellStyle name="Normal 115 3 2 2 5" xfId="20967" xr:uid="{00000000-0005-0000-0000-00004B1F0000}"/>
    <cellStyle name="Normal 115 3 2 3" xfId="2994" xr:uid="{00000000-0005-0000-0000-00004C1F0000}"/>
    <cellStyle name="Normal 115 3 2 3 2" xfId="7208" xr:uid="{00000000-0005-0000-0000-00004D1F0000}"/>
    <cellStyle name="Normal 115 3 2 3 2 2" xfId="16389" xr:uid="{00000000-0005-0000-0000-00004E1F0000}"/>
    <cellStyle name="Normal 115 3 2 3 2 2 2" xfId="32963" xr:uid="{00000000-0005-0000-0000-00004F1F0000}"/>
    <cellStyle name="Normal 115 3 2 3 2 3" xfId="24916" xr:uid="{00000000-0005-0000-0000-0000501F0000}"/>
    <cellStyle name="Normal 115 3 2 3 3" xfId="12487" xr:uid="{00000000-0005-0000-0000-0000511F0000}"/>
    <cellStyle name="Normal 115 3 2 3 3 2" xfId="29012" xr:uid="{00000000-0005-0000-0000-0000521F0000}"/>
    <cellStyle name="Normal 115 3 2 3 4" xfId="20969" xr:uid="{00000000-0005-0000-0000-0000531F0000}"/>
    <cellStyle name="Normal 115 3 2 4" xfId="7209" xr:uid="{00000000-0005-0000-0000-0000541F0000}"/>
    <cellStyle name="Normal 115 3 2 4 2" xfId="16390" xr:uid="{00000000-0005-0000-0000-0000551F0000}"/>
    <cellStyle name="Normal 115 3 2 4 2 2" xfId="32964" xr:uid="{00000000-0005-0000-0000-0000561F0000}"/>
    <cellStyle name="Normal 115 3 2 4 3" xfId="24917" xr:uid="{00000000-0005-0000-0000-0000571F0000}"/>
    <cellStyle name="Normal 115 3 2 5" xfId="12484" xr:uid="{00000000-0005-0000-0000-0000581F0000}"/>
    <cellStyle name="Normal 115 3 2 5 2" xfId="29009" xr:uid="{00000000-0005-0000-0000-0000591F0000}"/>
    <cellStyle name="Normal 115 3 2 6" xfId="20966" xr:uid="{00000000-0005-0000-0000-00005A1F0000}"/>
    <cellStyle name="Normal 115 3 3" xfId="2995" xr:uid="{00000000-0005-0000-0000-00005B1F0000}"/>
    <cellStyle name="Normal 115 3 3 2" xfId="2996" xr:uid="{00000000-0005-0000-0000-00005C1F0000}"/>
    <cellStyle name="Normal 115 3 3 2 2" xfId="7210" xr:uid="{00000000-0005-0000-0000-00005D1F0000}"/>
    <cellStyle name="Normal 115 3 3 2 2 2" xfId="16391" xr:uid="{00000000-0005-0000-0000-00005E1F0000}"/>
    <cellStyle name="Normal 115 3 3 2 2 2 2" xfId="32965" xr:uid="{00000000-0005-0000-0000-00005F1F0000}"/>
    <cellStyle name="Normal 115 3 3 2 2 3" xfId="24918" xr:uid="{00000000-0005-0000-0000-0000601F0000}"/>
    <cellStyle name="Normal 115 3 3 2 3" xfId="12489" xr:uid="{00000000-0005-0000-0000-0000611F0000}"/>
    <cellStyle name="Normal 115 3 3 2 3 2" xfId="29014" xr:uid="{00000000-0005-0000-0000-0000621F0000}"/>
    <cellStyle name="Normal 115 3 3 2 4" xfId="20971" xr:uid="{00000000-0005-0000-0000-0000631F0000}"/>
    <cellStyle name="Normal 115 3 3 3" xfId="7211" xr:uid="{00000000-0005-0000-0000-0000641F0000}"/>
    <cellStyle name="Normal 115 3 3 3 2" xfId="16392" xr:uid="{00000000-0005-0000-0000-0000651F0000}"/>
    <cellStyle name="Normal 115 3 3 3 2 2" xfId="32966" xr:uid="{00000000-0005-0000-0000-0000661F0000}"/>
    <cellStyle name="Normal 115 3 3 3 3" xfId="24919" xr:uid="{00000000-0005-0000-0000-0000671F0000}"/>
    <cellStyle name="Normal 115 3 3 4" xfId="12488" xr:uid="{00000000-0005-0000-0000-0000681F0000}"/>
    <cellStyle name="Normal 115 3 3 4 2" xfId="29013" xr:uid="{00000000-0005-0000-0000-0000691F0000}"/>
    <cellStyle name="Normal 115 3 3 5" xfId="20970" xr:uid="{00000000-0005-0000-0000-00006A1F0000}"/>
    <cellStyle name="Normal 115 3 4" xfId="2997" xr:uid="{00000000-0005-0000-0000-00006B1F0000}"/>
    <cellStyle name="Normal 115 3 4 2" xfId="7212" xr:uid="{00000000-0005-0000-0000-00006C1F0000}"/>
    <cellStyle name="Normal 115 3 4 2 2" xfId="16393" xr:uid="{00000000-0005-0000-0000-00006D1F0000}"/>
    <cellStyle name="Normal 115 3 4 2 2 2" xfId="32967" xr:uid="{00000000-0005-0000-0000-00006E1F0000}"/>
    <cellStyle name="Normal 115 3 4 2 3" xfId="24920" xr:uid="{00000000-0005-0000-0000-00006F1F0000}"/>
    <cellStyle name="Normal 115 3 4 3" xfId="12490" xr:uid="{00000000-0005-0000-0000-0000701F0000}"/>
    <cellStyle name="Normal 115 3 4 3 2" xfId="29015" xr:uid="{00000000-0005-0000-0000-0000711F0000}"/>
    <cellStyle name="Normal 115 3 4 4" xfId="20972" xr:uid="{00000000-0005-0000-0000-0000721F0000}"/>
    <cellStyle name="Normal 115 3 5" xfId="2998" xr:uid="{00000000-0005-0000-0000-0000731F0000}"/>
    <cellStyle name="Normal 115 3 5 2" xfId="12491" xr:uid="{00000000-0005-0000-0000-0000741F0000}"/>
    <cellStyle name="Normal 115 3 5 2 2" xfId="29016" xr:uid="{00000000-0005-0000-0000-0000751F0000}"/>
    <cellStyle name="Normal 115 3 5 3" xfId="20973" xr:uid="{00000000-0005-0000-0000-0000761F0000}"/>
    <cellStyle name="Normal 115 4" xfId="2999" xr:uid="{00000000-0005-0000-0000-0000771F0000}"/>
    <cellStyle name="Normal 115 4 2" xfId="3000" xr:uid="{00000000-0005-0000-0000-0000781F0000}"/>
    <cellStyle name="Normal 115 4 2 2" xfId="3001" xr:uid="{00000000-0005-0000-0000-0000791F0000}"/>
    <cellStyle name="Normal 115 4 2 2 2" xfId="3002" xr:uid="{00000000-0005-0000-0000-00007A1F0000}"/>
    <cellStyle name="Normal 115 4 2 2 2 2" xfId="7213" xr:uid="{00000000-0005-0000-0000-00007B1F0000}"/>
    <cellStyle name="Normal 115 4 2 2 2 2 2" xfId="16394" xr:uid="{00000000-0005-0000-0000-00007C1F0000}"/>
    <cellStyle name="Normal 115 4 2 2 2 2 2 2" xfId="32968" xr:uid="{00000000-0005-0000-0000-00007D1F0000}"/>
    <cellStyle name="Normal 115 4 2 2 2 2 3" xfId="24921" xr:uid="{00000000-0005-0000-0000-00007E1F0000}"/>
    <cellStyle name="Normal 115 4 2 2 2 3" xfId="12495" xr:uid="{00000000-0005-0000-0000-00007F1F0000}"/>
    <cellStyle name="Normal 115 4 2 2 2 3 2" xfId="29020" xr:uid="{00000000-0005-0000-0000-0000801F0000}"/>
    <cellStyle name="Normal 115 4 2 2 2 4" xfId="20977" xr:uid="{00000000-0005-0000-0000-0000811F0000}"/>
    <cellStyle name="Normal 115 4 2 2 3" xfId="7214" xr:uid="{00000000-0005-0000-0000-0000821F0000}"/>
    <cellStyle name="Normal 115 4 2 2 3 2" xfId="16395" xr:uid="{00000000-0005-0000-0000-0000831F0000}"/>
    <cellStyle name="Normal 115 4 2 2 3 2 2" xfId="32969" xr:uid="{00000000-0005-0000-0000-0000841F0000}"/>
    <cellStyle name="Normal 115 4 2 2 3 3" xfId="24922" xr:uid="{00000000-0005-0000-0000-0000851F0000}"/>
    <cellStyle name="Normal 115 4 2 2 4" xfId="12494" xr:uid="{00000000-0005-0000-0000-0000861F0000}"/>
    <cellStyle name="Normal 115 4 2 2 4 2" xfId="29019" xr:uid="{00000000-0005-0000-0000-0000871F0000}"/>
    <cellStyle name="Normal 115 4 2 2 5" xfId="20976" xr:uid="{00000000-0005-0000-0000-0000881F0000}"/>
    <cellStyle name="Normal 115 4 2 3" xfId="3003" xr:uid="{00000000-0005-0000-0000-0000891F0000}"/>
    <cellStyle name="Normal 115 4 2 3 2" xfId="7215" xr:uid="{00000000-0005-0000-0000-00008A1F0000}"/>
    <cellStyle name="Normal 115 4 2 3 2 2" xfId="16396" xr:uid="{00000000-0005-0000-0000-00008B1F0000}"/>
    <cellStyle name="Normal 115 4 2 3 2 2 2" xfId="32970" xr:uid="{00000000-0005-0000-0000-00008C1F0000}"/>
    <cellStyle name="Normal 115 4 2 3 2 3" xfId="24923" xr:uid="{00000000-0005-0000-0000-00008D1F0000}"/>
    <cellStyle name="Normal 115 4 2 3 3" xfId="12496" xr:uid="{00000000-0005-0000-0000-00008E1F0000}"/>
    <cellStyle name="Normal 115 4 2 3 3 2" xfId="29021" xr:uid="{00000000-0005-0000-0000-00008F1F0000}"/>
    <cellStyle name="Normal 115 4 2 3 4" xfId="20978" xr:uid="{00000000-0005-0000-0000-0000901F0000}"/>
    <cellStyle name="Normal 115 4 2 4" xfId="7216" xr:uid="{00000000-0005-0000-0000-0000911F0000}"/>
    <cellStyle name="Normal 115 4 2 4 2" xfId="16397" xr:uid="{00000000-0005-0000-0000-0000921F0000}"/>
    <cellStyle name="Normal 115 4 2 4 2 2" xfId="32971" xr:uid="{00000000-0005-0000-0000-0000931F0000}"/>
    <cellStyle name="Normal 115 4 2 4 3" xfId="24924" xr:uid="{00000000-0005-0000-0000-0000941F0000}"/>
    <cellStyle name="Normal 115 4 2 5" xfId="12493" xr:uid="{00000000-0005-0000-0000-0000951F0000}"/>
    <cellStyle name="Normal 115 4 2 5 2" xfId="29018" xr:uid="{00000000-0005-0000-0000-0000961F0000}"/>
    <cellStyle name="Normal 115 4 2 6" xfId="20975" xr:uid="{00000000-0005-0000-0000-0000971F0000}"/>
    <cellStyle name="Normal 115 4 3" xfId="3004" xr:uid="{00000000-0005-0000-0000-0000981F0000}"/>
    <cellStyle name="Normal 115 4 3 2" xfId="3005" xr:uid="{00000000-0005-0000-0000-0000991F0000}"/>
    <cellStyle name="Normal 115 4 3 2 2" xfId="7217" xr:uid="{00000000-0005-0000-0000-00009A1F0000}"/>
    <cellStyle name="Normal 115 4 3 2 2 2" xfId="16398" xr:uid="{00000000-0005-0000-0000-00009B1F0000}"/>
    <cellStyle name="Normal 115 4 3 2 2 2 2" xfId="32972" xr:uid="{00000000-0005-0000-0000-00009C1F0000}"/>
    <cellStyle name="Normal 115 4 3 2 2 3" xfId="24925" xr:uid="{00000000-0005-0000-0000-00009D1F0000}"/>
    <cellStyle name="Normal 115 4 3 2 3" xfId="12498" xr:uid="{00000000-0005-0000-0000-00009E1F0000}"/>
    <cellStyle name="Normal 115 4 3 2 3 2" xfId="29023" xr:uid="{00000000-0005-0000-0000-00009F1F0000}"/>
    <cellStyle name="Normal 115 4 3 2 4" xfId="20980" xr:uid="{00000000-0005-0000-0000-0000A01F0000}"/>
    <cellStyle name="Normal 115 4 3 3" xfId="7218" xr:uid="{00000000-0005-0000-0000-0000A11F0000}"/>
    <cellStyle name="Normal 115 4 3 3 2" xfId="16399" xr:uid="{00000000-0005-0000-0000-0000A21F0000}"/>
    <cellStyle name="Normal 115 4 3 3 2 2" xfId="32973" xr:uid="{00000000-0005-0000-0000-0000A31F0000}"/>
    <cellStyle name="Normal 115 4 3 3 3" xfId="24926" xr:uid="{00000000-0005-0000-0000-0000A41F0000}"/>
    <cellStyle name="Normal 115 4 3 4" xfId="12497" xr:uid="{00000000-0005-0000-0000-0000A51F0000}"/>
    <cellStyle name="Normal 115 4 3 4 2" xfId="29022" xr:uid="{00000000-0005-0000-0000-0000A61F0000}"/>
    <cellStyle name="Normal 115 4 3 5" xfId="20979" xr:uid="{00000000-0005-0000-0000-0000A71F0000}"/>
    <cellStyle name="Normal 115 4 4" xfId="3006" xr:uid="{00000000-0005-0000-0000-0000A81F0000}"/>
    <cellStyle name="Normal 115 4 4 2" xfId="7219" xr:uid="{00000000-0005-0000-0000-0000A91F0000}"/>
    <cellStyle name="Normal 115 4 4 2 2" xfId="16400" xr:uid="{00000000-0005-0000-0000-0000AA1F0000}"/>
    <cellStyle name="Normal 115 4 4 2 2 2" xfId="32974" xr:uid="{00000000-0005-0000-0000-0000AB1F0000}"/>
    <cellStyle name="Normal 115 4 4 2 3" xfId="24927" xr:uid="{00000000-0005-0000-0000-0000AC1F0000}"/>
    <cellStyle name="Normal 115 4 4 3" xfId="12499" xr:uid="{00000000-0005-0000-0000-0000AD1F0000}"/>
    <cellStyle name="Normal 115 4 4 3 2" xfId="29024" xr:uid="{00000000-0005-0000-0000-0000AE1F0000}"/>
    <cellStyle name="Normal 115 4 4 4" xfId="20981" xr:uid="{00000000-0005-0000-0000-0000AF1F0000}"/>
    <cellStyle name="Normal 115 4 5" xfId="7220" xr:uid="{00000000-0005-0000-0000-0000B01F0000}"/>
    <cellStyle name="Normal 115 4 5 2" xfId="16401" xr:uid="{00000000-0005-0000-0000-0000B11F0000}"/>
    <cellStyle name="Normal 115 4 5 2 2" xfId="32975" xr:uid="{00000000-0005-0000-0000-0000B21F0000}"/>
    <cellStyle name="Normal 115 4 5 3" xfId="24928" xr:uid="{00000000-0005-0000-0000-0000B31F0000}"/>
    <cellStyle name="Normal 115 4 6" xfId="12492" xr:uid="{00000000-0005-0000-0000-0000B41F0000}"/>
    <cellStyle name="Normal 115 4 6 2" xfId="29017" xr:uid="{00000000-0005-0000-0000-0000B51F0000}"/>
    <cellStyle name="Normal 115 4 7" xfId="20974" xr:uid="{00000000-0005-0000-0000-0000B61F0000}"/>
    <cellStyle name="Normal 115 5" xfId="3007" xr:uid="{00000000-0005-0000-0000-0000B71F0000}"/>
    <cellStyle name="Normal 115 5 2" xfId="3008" xr:uid="{00000000-0005-0000-0000-0000B81F0000}"/>
    <cellStyle name="Normal 115 5 2 2" xfId="3009" xr:uid="{00000000-0005-0000-0000-0000B91F0000}"/>
    <cellStyle name="Normal 115 5 2 2 2" xfId="3010" xr:uid="{00000000-0005-0000-0000-0000BA1F0000}"/>
    <cellStyle name="Normal 115 5 2 2 2 2" xfId="7221" xr:uid="{00000000-0005-0000-0000-0000BB1F0000}"/>
    <cellStyle name="Normal 115 5 2 2 2 2 2" xfId="16402" xr:uid="{00000000-0005-0000-0000-0000BC1F0000}"/>
    <cellStyle name="Normal 115 5 2 2 2 2 2 2" xfId="32976" xr:uid="{00000000-0005-0000-0000-0000BD1F0000}"/>
    <cellStyle name="Normal 115 5 2 2 2 2 3" xfId="24929" xr:uid="{00000000-0005-0000-0000-0000BE1F0000}"/>
    <cellStyle name="Normal 115 5 2 2 2 3" xfId="12503" xr:uid="{00000000-0005-0000-0000-0000BF1F0000}"/>
    <cellStyle name="Normal 115 5 2 2 2 3 2" xfId="29028" xr:uid="{00000000-0005-0000-0000-0000C01F0000}"/>
    <cellStyle name="Normal 115 5 2 2 2 4" xfId="20985" xr:uid="{00000000-0005-0000-0000-0000C11F0000}"/>
    <cellStyle name="Normal 115 5 2 2 3" xfId="7222" xr:uid="{00000000-0005-0000-0000-0000C21F0000}"/>
    <cellStyle name="Normal 115 5 2 2 3 2" xfId="16403" xr:uid="{00000000-0005-0000-0000-0000C31F0000}"/>
    <cellStyle name="Normal 115 5 2 2 3 2 2" xfId="32977" xr:uid="{00000000-0005-0000-0000-0000C41F0000}"/>
    <cellStyle name="Normal 115 5 2 2 3 3" xfId="24930" xr:uid="{00000000-0005-0000-0000-0000C51F0000}"/>
    <cellStyle name="Normal 115 5 2 2 4" xfId="12502" xr:uid="{00000000-0005-0000-0000-0000C61F0000}"/>
    <cellStyle name="Normal 115 5 2 2 4 2" xfId="29027" xr:uid="{00000000-0005-0000-0000-0000C71F0000}"/>
    <cellStyle name="Normal 115 5 2 2 5" xfId="20984" xr:uid="{00000000-0005-0000-0000-0000C81F0000}"/>
    <cellStyle name="Normal 115 5 2 3" xfId="3011" xr:uid="{00000000-0005-0000-0000-0000C91F0000}"/>
    <cellStyle name="Normal 115 5 2 3 2" xfId="7223" xr:uid="{00000000-0005-0000-0000-0000CA1F0000}"/>
    <cellStyle name="Normal 115 5 2 3 2 2" xfId="16404" xr:uid="{00000000-0005-0000-0000-0000CB1F0000}"/>
    <cellStyle name="Normal 115 5 2 3 2 2 2" xfId="32978" xr:uid="{00000000-0005-0000-0000-0000CC1F0000}"/>
    <cellStyle name="Normal 115 5 2 3 2 3" xfId="24931" xr:uid="{00000000-0005-0000-0000-0000CD1F0000}"/>
    <cellStyle name="Normal 115 5 2 3 3" xfId="12504" xr:uid="{00000000-0005-0000-0000-0000CE1F0000}"/>
    <cellStyle name="Normal 115 5 2 3 3 2" xfId="29029" xr:uid="{00000000-0005-0000-0000-0000CF1F0000}"/>
    <cellStyle name="Normal 115 5 2 3 4" xfId="20986" xr:uid="{00000000-0005-0000-0000-0000D01F0000}"/>
    <cellStyle name="Normal 115 5 2 4" xfId="7224" xr:uid="{00000000-0005-0000-0000-0000D11F0000}"/>
    <cellStyle name="Normal 115 5 2 4 2" xfId="16405" xr:uid="{00000000-0005-0000-0000-0000D21F0000}"/>
    <cellStyle name="Normal 115 5 2 4 2 2" xfId="32979" xr:uid="{00000000-0005-0000-0000-0000D31F0000}"/>
    <cellStyle name="Normal 115 5 2 4 3" xfId="24932" xr:uid="{00000000-0005-0000-0000-0000D41F0000}"/>
    <cellStyle name="Normal 115 5 2 5" xfId="12501" xr:uid="{00000000-0005-0000-0000-0000D51F0000}"/>
    <cellStyle name="Normal 115 5 2 5 2" xfId="29026" xr:uid="{00000000-0005-0000-0000-0000D61F0000}"/>
    <cellStyle name="Normal 115 5 2 6" xfId="20983" xr:uid="{00000000-0005-0000-0000-0000D71F0000}"/>
    <cellStyle name="Normal 115 5 3" xfId="3012" xr:uid="{00000000-0005-0000-0000-0000D81F0000}"/>
    <cellStyle name="Normal 115 5 3 2" xfId="3013" xr:uid="{00000000-0005-0000-0000-0000D91F0000}"/>
    <cellStyle name="Normal 115 5 3 2 2" xfId="7225" xr:uid="{00000000-0005-0000-0000-0000DA1F0000}"/>
    <cellStyle name="Normal 115 5 3 2 2 2" xfId="16406" xr:uid="{00000000-0005-0000-0000-0000DB1F0000}"/>
    <cellStyle name="Normal 115 5 3 2 2 2 2" xfId="32980" xr:uid="{00000000-0005-0000-0000-0000DC1F0000}"/>
    <cellStyle name="Normal 115 5 3 2 2 3" xfId="24933" xr:uid="{00000000-0005-0000-0000-0000DD1F0000}"/>
    <cellStyle name="Normal 115 5 3 2 3" xfId="12506" xr:uid="{00000000-0005-0000-0000-0000DE1F0000}"/>
    <cellStyle name="Normal 115 5 3 2 3 2" xfId="29031" xr:uid="{00000000-0005-0000-0000-0000DF1F0000}"/>
    <cellStyle name="Normal 115 5 3 2 4" xfId="20988" xr:uid="{00000000-0005-0000-0000-0000E01F0000}"/>
    <cellStyle name="Normal 115 5 3 3" xfId="7226" xr:uid="{00000000-0005-0000-0000-0000E11F0000}"/>
    <cellStyle name="Normal 115 5 3 3 2" xfId="16407" xr:uid="{00000000-0005-0000-0000-0000E21F0000}"/>
    <cellStyle name="Normal 115 5 3 3 2 2" xfId="32981" xr:uid="{00000000-0005-0000-0000-0000E31F0000}"/>
    <cellStyle name="Normal 115 5 3 3 3" xfId="24934" xr:uid="{00000000-0005-0000-0000-0000E41F0000}"/>
    <cellStyle name="Normal 115 5 3 4" xfId="12505" xr:uid="{00000000-0005-0000-0000-0000E51F0000}"/>
    <cellStyle name="Normal 115 5 3 4 2" xfId="29030" xr:uid="{00000000-0005-0000-0000-0000E61F0000}"/>
    <cellStyle name="Normal 115 5 3 5" xfId="20987" xr:uid="{00000000-0005-0000-0000-0000E71F0000}"/>
    <cellStyle name="Normal 115 5 4" xfId="3014" xr:uid="{00000000-0005-0000-0000-0000E81F0000}"/>
    <cellStyle name="Normal 115 5 4 2" xfId="7227" xr:uid="{00000000-0005-0000-0000-0000E91F0000}"/>
    <cellStyle name="Normal 115 5 4 2 2" xfId="16408" xr:uid="{00000000-0005-0000-0000-0000EA1F0000}"/>
    <cellStyle name="Normal 115 5 4 2 2 2" xfId="32982" xr:uid="{00000000-0005-0000-0000-0000EB1F0000}"/>
    <cellStyle name="Normal 115 5 4 2 3" xfId="24935" xr:uid="{00000000-0005-0000-0000-0000EC1F0000}"/>
    <cellStyle name="Normal 115 5 4 3" xfId="12507" xr:uid="{00000000-0005-0000-0000-0000ED1F0000}"/>
    <cellStyle name="Normal 115 5 4 3 2" xfId="29032" xr:uid="{00000000-0005-0000-0000-0000EE1F0000}"/>
    <cellStyle name="Normal 115 5 4 4" xfId="20989" xr:uid="{00000000-0005-0000-0000-0000EF1F0000}"/>
    <cellStyle name="Normal 115 5 5" xfId="7228" xr:uid="{00000000-0005-0000-0000-0000F01F0000}"/>
    <cellStyle name="Normal 115 5 5 2" xfId="16409" xr:uid="{00000000-0005-0000-0000-0000F11F0000}"/>
    <cellStyle name="Normal 115 5 5 2 2" xfId="32983" xr:uid="{00000000-0005-0000-0000-0000F21F0000}"/>
    <cellStyle name="Normal 115 5 5 3" xfId="24936" xr:uid="{00000000-0005-0000-0000-0000F31F0000}"/>
    <cellStyle name="Normal 115 5 6" xfId="12500" xr:uid="{00000000-0005-0000-0000-0000F41F0000}"/>
    <cellStyle name="Normal 115 5 6 2" xfId="29025" xr:uid="{00000000-0005-0000-0000-0000F51F0000}"/>
    <cellStyle name="Normal 115 5 7" xfId="20982" xr:uid="{00000000-0005-0000-0000-0000F61F0000}"/>
    <cellStyle name="Normal 115 6" xfId="3015" xr:uid="{00000000-0005-0000-0000-0000F71F0000}"/>
    <cellStyle name="Normal 115 6 2" xfId="3016" xr:uid="{00000000-0005-0000-0000-0000F81F0000}"/>
    <cellStyle name="Normal 115 6 2 2" xfId="3017" xr:uid="{00000000-0005-0000-0000-0000F91F0000}"/>
    <cellStyle name="Normal 115 6 2 2 2" xfId="7229" xr:uid="{00000000-0005-0000-0000-0000FA1F0000}"/>
    <cellStyle name="Normal 115 6 2 2 2 2" xfId="16410" xr:uid="{00000000-0005-0000-0000-0000FB1F0000}"/>
    <cellStyle name="Normal 115 6 2 2 2 2 2" xfId="32984" xr:uid="{00000000-0005-0000-0000-0000FC1F0000}"/>
    <cellStyle name="Normal 115 6 2 2 2 3" xfId="24937" xr:uid="{00000000-0005-0000-0000-0000FD1F0000}"/>
    <cellStyle name="Normal 115 6 2 2 3" xfId="12510" xr:uid="{00000000-0005-0000-0000-0000FE1F0000}"/>
    <cellStyle name="Normal 115 6 2 2 3 2" xfId="29035" xr:uid="{00000000-0005-0000-0000-0000FF1F0000}"/>
    <cellStyle name="Normal 115 6 2 2 4" xfId="20992" xr:uid="{00000000-0005-0000-0000-000000200000}"/>
    <cellStyle name="Normal 115 6 2 3" xfId="7230" xr:uid="{00000000-0005-0000-0000-000001200000}"/>
    <cellStyle name="Normal 115 6 2 3 2" xfId="16411" xr:uid="{00000000-0005-0000-0000-000002200000}"/>
    <cellStyle name="Normal 115 6 2 3 2 2" xfId="32985" xr:uid="{00000000-0005-0000-0000-000003200000}"/>
    <cellStyle name="Normal 115 6 2 3 3" xfId="24938" xr:uid="{00000000-0005-0000-0000-000004200000}"/>
    <cellStyle name="Normal 115 6 2 4" xfId="12509" xr:uid="{00000000-0005-0000-0000-000005200000}"/>
    <cellStyle name="Normal 115 6 2 4 2" xfId="29034" xr:uid="{00000000-0005-0000-0000-000006200000}"/>
    <cellStyle name="Normal 115 6 2 5" xfId="20991" xr:uid="{00000000-0005-0000-0000-000007200000}"/>
    <cellStyle name="Normal 115 6 3" xfId="3018" xr:uid="{00000000-0005-0000-0000-000008200000}"/>
    <cellStyle name="Normal 115 6 3 2" xfId="7231" xr:uid="{00000000-0005-0000-0000-000009200000}"/>
    <cellStyle name="Normal 115 6 3 2 2" xfId="16412" xr:uid="{00000000-0005-0000-0000-00000A200000}"/>
    <cellStyle name="Normal 115 6 3 2 2 2" xfId="32986" xr:uid="{00000000-0005-0000-0000-00000B200000}"/>
    <cellStyle name="Normal 115 6 3 2 3" xfId="24939" xr:uid="{00000000-0005-0000-0000-00000C200000}"/>
    <cellStyle name="Normal 115 6 3 3" xfId="12511" xr:uid="{00000000-0005-0000-0000-00000D200000}"/>
    <cellStyle name="Normal 115 6 3 3 2" xfId="29036" xr:uid="{00000000-0005-0000-0000-00000E200000}"/>
    <cellStyle name="Normal 115 6 3 4" xfId="20993" xr:uid="{00000000-0005-0000-0000-00000F200000}"/>
    <cellStyle name="Normal 115 6 4" xfId="7232" xr:uid="{00000000-0005-0000-0000-000010200000}"/>
    <cellStyle name="Normal 115 6 4 2" xfId="16413" xr:uid="{00000000-0005-0000-0000-000011200000}"/>
    <cellStyle name="Normal 115 6 4 2 2" xfId="32987" xr:uid="{00000000-0005-0000-0000-000012200000}"/>
    <cellStyle name="Normal 115 6 4 3" xfId="24940" xr:uid="{00000000-0005-0000-0000-000013200000}"/>
    <cellStyle name="Normal 115 6 5" xfId="12508" xr:uid="{00000000-0005-0000-0000-000014200000}"/>
    <cellStyle name="Normal 115 6 5 2" xfId="29033" xr:uid="{00000000-0005-0000-0000-000015200000}"/>
    <cellStyle name="Normal 115 6 6" xfId="20990" xr:uid="{00000000-0005-0000-0000-000016200000}"/>
    <cellStyle name="Normal 115 7" xfId="3019" xr:uid="{00000000-0005-0000-0000-000017200000}"/>
    <cellStyle name="Normal 115 7 2" xfId="3020" xr:uid="{00000000-0005-0000-0000-000018200000}"/>
    <cellStyle name="Normal 115 7 2 2" xfId="7233" xr:uid="{00000000-0005-0000-0000-000019200000}"/>
    <cellStyle name="Normal 115 7 2 2 2" xfId="16414" xr:uid="{00000000-0005-0000-0000-00001A200000}"/>
    <cellStyle name="Normal 115 7 2 2 2 2" xfId="32988" xr:uid="{00000000-0005-0000-0000-00001B200000}"/>
    <cellStyle name="Normal 115 7 2 2 3" xfId="24941" xr:uid="{00000000-0005-0000-0000-00001C200000}"/>
    <cellStyle name="Normal 115 7 2 3" xfId="12513" xr:uid="{00000000-0005-0000-0000-00001D200000}"/>
    <cellStyle name="Normal 115 7 2 3 2" xfId="29038" xr:uid="{00000000-0005-0000-0000-00001E200000}"/>
    <cellStyle name="Normal 115 7 2 4" xfId="20995" xr:uid="{00000000-0005-0000-0000-00001F200000}"/>
    <cellStyle name="Normal 115 7 3" xfId="7234" xr:uid="{00000000-0005-0000-0000-000020200000}"/>
    <cellStyle name="Normal 115 7 3 2" xfId="16415" xr:uid="{00000000-0005-0000-0000-000021200000}"/>
    <cellStyle name="Normal 115 7 3 2 2" xfId="32989" xr:uid="{00000000-0005-0000-0000-000022200000}"/>
    <cellStyle name="Normal 115 7 3 3" xfId="24942" xr:uid="{00000000-0005-0000-0000-000023200000}"/>
    <cellStyle name="Normal 115 7 4" xfId="12512" xr:uid="{00000000-0005-0000-0000-000024200000}"/>
    <cellStyle name="Normal 115 7 4 2" xfId="29037" xr:uid="{00000000-0005-0000-0000-000025200000}"/>
    <cellStyle name="Normal 115 7 5" xfId="20994" xr:uid="{00000000-0005-0000-0000-000026200000}"/>
    <cellStyle name="Normal 115 8" xfId="3021" xr:uid="{00000000-0005-0000-0000-000027200000}"/>
    <cellStyle name="Normal 115 8 2" xfId="7235" xr:uid="{00000000-0005-0000-0000-000028200000}"/>
    <cellStyle name="Normal 115 8 2 2" xfId="16416" xr:uid="{00000000-0005-0000-0000-000029200000}"/>
    <cellStyle name="Normal 115 8 2 2 2" xfId="32990" xr:uid="{00000000-0005-0000-0000-00002A200000}"/>
    <cellStyle name="Normal 115 8 2 3" xfId="24943" xr:uid="{00000000-0005-0000-0000-00002B200000}"/>
    <cellStyle name="Normal 115 8 3" xfId="12514" xr:uid="{00000000-0005-0000-0000-00002C200000}"/>
    <cellStyle name="Normal 115 8 3 2" xfId="29039" xr:uid="{00000000-0005-0000-0000-00002D200000}"/>
    <cellStyle name="Normal 115 8 4" xfId="20996" xr:uid="{00000000-0005-0000-0000-00002E200000}"/>
    <cellStyle name="Normal 115 9" xfId="7236" xr:uid="{00000000-0005-0000-0000-00002F200000}"/>
    <cellStyle name="Normal 115 9 2" xfId="16417" xr:uid="{00000000-0005-0000-0000-000030200000}"/>
    <cellStyle name="Normal 115 9 2 2" xfId="32991" xr:uid="{00000000-0005-0000-0000-000031200000}"/>
    <cellStyle name="Normal 115 9 3" xfId="24944" xr:uid="{00000000-0005-0000-0000-000032200000}"/>
    <cellStyle name="Normal 116" xfId="3022" xr:uid="{00000000-0005-0000-0000-000033200000}"/>
    <cellStyle name="Normal 116 10" xfId="12515" xr:uid="{00000000-0005-0000-0000-000034200000}"/>
    <cellStyle name="Normal 116 10 2" xfId="29040" xr:uid="{00000000-0005-0000-0000-000035200000}"/>
    <cellStyle name="Normal 116 11" xfId="20997" xr:uid="{00000000-0005-0000-0000-000036200000}"/>
    <cellStyle name="Normal 116 2" xfId="3023" xr:uid="{00000000-0005-0000-0000-000037200000}"/>
    <cellStyle name="Normal 116 2 2" xfId="3024" xr:uid="{00000000-0005-0000-0000-000038200000}"/>
    <cellStyle name="Normal 116 2 3" xfId="12516" xr:uid="{00000000-0005-0000-0000-000039200000}"/>
    <cellStyle name="Normal 116 2 3 2" xfId="29041" xr:uid="{00000000-0005-0000-0000-00003A200000}"/>
    <cellStyle name="Normal 116 2 4" xfId="20998" xr:uid="{00000000-0005-0000-0000-00003B200000}"/>
    <cellStyle name="Normal 116 3" xfId="3025" xr:uid="{00000000-0005-0000-0000-00003C200000}"/>
    <cellStyle name="Normal 116 3 2" xfId="3026" xr:uid="{00000000-0005-0000-0000-00003D200000}"/>
    <cellStyle name="Normal 116 3 2 2" xfId="3027" xr:uid="{00000000-0005-0000-0000-00003E200000}"/>
    <cellStyle name="Normal 116 3 2 2 2" xfId="3028" xr:uid="{00000000-0005-0000-0000-00003F200000}"/>
    <cellStyle name="Normal 116 3 2 2 2 2" xfId="7237" xr:uid="{00000000-0005-0000-0000-000040200000}"/>
    <cellStyle name="Normal 116 3 2 2 2 2 2" xfId="16418" xr:uid="{00000000-0005-0000-0000-000041200000}"/>
    <cellStyle name="Normal 116 3 2 2 2 2 2 2" xfId="32992" xr:uid="{00000000-0005-0000-0000-000042200000}"/>
    <cellStyle name="Normal 116 3 2 2 2 2 3" xfId="24945" xr:uid="{00000000-0005-0000-0000-000043200000}"/>
    <cellStyle name="Normal 116 3 2 2 2 3" xfId="12519" xr:uid="{00000000-0005-0000-0000-000044200000}"/>
    <cellStyle name="Normal 116 3 2 2 2 3 2" xfId="29044" xr:uid="{00000000-0005-0000-0000-000045200000}"/>
    <cellStyle name="Normal 116 3 2 2 2 4" xfId="21001" xr:uid="{00000000-0005-0000-0000-000046200000}"/>
    <cellStyle name="Normal 116 3 2 2 3" xfId="7238" xr:uid="{00000000-0005-0000-0000-000047200000}"/>
    <cellStyle name="Normal 116 3 2 2 3 2" xfId="16419" xr:uid="{00000000-0005-0000-0000-000048200000}"/>
    <cellStyle name="Normal 116 3 2 2 3 2 2" xfId="32993" xr:uid="{00000000-0005-0000-0000-000049200000}"/>
    <cellStyle name="Normal 116 3 2 2 3 3" xfId="24946" xr:uid="{00000000-0005-0000-0000-00004A200000}"/>
    <cellStyle name="Normal 116 3 2 2 4" xfId="12518" xr:uid="{00000000-0005-0000-0000-00004B200000}"/>
    <cellStyle name="Normal 116 3 2 2 4 2" xfId="29043" xr:uid="{00000000-0005-0000-0000-00004C200000}"/>
    <cellStyle name="Normal 116 3 2 2 5" xfId="21000" xr:uid="{00000000-0005-0000-0000-00004D200000}"/>
    <cellStyle name="Normal 116 3 2 3" xfId="3029" xr:uid="{00000000-0005-0000-0000-00004E200000}"/>
    <cellStyle name="Normal 116 3 2 3 2" xfId="7239" xr:uid="{00000000-0005-0000-0000-00004F200000}"/>
    <cellStyle name="Normal 116 3 2 3 2 2" xfId="16420" xr:uid="{00000000-0005-0000-0000-000050200000}"/>
    <cellStyle name="Normal 116 3 2 3 2 2 2" xfId="32994" xr:uid="{00000000-0005-0000-0000-000051200000}"/>
    <cellStyle name="Normal 116 3 2 3 2 3" xfId="24947" xr:uid="{00000000-0005-0000-0000-000052200000}"/>
    <cellStyle name="Normal 116 3 2 3 3" xfId="12520" xr:uid="{00000000-0005-0000-0000-000053200000}"/>
    <cellStyle name="Normal 116 3 2 3 3 2" xfId="29045" xr:uid="{00000000-0005-0000-0000-000054200000}"/>
    <cellStyle name="Normal 116 3 2 3 4" xfId="21002" xr:uid="{00000000-0005-0000-0000-000055200000}"/>
    <cellStyle name="Normal 116 3 2 4" xfId="7240" xr:uid="{00000000-0005-0000-0000-000056200000}"/>
    <cellStyle name="Normal 116 3 2 4 2" xfId="16421" xr:uid="{00000000-0005-0000-0000-000057200000}"/>
    <cellStyle name="Normal 116 3 2 4 2 2" xfId="32995" xr:uid="{00000000-0005-0000-0000-000058200000}"/>
    <cellStyle name="Normal 116 3 2 4 3" xfId="24948" xr:uid="{00000000-0005-0000-0000-000059200000}"/>
    <cellStyle name="Normal 116 3 2 5" xfId="12517" xr:uid="{00000000-0005-0000-0000-00005A200000}"/>
    <cellStyle name="Normal 116 3 2 5 2" xfId="29042" xr:uid="{00000000-0005-0000-0000-00005B200000}"/>
    <cellStyle name="Normal 116 3 2 6" xfId="20999" xr:uid="{00000000-0005-0000-0000-00005C200000}"/>
    <cellStyle name="Normal 116 3 3" xfId="3030" xr:uid="{00000000-0005-0000-0000-00005D200000}"/>
    <cellStyle name="Normal 116 3 3 2" xfId="3031" xr:uid="{00000000-0005-0000-0000-00005E200000}"/>
    <cellStyle name="Normal 116 3 3 2 2" xfId="7241" xr:uid="{00000000-0005-0000-0000-00005F200000}"/>
    <cellStyle name="Normal 116 3 3 2 2 2" xfId="16422" xr:uid="{00000000-0005-0000-0000-000060200000}"/>
    <cellStyle name="Normal 116 3 3 2 2 2 2" xfId="32996" xr:uid="{00000000-0005-0000-0000-000061200000}"/>
    <cellStyle name="Normal 116 3 3 2 2 3" xfId="24949" xr:uid="{00000000-0005-0000-0000-000062200000}"/>
    <cellStyle name="Normal 116 3 3 2 3" xfId="12522" xr:uid="{00000000-0005-0000-0000-000063200000}"/>
    <cellStyle name="Normal 116 3 3 2 3 2" xfId="29047" xr:uid="{00000000-0005-0000-0000-000064200000}"/>
    <cellStyle name="Normal 116 3 3 2 4" xfId="21004" xr:uid="{00000000-0005-0000-0000-000065200000}"/>
    <cellStyle name="Normal 116 3 3 3" xfId="7242" xr:uid="{00000000-0005-0000-0000-000066200000}"/>
    <cellStyle name="Normal 116 3 3 3 2" xfId="16423" xr:uid="{00000000-0005-0000-0000-000067200000}"/>
    <cellStyle name="Normal 116 3 3 3 2 2" xfId="32997" xr:uid="{00000000-0005-0000-0000-000068200000}"/>
    <cellStyle name="Normal 116 3 3 3 3" xfId="24950" xr:uid="{00000000-0005-0000-0000-000069200000}"/>
    <cellStyle name="Normal 116 3 3 4" xfId="12521" xr:uid="{00000000-0005-0000-0000-00006A200000}"/>
    <cellStyle name="Normal 116 3 3 4 2" xfId="29046" xr:uid="{00000000-0005-0000-0000-00006B200000}"/>
    <cellStyle name="Normal 116 3 3 5" xfId="21003" xr:uid="{00000000-0005-0000-0000-00006C200000}"/>
    <cellStyle name="Normal 116 3 4" xfId="3032" xr:uid="{00000000-0005-0000-0000-00006D200000}"/>
    <cellStyle name="Normal 116 3 4 2" xfId="7243" xr:uid="{00000000-0005-0000-0000-00006E200000}"/>
    <cellStyle name="Normal 116 3 4 2 2" xfId="16424" xr:uid="{00000000-0005-0000-0000-00006F200000}"/>
    <cellStyle name="Normal 116 3 4 2 2 2" xfId="32998" xr:uid="{00000000-0005-0000-0000-000070200000}"/>
    <cellStyle name="Normal 116 3 4 2 3" xfId="24951" xr:uid="{00000000-0005-0000-0000-000071200000}"/>
    <cellStyle name="Normal 116 3 4 3" xfId="12523" xr:uid="{00000000-0005-0000-0000-000072200000}"/>
    <cellStyle name="Normal 116 3 4 3 2" xfId="29048" xr:uid="{00000000-0005-0000-0000-000073200000}"/>
    <cellStyle name="Normal 116 3 4 4" xfId="21005" xr:uid="{00000000-0005-0000-0000-000074200000}"/>
    <cellStyle name="Normal 116 3 5" xfId="3033" xr:uid="{00000000-0005-0000-0000-000075200000}"/>
    <cellStyle name="Normal 116 3 5 2" xfId="12524" xr:uid="{00000000-0005-0000-0000-000076200000}"/>
    <cellStyle name="Normal 116 3 5 2 2" xfId="29049" xr:uid="{00000000-0005-0000-0000-000077200000}"/>
    <cellStyle name="Normal 116 3 5 3" xfId="21006" xr:uid="{00000000-0005-0000-0000-000078200000}"/>
    <cellStyle name="Normal 116 4" xfId="3034" xr:uid="{00000000-0005-0000-0000-000079200000}"/>
    <cellStyle name="Normal 116 4 2" xfId="3035" xr:uid="{00000000-0005-0000-0000-00007A200000}"/>
    <cellStyle name="Normal 116 4 2 2" xfId="3036" xr:uid="{00000000-0005-0000-0000-00007B200000}"/>
    <cellStyle name="Normal 116 4 2 2 2" xfId="3037" xr:uid="{00000000-0005-0000-0000-00007C200000}"/>
    <cellStyle name="Normal 116 4 2 2 2 2" xfId="7244" xr:uid="{00000000-0005-0000-0000-00007D200000}"/>
    <cellStyle name="Normal 116 4 2 2 2 2 2" xfId="16425" xr:uid="{00000000-0005-0000-0000-00007E200000}"/>
    <cellStyle name="Normal 116 4 2 2 2 2 2 2" xfId="32999" xr:uid="{00000000-0005-0000-0000-00007F200000}"/>
    <cellStyle name="Normal 116 4 2 2 2 2 3" xfId="24952" xr:uid="{00000000-0005-0000-0000-000080200000}"/>
    <cellStyle name="Normal 116 4 2 2 2 3" xfId="12528" xr:uid="{00000000-0005-0000-0000-000081200000}"/>
    <cellStyle name="Normal 116 4 2 2 2 3 2" xfId="29053" xr:uid="{00000000-0005-0000-0000-000082200000}"/>
    <cellStyle name="Normal 116 4 2 2 2 4" xfId="21010" xr:uid="{00000000-0005-0000-0000-000083200000}"/>
    <cellStyle name="Normal 116 4 2 2 3" xfId="7245" xr:uid="{00000000-0005-0000-0000-000084200000}"/>
    <cellStyle name="Normal 116 4 2 2 3 2" xfId="16426" xr:uid="{00000000-0005-0000-0000-000085200000}"/>
    <cellStyle name="Normal 116 4 2 2 3 2 2" xfId="33000" xr:uid="{00000000-0005-0000-0000-000086200000}"/>
    <cellStyle name="Normal 116 4 2 2 3 3" xfId="24953" xr:uid="{00000000-0005-0000-0000-000087200000}"/>
    <cellStyle name="Normal 116 4 2 2 4" xfId="12527" xr:uid="{00000000-0005-0000-0000-000088200000}"/>
    <cellStyle name="Normal 116 4 2 2 4 2" xfId="29052" xr:uid="{00000000-0005-0000-0000-000089200000}"/>
    <cellStyle name="Normal 116 4 2 2 5" xfId="21009" xr:uid="{00000000-0005-0000-0000-00008A200000}"/>
    <cellStyle name="Normal 116 4 2 3" xfId="3038" xr:uid="{00000000-0005-0000-0000-00008B200000}"/>
    <cellStyle name="Normal 116 4 2 3 2" xfId="7246" xr:uid="{00000000-0005-0000-0000-00008C200000}"/>
    <cellStyle name="Normal 116 4 2 3 2 2" xfId="16427" xr:uid="{00000000-0005-0000-0000-00008D200000}"/>
    <cellStyle name="Normal 116 4 2 3 2 2 2" xfId="33001" xr:uid="{00000000-0005-0000-0000-00008E200000}"/>
    <cellStyle name="Normal 116 4 2 3 2 3" xfId="24954" xr:uid="{00000000-0005-0000-0000-00008F200000}"/>
    <cellStyle name="Normal 116 4 2 3 3" xfId="12529" xr:uid="{00000000-0005-0000-0000-000090200000}"/>
    <cellStyle name="Normal 116 4 2 3 3 2" xfId="29054" xr:uid="{00000000-0005-0000-0000-000091200000}"/>
    <cellStyle name="Normal 116 4 2 3 4" xfId="21011" xr:uid="{00000000-0005-0000-0000-000092200000}"/>
    <cellStyle name="Normal 116 4 2 4" xfId="7247" xr:uid="{00000000-0005-0000-0000-000093200000}"/>
    <cellStyle name="Normal 116 4 2 4 2" xfId="16428" xr:uid="{00000000-0005-0000-0000-000094200000}"/>
    <cellStyle name="Normal 116 4 2 4 2 2" xfId="33002" xr:uid="{00000000-0005-0000-0000-000095200000}"/>
    <cellStyle name="Normal 116 4 2 4 3" xfId="24955" xr:uid="{00000000-0005-0000-0000-000096200000}"/>
    <cellStyle name="Normal 116 4 2 5" xfId="12526" xr:uid="{00000000-0005-0000-0000-000097200000}"/>
    <cellStyle name="Normal 116 4 2 5 2" xfId="29051" xr:uid="{00000000-0005-0000-0000-000098200000}"/>
    <cellStyle name="Normal 116 4 2 6" xfId="21008" xr:uid="{00000000-0005-0000-0000-000099200000}"/>
    <cellStyle name="Normal 116 4 3" xfId="3039" xr:uid="{00000000-0005-0000-0000-00009A200000}"/>
    <cellStyle name="Normal 116 4 3 2" xfId="3040" xr:uid="{00000000-0005-0000-0000-00009B200000}"/>
    <cellStyle name="Normal 116 4 3 2 2" xfId="7248" xr:uid="{00000000-0005-0000-0000-00009C200000}"/>
    <cellStyle name="Normal 116 4 3 2 2 2" xfId="16429" xr:uid="{00000000-0005-0000-0000-00009D200000}"/>
    <cellStyle name="Normal 116 4 3 2 2 2 2" xfId="33003" xr:uid="{00000000-0005-0000-0000-00009E200000}"/>
    <cellStyle name="Normal 116 4 3 2 2 3" xfId="24956" xr:uid="{00000000-0005-0000-0000-00009F200000}"/>
    <cellStyle name="Normal 116 4 3 2 3" xfId="12531" xr:uid="{00000000-0005-0000-0000-0000A0200000}"/>
    <cellStyle name="Normal 116 4 3 2 3 2" xfId="29056" xr:uid="{00000000-0005-0000-0000-0000A1200000}"/>
    <cellStyle name="Normal 116 4 3 2 4" xfId="21013" xr:uid="{00000000-0005-0000-0000-0000A2200000}"/>
    <cellStyle name="Normal 116 4 3 3" xfId="7249" xr:uid="{00000000-0005-0000-0000-0000A3200000}"/>
    <cellStyle name="Normal 116 4 3 3 2" xfId="16430" xr:uid="{00000000-0005-0000-0000-0000A4200000}"/>
    <cellStyle name="Normal 116 4 3 3 2 2" xfId="33004" xr:uid="{00000000-0005-0000-0000-0000A5200000}"/>
    <cellStyle name="Normal 116 4 3 3 3" xfId="24957" xr:uid="{00000000-0005-0000-0000-0000A6200000}"/>
    <cellStyle name="Normal 116 4 3 4" xfId="12530" xr:uid="{00000000-0005-0000-0000-0000A7200000}"/>
    <cellStyle name="Normal 116 4 3 4 2" xfId="29055" xr:uid="{00000000-0005-0000-0000-0000A8200000}"/>
    <cellStyle name="Normal 116 4 3 5" xfId="21012" xr:uid="{00000000-0005-0000-0000-0000A9200000}"/>
    <cellStyle name="Normal 116 4 4" xfId="3041" xr:uid="{00000000-0005-0000-0000-0000AA200000}"/>
    <cellStyle name="Normal 116 4 4 2" xfId="7250" xr:uid="{00000000-0005-0000-0000-0000AB200000}"/>
    <cellStyle name="Normal 116 4 4 2 2" xfId="16431" xr:uid="{00000000-0005-0000-0000-0000AC200000}"/>
    <cellStyle name="Normal 116 4 4 2 2 2" xfId="33005" xr:uid="{00000000-0005-0000-0000-0000AD200000}"/>
    <cellStyle name="Normal 116 4 4 2 3" xfId="24958" xr:uid="{00000000-0005-0000-0000-0000AE200000}"/>
    <cellStyle name="Normal 116 4 4 3" xfId="12532" xr:uid="{00000000-0005-0000-0000-0000AF200000}"/>
    <cellStyle name="Normal 116 4 4 3 2" xfId="29057" xr:uid="{00000000-0005-0000-0000-0000B0200000}"/>
    <cellStyle name="Normal 116 4 4 4" xfId="21014" xr:uid="{00000000-0005-0000-0000-0000B1200000}"/>
    <cellStyle name="Normal 116 4 5" xfId="7251" xr:uid="{00000000-0005-0000-0000-0000B2200000}"/>
    <cellStyle name="Normal 116 4 5 2" xfId="16432" xr:uid="{00000000-0005-0000-0000-0000B3200000}"/>
    <cellStyle name="Normal 116 4 5 2 2" xfId="33006" xr:uid="{00000000-0005-0000-0000-0000B4200000}"/>
    <cellStyle name="Normal 116 4 5 3" xfId="24959" xr:uid="{00000000-0005-0000-0000-0000B5200000}"/>
    <cellStyle name="Normal 116 4 6" xfId="12525" xr:uid="{00000000-0005-0000-0000-0000B6200000}"/>
    <cellStyle name="Normal 116 4 6 2" xfId="29050" xr:uid="{00000000-0005-0000-0000-0000B7200000}"/>
    <cellStyle name="Normal 116 4 7" xfId="21007" xr:uid="{00000000-0005-0000-0000-0000B8200000}"/>
    <cellStyle name="Normal 116 5" xfId="3042" xr:uid="{00000000-0005-0000-0000-0000B9200000}"/>
    <cellStyle name="Normal 116 5 2" xfId="3043" xr:uid="{00000000-0005-0000-0000-0000BA200000}"/>
    <cellStyle name="Normal 116 5 2 2" xfId="3044" xr:uid="{00000000-0005-0000-0000-0000BB200000}"/>
    <cellStyle name="Normal 116 5 2 2 2" xfId="3045" xr:uid="{00000000-0005-0000-0000-0000BC200000}"/>
    <cellStyle name="Normal 116 5 2 2 2 2" xfId="7252" xr:uid="{00000000-0005-0000-0000-0000BD200000}"/>
    <cellStyle name="Normal 116 5 2 2 2 2 2" xfId="16433" xr:uid="{00000000-0005-0000-0000-0000BE200000}"/>
    <cellStyle name="Normal 116 5 2 2 2 2 2 2" xfId="33007" xr:uid="{00000000-0005-0000-0000-0000BF200000}"/>
    <cellStyle name="Normal 116 5 2 2 2 2 3" xfId="24960" xr:uid="{00000000-0005-0000-0000-0000C0200000}"/>
    <cellStyle name="Normal 116 5 2 2 2 3" xfId="12536" xr:uid="{00000000-0005-0000-0000-0000C1200000}"/>
    <cellStyle name="Normal 116 5 2 2 2 3 2" xfId="29061" xr:uid="{00000000-0005-0000-0000-0000C2200000}"/>
    <cellStyle name="Normal 116 5 2 2 2 4" xfId="21018" xr:uid="{00000000-0005-0000-0000-0000C3200000}"/>
    <cellStyle name="Normal 116 5 2 2 3" xfId="7253" xr:uid="{00000000-0005-0000-0000-0000C4200000}"/>
    <cellStyle name="Normal 116 5 2 2 3 2" xfId="16434" xr:uid="{00000000-0005-0000-0000-0000C5200000}"/>
    <cellStyle name="Normal 116 5 2 2 3 2 2" xfId="33008" xr:uid="{00000000-0005-0000-0000-0000C6200000}"/>
    <cellStyle name="Normal 116 5 2 2 3 3" xfId="24961" xr:uid="{00000000-0005-0000-0000-0000C7200000}"/>
    <cellStyle name="Normal 116 5 2 2 4" xfId="12535" xr:uid="{00000000-0005-0000-0000-0000C8200000}"/>
    <cellStyle name="Normal 116 5 2 2 4 2" xfId="29060" xr:uid="{00000000-0005-0000-0000-0000C9200000}"/>
    <cellStyle name="Normal 116 5 2 2 5" xfId="21017" xr:uid="{00000000-0005-0000-0000-0000CA200000}"/>
    <cellStyle name="Normal 116 5 2 3" xfId="3046" xr:uid="{00000000-0005-0000-0000-0000CB200000}"/>
    <cellStyle name="Normal 116 5 2 3 2" xfId="7254" xr:uid="{00000000-0005-0000-0000-0000CC200000}"/>
    <cellStyle name="Normal 116 5 2 3 2 2" xfId="16435" xr:uid="{00000000-0005-0000-0000-0000CD200000}"/>
    <cellStyle name="Normal 116 5 2 3 2 2 2" xfId="33009" xr:uid="{00000000-0005-0000-0000-0000CE200000}"/>
    <cellStyle name="Normal 116 5 2 3 2 3" xfId="24962" xr:uid="{00000000-0005-0000-0000-0000CF200000}"/>
    <cellStyle name="Normal 116 5 2 3 3" xfId="12537" xr:uid="{00000000-0005-0000-0000-0000D0200000}"/>
    <cellStyle name="Normal 116 5 2 3 3 2" xfId="29062" xr:uid="{00000000-0005-0000-0000-0000D1200000}"/>
    <cellStyle name="Normal 116 5 2 3 4" xfId="21019" xr:uid="{00000000-0005-0000-0000-0000D2200000}"/>
    <cellStyle name="Normal 116 5 2 4" xfId="7255" xr:uid="{00000000-0005-0000-0000-0000D3200000}"/>
    <cellStyle name="Normal 116 5 2 4 2" xfId="16436" xr:uid="{00000000-0005-0000-0000-0000D4200000}"/>
    <cellStyle name="Normal 116 5 2 4 2 2" xfId="33010" xr:uid="{00000000-0005-0000-0000-0000D5200000}"/>
    <cellStyle name="Normal 116 5 2 4 3" xfId="24963" xr:uid="{00000000-0005-0000-0000-0000D6200000}"/>
    <cellStyle name="Normal 116 5 2 5" xfId="12534" xr:uid="{00000000-0005-0000-0000-0000D7200000}"/>
    <cellStyle name="Normal 116 5 2 5 2" xfId="29059" xr:uid="{00000000-0005-0000-0000-0000D8200000}"/>
    <cellStyle name="Normal 116 5 2 6" xfId="21016" xr:uid="{00000000-0005-0000-0000-0000D9200000}"/>
    <cellStyle name="Normal 116 5 3" xfId="3047" xr:uid="{00000000-0005-0000-0000-0000DA200000}"/>
    <cellStyle name="Normal 116 5 3 2" xfId="3048" xr:uid="{00000000-0005-0000-0000-0000DB200000}"/>
    <cellStyle name="Normal 116 5 3 2 2" xfId="7256" xr:uid="{00000000-0005-0000-0000-0000DC200000}"/>
    <cellStyle name="Normal 116 5 3 2 2 2" xfId="16437" xr:uid="{00000000-0005-0000-0000-0000DD200000}"/>
    <cellStyle name="Normal 116 5 3 2 2 2 2" xfId="33011" xr:uid="{00000000-0005-0000-0000-0000DE200000}"/>
    <cellStyle name="Normal 116 5 3 2 2 3" xfId="24964" xr:uid="{00000000-0005-0000-0000-0000DF200000}"/>
    <cellStyle name="Normal 116 5 3 2 3" xfId="12539" xr:uid="{00000000-0005-0000-0000-0000E0200000}"/>
    <cellStyle name="Normal 116 5 3 2 3 2" xfId="29064" xr:uid="{00000000-0005-0000-0000-0000E1200000}"/>
    <cellStyle name="Normal 116 5 3 2 4" xfId="21021" xr:uid="{00000000-0005-0000-0000-0000E2200000}"/>
    <cellStyle name="Normal 116 5 3 3" xfId="7257" xr:uid="{00000000-0005-0000-0000-0000E3200000}"/>
    <cellStyle name="Normal 116 5 3 3 2" xfId="16438" xr:uid="{00000000-0005-0000-0000-0000E4200000}"/>
    <cellStyle name="Normal 116 5 3 3 2 2" xfId="33012" xr:uid="{00000000-0005-0000-0000-0000E5200000}"/>
    <cellStyle name="Normal 116 5 3 3 3" xfId="24965" xr:uid="{00000000-0005-0000-0000-0000E6200000}"/>
    <cellStyle name="Normal 116 5 3 4" xfId="12538" xr:uid="{00000000-0005-0000-0000-0000E7200000}"/>
    <cellStyle name="Normal 116 5 3 4 2" xfId="29063" xr:uid="{00000000-0005-0000-0000-0000E8200000}"/>
    <cellStyle name="Normal 116 5 3 5" xfId="21020" xr:uid="{00000000-0005-0000-0000-0000E9200000}"/>
    <cellStyle name="Normal 116 5 4" xfId="3049" xr:uid="{00000000-0005-0000-0000-0000EA200000}"/>
    <cellStyle name="Normal 116 5 4 2" xfId="7258" xr:uid="{00000000-0005-0000-0000-0000EB200000}"/>
    <cellStyle name="Normal 116 5 4 2 2" xfId="16439" xr:uid="{00000000-0005-0000-0000-0000EC200000}"/>
    <cellStyle name="Normal 116 5 4 2 2 2" xfId="33013" xr:uid="{00000000-0005-0000-0000-0000ED200000}"/>
    <cellStyle name="Normal 116 5 4 2 3" xfId="24966" xr:uid="{00000000-0005-0000-0000-0000EE200000}"/>
    <cellStyle name="Normal 116 5 4 3" xfId="12540" xr:uid="{00000000-0005-0000-0000-0000EF200000}"/>
    <cellStyle name="Normal 116 5 4 3 2" xfId="29065" xr:uid="{00000000-0005-0000-0000-0000F0200000}"/>
    <cellStyle name="Normal 116 5 4 4" xfId="21022" xr:uid="{00000000-0005-0000-0000-0000F1200000}"/>
    <cellStyle name="Normal 116 5 5" xfId="7259" xr:uid="{00000000-0005-0000-0000-0000F2200000}"/>
    <cellStyle name="Normal 116 5 5 2" xfId="16440" xr:uid="{00000000-0005-0000-0000-0000F3200000}"/>
    <cellStyle name="Normal 116 5 5 2 2" xfId="33014" xr:uid="{00000000-0005-0000-0000-0000F4200000}"/>
    <cellStyle name="Normal 116 5 5 3" xfId="24967" xr:uid="{00000000-0005-0000-0000-0000F5200000}"/>
    <cellStyle name="Normal 116 5 6" xfId="12533" xr:uid="{00000000-0005-0000-0000-0000F6200000}"/>
    <cellStyle name="Normal 116 5 6 2" xfId="29058" xr:uid="{00000000-0005-0000-0000-0000F7200000}"/>
    <cellStyle name="Normal 116 5 7" xfId="21015" xr:uid="{00000000-0005-0000-0000-0000F8200000}"/>
    <cellStyle name="Normal 116 6" xfId="3050" xr:uid="{00000000-0005-0000-0000-0000F9200000}"/>
    <cellStyle name="Normal 116 6 2" xfId="3051" xr:uid="{00000000-0005-0000-0000-0000FA200000}"/>
    <cellStyle name="Normal 116 6 2 2" xfId="3052" xr:uid="{00000000-0005-0000-0000-0000FB200000}"/>
    <cellStyle name="Normal 116 6 2 2 2" xfId="7260" xr:uid="{00000000-0005-0000-0000-0000FC200000}"/>
    <cellStyle name="Normal 116 6 2 2 2 2" xfId="16441" xr:uid="{00000000-0005-0000-0000-0000FD200000}"/>
    <cellStyle name="Normal 116 6 2 2 2 2 2" xfId="33015" xr:uid="{00000000-0005-0000-0000-0000FE200000}"/>
    <cellStyle name="Normal 116 6 2 2 2 3" xfId="24968" xr:uid="{00000000-0005-0000-0000-0000FF200000}"/>
    <cellStyle name="Normal 116 6 2 2 3" xfId="12543" xr:uid="{00000000-0005-0000-0000-000000210000}"/>
    <cellStyle name="Normal 116 6 2 2 3 2" xfId="29068" xr:uid="{00000000-0005-0000-0000-000001210000}"/>
    <cellStyle name="Normal 116 6 2 2 4" xfId="21025" xr:uid="{00000000-0005-0000-0000-000002210000}"/>
    <cellStyle name="Normal 116 6 2 3" xfId="7261" xr:uid="{00000000-0005-0000-0000-000003210000}"/>
    <cellStyle name="Normal 116 6 2 3 2" xfId="16442" xr:uid="{00000000-0005-0000-0000-000004210000}"/>
    <cellStyle name="Normal 116 6 2 3 2 2" xfId="33016" xr:uid="{00000000-0005-0000-0000-000005210000}"/>
    <cellStyle name="Normal 116 6 2 3 3" xfId="24969" xr:uid="{00000000-0005-0000-0000-000006210000}"/>
    <cellStyle name="Normal 116 6 2 4" xfId="12542" xr:uid="{00000000-0005-0000-0000-000007210000}"/>
    <cellStyle name="Normal 116 6 2 4 2" xfId="29067" xr:uid="{00000000-0005-0000-0000-000008210000}"/>
    <cellStyle name="Normal 116 6 2 5" xfId="21024" xr:uid="{00000000-0005-0000-0000-000009210000}"/>
    <cellStyle name="Normal 116 6 3" xfId="3053" xr:uid="{00000000-0005-0000-0000-00000A210000}"/>
    <cellStyle name="Normal 116 6 3 2" xfId="7262" xr:uid="{00000000-0005-0000-0000-00000B210000}"/>
    <cellStyle name="Normal 116 6 3 2 2" xfId="16443" xr:uid="{00000000-0005-0000-0000-00000C210000}"/>
    <cellStyle name="Normal 116 6 3 2 2 2" xfId="33017" xr:uid="{00000000-0005-0000-0000-00000D210000}"/>
    <cellStyle name="Normal 116 6 3 2 3" xfId="24970" xr:uid="{00000000-0005-0000-0000-00000E210000}"/>
    <cellStyle name="Normal 116 6 3 3" xfId="12544" xr:uid="{00000000-0005-0000-0000-00000F210000}"/>
    <cellStyle name="Normal 116 6 3 3 2" xfId="29069" xr:uid="{00000000-0005-0000-0000-000010210000}"/>
    <cellStyle name="Normal 116 6 3 4" xfId="21026" xr:uid="{00000000-0005-0000-0000-000011210000}"/>
    <cellStyle name="Normal 116 6 4" xfId="7263" xr:uid="{00000000-0005-0000-0000-000012210000}"/>
    <cellStyle name="Normal 116 6 4 2" xfId="16444" xr:uid="{00000000-0005-0000-0000-000013210000}"/>
    <cellStyle name="Normal 116 6 4 2 2" xfId="33018" xr:uid="{00000000-0005-0000-0000-000014210000}"/>
    <cellStyle name="Normal 116 6 4 3" xfId="24971" xr:uid="{00000000-0005-0000-0000-000015210000}"/>
    <cellStyle name="Normal 116 6 5" xfId="12541" xr:uid="{00000000-0005-0000-0000-000016210000}"/>
    <cellStyle name="Normal 116 6 5 2" xfId="29066" xr:uid="{00000000-0005-0000-0000-000017210000}"/>
    <cellStyle name="Normal 116 6 6" xfId="21023" xr:uid="{00000000-0005-0000-0000-000018210000}"/>
    <cellStyle name="Normal 116 7" xfId="3054" xr:uid="{00000000-0005-0000-0000-000019210000}"/>
    <cellStyle name="Normal 116 7 2" xfId="3055" xr:uid="{00000000-0005-0000-0000-00001A210000}"/>
    <cellStyle name="Normal 116 7 2 2" xfId="7264" xr:uid="{00000000-0005-0000-0000-00001B210000}"/>
    <cellStyle name="Normal 116 7 2 2 2" xfId="16445" xr:uid="{00000000-0005-0000-0000-00001C210000}"/>
    <cellStyle name="Normal 116 7 2 2 2 2" xfId="33019" xr:uid="{00000000-0005-0000-0000-00001D210000}"/>
    <cellStyle name="Normal 116 7 2 2 3" xfId="24972" xr:uid="{00000000-0005-0000-0000-00001E210000}"/>
    <cellStyle name="Normal 116 7 2 3" xfId="12546" xr:uid="{00000000-0005-0000-0000-00001F210000}"/>
    <cellStyle name="Normal 116 7 2 3 2" xfId="29071" xr:uid="{00000000-0005-0000-0000-000020210000}"/>
    <cellStyle name="Normal 116 7 2 4" xfId="21028" xr:uid="{00000000-0005-0000-0000-000021210000}"/>
    <cellStyle name="Normal 116 7 3" xfId="7265" xr:uid="{00000000-0005-0000-0000-000022210000}"/>
    <cellStyle name="Normal 116 7 3 2" xfId="16446" xr:uid="{00000000-0005-0000-0000-000023210000}"/>
    <cellStyle name="Normal 116 7 3 2 2" xfId="33020" xr:uid="{00000000-0005-0000-0000-000024210000}"/>
    <cellStyle name="Normal 116 7 3 3" xfId="24973" xr:uid="{00000000-0005-0000-0000-000025210000}"/>
    <cellStyle name="Normal 116 7 4" xfId="12545" xr:uid="{00000000-0005-0000-0000-000026210000}"/>
    <cellStyle name="Normal 116 7 4 2" xfId="29070" xr:uid="{00000000-0005-0000-0000-000027210000}"/>
    <cellStyle name="Normal 116 7 5" xfId="21027" xr:uid="{00000000-0005-0000-0000-000028210000}"/>
    <cellStyle name="Normal 116 8" xfId="3056" xr:uid="{00000000-0005-0000-0000-000029210000}"/>
    <cellStyle name="Normal 116 8 2" xfId="7266" xr:uid="{00000000-0005-0000-0000-00002A210000}"/>
    <cellStyle name="Normal 116 8 2 2" xfId="16447" xr:uid="{00000000-0005-0000-0000-00002B210000}"/>
    <cellStyle name="Normal 116 8 2 2 2" xfId="33021" xr:uid="{00000000-0005-0000-0000-00002C210000}"/>
    <cellStyle name="Normal 116 8 2 3" xfId="24974" xr:uid="{00000000-0005-0000-0000-00002D210000}"/>
    <cellStyle name="Normal 116 8 3" xfId="12547" xr:uid="{00000000-0005-0000-0000-00002E210000}"/>
    <cellStyle name="Normal 116 8 3 2" xfId="29072" xr:uid="{00000000-0005-0000-0000-00002F210000}"/>
    <cellStyle name="Normal 116 8 4" xfId="21029" xr:uid="{00000000-0005-0000-0000-000030210000}"/>
    <cellStyle name="Normal 116 9" xfId="7267" xr:uid="{00000000-0005-0000-0000-000031210000}"/>
    <cellStyle name="Normal 116 9 2" xfId="16448" xr:uid="{00000000-0005-0000-0000-000032210000}"/>
    <cellStyle name="Normal 116 9 2 2" xfId="33022" xr:uid="{00000000-0005-0000-0000-000033210000}"/>
    <cellStyle name="Normal 116 9 3" xfId="24975" xr:uid="{00000000-0005-0000-0000-000034210000}"/>
    <cellStyle name="Normal 117" xfId="3057" xr:uid="{00000000-0005-0000-0000-000035210000}"/>
    <cellStyle name="Normal 117 10" xfId="12548" xr:uid="{00000000-0005-0000-0000-000036210000}"/>
    <cellStyle name="Normal 117 10 2" xfId="29073" xr:uid="{00000000-0005-0000-0000-000037210000}"/>
    <cellStyle name="Normal 117 11" xfId="21030" xr:uid="{00000000-0005-0000-0000-000038210000}"/>
    <cellStyle name="Normal 117 2" xfId="3058" xr:uid="{00000000-0005-0000-0000-000039210000}"/>
    <cellStyle name="Normal 117 2 2" xfId="3059" xr:uid="{00000000-0005-0000-0000-00003A210000}"/>
    <cellStyle name="Normal 117 2 3" xfId="12549" xr:uid="{00000000-0005-0000-0000-00003B210000}"/>
    <cellStyle name="Normal 117 2 3 2" xfId="29074" xr:uid="{00000000-0005-0000-0000-00003C210000}"/>
    <cellStyle name="Normal 117 2 4" xfId="21031" xr:uid="{00000000-0005-0000-0000-00003D210000}"/>
    <cellStyle name="Normal 117 3" xfId="3060" xr:uid="{00000000-0005-0000-0000-00003E210000}"/>
    <cellStyle name="Normal 117 3 2" xfId="3061" xr:uid="{00000000-0005-0000-0000-00003F210000}"/>
    <cellStyle name="Normal 117 3 2 2" xfId="3062" xr:uid="{00000000-0005-0000-0000-000040210000}"/>
    <cellStyle name="Normal 117 3 2 2 2" xfId="3063" xr:uid="{00000000-0005-0000-0000-000041210000}"/>
    <cellStyle name="Normal 117 3 2 2 2 2" xfId="7268" xr:uid="{00000000-0005-0000-0000-000042210000}"/>
    <cellStyle name="Normal 117 3 2 2 2 2 2" xfId="16449" xr:uid="{00000000-0005-0000-0000-000043210000}"/>
    <cellStyle name="Normal 117 3 2 2 2 2 2 2" xfId="33023" xr:uid="{00000000-0005-0000-0000-000044210000}"/>
    <cellStyle name="Normal 117 3 2 2 2 2 3" xfId="24976" xr:uid="{00000000-0005-0000-0000-000045210000}"/>
    <cellStyle name="Normal 117 3 2 2 2 3" xfId="12552" xr:uid="{00000000-0005-0000-0000-000046210000}"/>
    <cellStyle name="Normal 117 3 2 2 2 3 2" xfId="29077" xr:uid="{00000000-0005-0000-0000-000047210000}"/>
    <cellStyle name="Normal 117 3 2 2 2 4" xfId="21034" xr:uid="{00000000-0005-0000-0000-000048210000}"/>
    <cellStyle name="Normal 117 3 2 2 3" xfId="7269" xr:uid="{00000000-0005-0000-0000-000049210000}"/>
    <cellStyle name="Normal 117 3 2 2 3 2" xfId="16450" xr:uid="{00000000-0005-0000-0000-00004A210000}"/>
    <cellStyle name="Normal 117 3 2 2 3 2 2" xfId="33024" xr:uid="{00000000-0005-0000-0000-00004B210000}"/>
    <cellStyle name="Normal 117 3 2 2 3 3" xfId="24977" xr:uid="{00000000-0005-0000-0000-00004C210000}"/>
    <cellStyle name="Normal 117 3 2 2 4" xfId="12551" xr:uid="{00000000-0005-0000-0000-00004D210000}"/>
    <cellStyle name="Normal 117 3 2 2 4 2" xfId="29076" xr:uid="{00000000-0005-0000-0000-00004E210000}"/>
    <cellStyle name="Normal 117 3 2 2 5" xfId="21033" xr:uid="{00000000-0005-0000-0000-00004F210000}"/>
    <cellStyle name="Normal 117 3 2 3" xfId="3064" xr:uid="{00000000-0005-0000-0000-000050210000}"/>
    <cellStyle name="Normal 117 3 2 3 2" xfId="7270" xr:uid="{00000000-0005-0000-0000-000051210000}"/>
    <cellStyle name="Normal 117 3 2 3 2 2" xfId="16451" xr:uid="{00000000-0005-0000-0000-000052210000}"/>
    <cellStyle name="Normal 117 3 2 3 2 2 2" xfId="33025" xr:uid="{00000000-0005-0000-0000-000053210000}"/>
    <cellStyle name="Normal 117 3 2 3 2 3" xfId="24978" xr:uid="{00000000-0005-0000-0000-000054210000}"/>
    <cellStyle name="Normal 117 3 2 3 3" xfId="12553" xr:uid="{00000000-0005-0000-0000-000055210000}"/>
    <cellStyle name="Normal 117 3 2 3 3 2" xfId="29078" xr:uid="{00000000-0005-0000-0000-000056210000}"/>
    <cellStyle name="Normal 117 3 2 3 4" xfId="21035" xr:uid="{00000000-0005-0000-0000-000057210000}"/>
    <cellStyle name="Normal 117 3 2 4" xfId="7271" xr:uid="{00000000-0005-0000-0000-000058210000}"/>
    <cellStyle name="Normal 117 3 2 4 2" xfId="16452" xr:uid="{00000000-0005-0000-0000-000059210000}"/>
    <cellStyle name="Normal 117 3 2 4 2 2" xfId="33026" xr:uid="{00000000-0005-0000-0000-00005A210000}"/>
    <cellStyle name="Normal 117 3 2 4 3" xfId="24979" xr:uid="{00000000-0005-0000-0000-00005B210000}"/>
    <cellStyle name="Normal 117 3 2 5" xfId="12550" xr:uid="{00000000-0005-0000-0000-00005C210000}"/>
    <cellStyle name="Normal 117 3 2 5 2" xfId="29075" xr:uid="{00000000-0005-0000-0000-00005D210000}"/>
    <cellStyle name="Normal 117 3 2 6" xfId="21032" xr:uid="{00000000-0005-0000-0000-00005E210000}"/>
    <cellStyle name="Normal 117 3 3" xfId="3065" xr:uid="{00000000-0005-0000-0000-00005F210000}"/>
    <cellStyle name="Normal 117 3 3 2" xfId="3066" xr:uid="{00000000-0005-0000-0000-000060210000}"/>
    <cellStyle name="Normal 117 3 3 2 2" xfId="7272" xr:uid="{00000000-0005-0000-0000-000061210000}"/>
    <cellStyle name="Normal 117 3 3 2 2 2" xfId="16453" xr:uid="{00000000-0005-0000-0000-000062210000}"/>
    <cellStyle name="Normal 117 3 3 2 2 2 2" xfId="33027" xr:uid="{00000000-0005-0000-0000-000063210000}"/>
    <cellStyle name="Normal 117 3 3 2 2 3" xfId="24980" xr:uid="{00000000-0005-0000-0000-000064210000}"/>
    <cellStyle name="Normal 117 3 3 2 3" xfId="12555" xr:uid="{00000000-0005-0000-0000-000065210000}"/>
    <cellStyle name="Normal 117 3 3 2 3 2" xfId="29080" xr:uid="{00000000-0005-0000-0000-000066210000}"/>
    <cellStyle name="Normal 117 3 3 2 4" xfId="21037" xr:uid="{00000000-0005-0000-0000-000067210000}"/>
    <cellStyle name="Normal 117 3 3 3" xfId="7273" xr:uid="{00000000-0005-0000-0000-000068210000}"/>
    <cellStyle name="Normal 117 3 3 3 2" xfId="16454" xr:uid="{00000000-0005-0000-0000-000069210000}"/>
    <cellStyle name="Normal 117 3 3 3 2 2" xfId="33028" xr:uid="{00000000-0005-0000-0000-00006A210000}"/>
    <cellStyle name="Normal 117 3 3 3 3" xfId="24981" xr:uid="{00000000-0005-0000-0000-00006B210000}"/>
    <cellStyle name="Normal 117 3 3 4" xfId="12554" xr:uid="{00000000-0005-0000-0000-00006C210000}"/>
    <cellStyle name="Normal 117 3 3 4 2" xfId="29079" xr:uid="{00000000-0005-0000-0000-00006D210000}"/>
    <cellStyle name="Normal 117 3 3 5" xfId="21036" xr:uid="{00000000-0005-0000-0000-00006E210000}"/>
    <cellStyle name="Normal 117 3 4" xfId="3067" xr:uid="{00000000-0005-0000-0000-00006F210000}"/>
    <cellStyle name="Normal 117 3 4 2" xfId="7274" xr:uid="{00000000-0005-0000-0000-000070210000}"/>
    <cellStyle name="Normal 117 3 4 2 2" xfId="16455" xr:uid="{00000000-0005-0000-0000-000071210000}"/>
    <cellStyle name="Normal 117 3 4 2 2 2" xfId="33029" xr:uid="{00000000-0005-0000-0000-000072210000}"/>
    <cellStyle name="Normal 117 3 4 2 3" xfId="24982" xr:uid="{00000000-0005-0000-0000-000073210000}"/>
    <cellStyle name="Normal 117 3 4 3" xfId="12556" xr:uid="{00000000-0005-0000-0000-000074210000}"/>
    <cellStyle name="Normal 117 3 4 3 2" xfId="29081" xr:uid="{00000000-0005-0000-0000-000075210000}"/>
    <cellStyle name="Normal 117 3 4 4" xfId="21038" xr:uid="{00000000-0005-0000-0000-000076210000}"/>
    <cellStyle name="Normal 117 3 5" xfId="3068" xr:uid="{00000000-0005-0000-0000-000077210000}"/>
    <cellStyle name="Normal 117 3 5 2" xfId="12557" xr:uid="{00000000-0005-0000-0000-000078210000}"/>
    <cellStyle name="Normal 117 3 5 2 2" xfId="29082" xr:uid="{00000000-0005-0000-0000-000079210000}"/>
    <cellStyle name="Normal 117 3 5 3" xfId="21039" xr:uid="{00000000-0005-0000-0000-00007A210000}"/>
    <cellStyle name="Normal 117 4" xfId="3069" xr:uid="{00000000-0005-0000-0000-00007B210000}"/>
    <cellStyle name="Normal 117 4 2" xfId="3070" xr:uid="{00000000-0005-0000-0000-00007C210000}"/>
    <cellStyle name="Normal 117 4 2 2" xfId="3071" xr:uid="{00000000-0005-0000-0000-00007D210000}"/>
    <cellStyle name="Normal 117 4 2 2 2" xfId="3072" xr:uid="{00000000-0005-0000-0000-00007E210000}"/>
    <cellStyle name="Normal 117 4 2 2 2 2" xfId="7275" xr:uid="{00000000-0005-0000-0000-00007F210000}"/>
    <cellStyle name="Normal 117 4 2 2 2 2 2" xfId="16456" xr:uid="{00000000-0005-0000-0000-000080210000}"/>
    <cellStyle name="Normal 117 4 2 2 2 2 2 2" xfId="33030" xr:uid="{00000000-0005-0000-0000-000081210000}"/>
    <cellStyle name="Normal 117 4 2 2 2 2 3" xfId="24983" xr:uid="{00000000-0005-0000-0000-000082210000}"/>
    <cellStyle name="Normal 117 4 2 2 2 3" xfId="12561" xr:uid="{00000000-0005-0000-0000-000083210000}"/>
    <cellStyle name="Normal 117 4 2 2 2 3 2" xfId="29086" xr:uid="{00000000-0005-0000-0000-000084210000}"/>
    <cellStyle name="Normal 117 4 2 2 2 4" xfId="21043" xr:uid="{00000000-0005-0000-0000-000085210000}"/>
    <cellStyle name="Normal 117 4 2 2 3" xfId="7276" xr:uid="{00000000-0005-0000-0000-000086210000}"/>
    <cellStyle name="Normal 117 4 2 2 3 2" xfId="16457" xr:uid="{00000000-0005-0000-0000-000087210000}"/>
    <cellStyle name="Normal 117 4 2 2 3 2 2" xfId="33031" xr:uid="{00000000-0005-0000-0000-000088210000}"/>
    <cellStyle name="Normal 117 4 2 2 3 3" xfId="24984" xr:uid="{00000000-0005-0000-0000-000089210000}"/>
    <cellStyle name="Normal 117 4 2 2 4" xfId="12560" xr:uid="{00000000-0005-0000-0000-00008A210000}"/>
    <cellStyle name="Normal 117 4 2 2 4 2" xfId="29085" xr:uid="{00000000-0005-0000-0000-00008B210000}"/>
    <cellStyle name="Normal 117 4 2 2 5" xfId="21042" xr:uid="{00000000-0005-0000-0000-00008C210000}"/>
    <cellStyle name="Normal 117 4 2 3" xfId="3073" xr:uid="{00000000-0005-0000-0000-00008D210000}"/>
    <cellStyle name="Normal 117 4 2 3 2" xfId="7277" xr:uid="{00000000-0005-0000-0000-00008E210000}"/>
    <cellStyle name="Normal 117 4 2 3 2 2" xfId="16458" xr:uid="{00000000-0005-0000-0000-00008F210000}"/>
    <cellStyle name="Normal 117 4 2 3 2 2 2" xfId="33032" xr:uid="{00000000-0005-0000-0000-000090210000}"/>
    <cellStyle name="Normal 117 4 2 3 2 3" xfId="24985" xr:uid="{00000000-0005-0000-0000-000091210000}"/>
    <cellStyle name="Normal 117 4 2 3 3" xfId="12562" xr:uid="{00000000-0005-0000-0000-000092210000}"/>
    <cellStyle name="Normal 117 4 2 3 3 2" xfId="29087" xr:uid="{00000000-0005-0000-0000-000093210000}"/>
    <cellStyle name="Normal 117 4 2 3 4" xfId="21044" xr:uid="{00000000-0005-0000-0000-000094210000}"/>
    <cellStyle name="Normal 117 4 2 4" xfId="7278" xr:uid="{00000000-0005-0000-0000-000095210000}"/>
    <cellStyle name="Normal 117 4 2 4 2" xfId="16459" xr:uid="{00000000-0005-0000-0000-000096210000}"/>
    <cellStyle name="Normal 117 4 2 4 2 2" xfId="33033" xr:uid="{00000000-0005-0000-0000-000097210000}"/>
    <cellStyle name="Normal 117 4 2 4 3" xfId="24986" xr:uid="{00000000-0005-0000-0000-000098210000}"/>
    <cellStyle name="Normal 117 4 2 5" xfId="12559" xr:uid="{00000000-0005-0000-0000-000099210000}"/>
    <cellStyle name="Normal 117 4 2 5 2" xfId="29084" xr:uid="{00000000-0005-0000-0000-00009A210000}"/>
    <cellStyle name="Normal 117 4 2 6" xfId="21041" xr:uid="{00000000-0005-0000-0000-00009B210000}"/>
    <cellStyle name="Normal 117 4 3" xfId="3074" xr:uid="{00000000-0005-0000-0000-00009C210000}"/>
    <cellStyle name="Normal 117 4 3 2" xfId="3075" xr:uid="{00000000-0005-0000-0000-00009D210000}"/>
    <cellStyle name="Normal 117 4 3 2 2" xfId="7279" xr:uid="{00000000-0005-0000-0000-00009E210000}"/>
    <cellStyle name="Normal 117 4 3 2 2 2" xfId="16460" xr:uid="{00000000-0005-0000-0000-00009F210000}"/>
    <cellStyle name="Normal 117 4 3 2 2 2 2" xfId="33034" xr:uid="{00000000-0005-0000-0000-0000A0210000}"/>
    <cellStyle name="Normal 117 4 3 2 2 3" xfId="24987" xr:uid="{00000000-0005-0000-0000-0000A1210000}"/>
    <cellStyle name="Normal 117 4 3 2 3" xfId="12564" xr:uid="{00000000-0005-0000-0000-0000A2210000}"/>
    <cellStyle name="Normal 117 4 3 2 3 2" xfId="29089" xr:uid="{00000000-0005-0000-0000-0000A3210000}"/>
    <cellStyle name="Normal 117 4 3 2 4" xfId="21046" xr:uid="{00000000-0005-0000-0000-0000A4210000}"/>
    <cellStyle name="Normal 117 4 3 3" xfId="7280" xr:uid="{00000000-0005-0000-0000-0000A5210000}"/>
    <cellStyle name="Normal 117 4 3 3 2" xfId="16461" xr:uid="{00000000-0005-0000-0000-0000A6210000}"/>
    <cellStyle name="Normal 117 4 3 3 2 2" xfId="33035" xr:uid="{00000000-0005-0000-0000-0000A7210000}"/>
    <cellStyle name="Normal 117 4 3 3 3" xfId="24988" xr:uid="{00000000-0005-0000-0000-0000A8210000}"/>
    <cellStyle name="Normal 117 4 3 4" xfId="12563" xr:uid="{00000000-0005-0000-0000-0000A9210000}"/>
    <cellStyle name="Normal 117 4 3 4 2" xfId="29088" xr:uid="{00000000-0005-0000-0000-0000AA210000}"/>
    <cellStyle name="Normal 117 4 3 5" xfId="21045" xr:uid="{00000000-0005-0000-0000-0000AB210000}"/>
    <cellStyle name="Normal 117 4 4" xfId="3076" xr:uid="{00000000-0005-0000-0000-0000AC210000}"/>
    <cellStyle name="Normal 117 4 4 2" xfId="7281" xr:uid="{00000000-0005-0000-0000-0000AD210000}"/>
    <cellStyle name="Normal 117 4 4 2 2" xfId="16462" xr:uid="{00000000-0005-0000-0000-0000AE210000}"/>
    <cellStyle name="Normal 117 4 4 2 2 2" xfId="33036" xr:uid="{00000000-0005-0000-0000-0000AF210000}"/>
    <cellStyle name="Normal 117 4 4 2 3" xfId="24989" xr:uid="{00000000-0005-0000-0000-0000B0210000}"/>
    <cellStyle name="Normal 117 4 4 3" xfId="12565" xr:uid="{00000000-0005-0000-0000-0000B1210000}"/>
    <cellStyle name="Normal 117 4 4 3 2" xfId="29090" xr:uid="{00000000-0005-0000-0000-0000B2210000}"/>
    <cellStyle name="Normal 117 4 4 4" xfId="21047" xr:uid="{00000000-0005-0000-0000-0000B3210000}"/>
    <cellStyle name="Normal 117 4 5" xfId="7282" xr:uid="{00000000-0005-0000-0000-0000B4210000}"/>
    <cellStyle name="Normal 117 4 5 2" xfId="16463" xr:uid="{00000000-0005-0000-0000-0000B5210000}"/>
    <cellStyle name="Normal 117 4 5 2 2" xfId="33037" xr:uid="{00000000-0005-0000-0000-0000B6210000}"/>
    <cellStyle name="Normal 117 4 5 3" xfId="24990" xr:uid="{00000000-0005-0000-0000-0000B7210000}"/>
    <cellStyle name="Normal 117 4 6" xfId="12558" xr:uid="{00000000-0005-0000-0000-0000B8210000}"/>
    <cellStyle name="Normal 117 4 6 2" xfId="29083" xr:uid="{00000000-0005-0000-0000-0000B9210000}"/>
    <cellStyle name="Normal 117 4 7" xfId="21040" xr:uid="{00000000-0005-0000-0000-0000BA210000}"/>
    <cellStyle name="Normal 117 5" xfId="3077" xr:uid="{00000000-0005-0000-0000-0000BB210000}"/>
    <cellStyle name="Normal 117 5 2" xfId="3078" xr:uid="{00000000-0005-0000-0000-0000BC210000}"/>
    <cellStyle name="Normal 117 5 2 2" xfId="3079" xr:uid="{00000000-0005-0000-0000-0000BD210000}"/>
    <cellStyle name="Normal 117 5 2 2 2" xfId="3080" xr:uid="{00000000-0005-0000-0000-0000BE210000}"/>
    <cellStyle name="Normal 117 5 2 2 2 2" xfId="7283" xr:uid="{00000000-0005-0000-0000-0000BF210000}"/>
    <cellStyle name="Normal 117 5 2 2 2 2 2" xfId="16464" xr:uid="{00000000-0005-0000-0000-0000C0210000}"/>
    <cellStyle name="Normal 117 5 2 2 2 2 2 2" xfId="33038" xr:uid="{00000000-0005-0000-0000-0000C1210000}"/>
    <cellStyle name="Normal 117 5 2 2 2 2 3" xfId="24991" xr:uid="{00000000-0005-0000-0000-0000C2210000}"/>
    <cellStyle name="Normal 117 5 2 2 2 3" xfId="12569" xr:uid="{00000000-0005-0000-0000-0000C3210000}"/>
    <cellStyle name="Normal 117 5 2 2 2 3 2" xfId="29094" xr:uid="{00000000-0005-0000-0000-0000C4210000}"/>
    <cellStyle name="Normal 117 5 2 2 2 4" xfId="21051" xr:uid="{00000000-0005-0000-0000-0000C5210000}"/>
    <cellStyle name="Normal 117 5 2 2 3" xfId="7284" xr:uid="{00000000-0005-0000-0000-0000C6210000}"/>
    <cellStyle name="Normal 117 5 2 2 3 2" xfId="16465" xr:uid="{00000000-0005-0000-0000-0000C7210000}"/>
    <cellStyle name="Normal 117 5 2 2 3 2 2" xfId="33039" xr:uid="{00000000-0005-0000-0000-0000C8210000}"/>
    <cellStyle name="Normal 117 5 2 2 3 3" xfId="24992" xr:uid="{00000000-0005-0000-0000-0000C9210000}"/>
    <cellStyle name="Normal 117 5 2 2 4" xfId="12568" xr:uid="{00000000-0005-0000-0000-0000CA210000}"/>
    <cellStyle name="Normal 117 5 2 2 4 2" xfId="29093" xr:uid="{00000000-0005-0000-0000-0000CB210000}"/>
    <cellStyle name="Normal 117 5 2 2 5" xfId="21050" xr:uid="{00000000-0005-0000-0000-0000CC210000}"/>
    <cellStyle name="Normal 117 5 2 3" xfId="3081" xr:uid="{00000000-0005-0000-0000-0000CD210000}"/>
    <cellStyle name="Normal 117 5 2 3 2" xfId="7285" xr:uid="{00000000-0005-0000-0000-0000CE210000}"/>
    <cellStyle name="Normal 117 5 2 3 2 2" xfId="16466" xr:uid="{00000000-0005-0000-0000-0000CF210000}"/>
    <cellStyle name="Normal 117 5 2 3 2 2 2" xfId="33040" xr:uid="{00000000-0005-0000-0000-0000D0210000}"/>
    <cellStyle name="Normal 117 5 2 3 2 3" xfId="24993" xr:uid="{00000000-0005-0000-0000-0000D1210000}"/>
    <cellStyle name="Normal 117 5 2 3 3" xfId="12570" xr:uid="{00000000-0005-0000-0000-0000D2210000}"/>
    <cellStyle name="Normal 117 5 2 3 3 2" xfId="29095" xr:uid="{00000000-0005-0000-0000-0000D3210000}"/>
    <cellStyle name="Normal 117 5 2 3 4" xfId="21052" xr:uid="{00000000-0005-0000-0000-0000D4210000}"/>
    <cellStyle name="Normal 117 5 2 4" xfId="7286" xr:uid="{00000000-0005-0000-0000-0000D5210000}"/>
    <cellStyle name="Normal 117 5 2 4 2" xfId="16467" xr:uid="{00000000-0005-0000-0000-0000D6210000}"/>
    <cellStyle name="Normal 117 5 2 4 2 2" xfId="33041" xr:uid="{00000000-0005-0000-0000-0000D7210000}"/>
    <cellStyle name="Normal 117 5 2 4 3" xfId="24994" xr:uid="{00000000-0005-0000-0000-0000D8210000}"/>
    <cellStyle name="Normal 117 5 2 5" xfId="12567" xr:uid="{00000000-0005-0000-0000-0000D9210000}"/>
    <cellStyle name="Normal 117 5 2 5 2" xfId="29092" xr:uid="{00000000-0005-0000-0000-0000DA210000}"/>
    <cellStyle name="Normal 117 5 2 6" xfId="21049" xr:uid="{00000000-0005-0000-0000-0000DB210000}"/>
    <cellStyle name="Normal 117 5 3" xfId="3082" xr:uid="{00000000-0005-0000-0000-0000DC210000}"/>
    <cellStyle name="Normal 117 5 3 2" xfId="3083" xr:uid="{00000000-0005-0000-0000-0000DD210000}"/>
    <cellStyle name="Normal 117 5 3 2 2" xfId="7287" xr:uid="{00000000-0005-0000-0000-0000DE210000}"/>
    <cellStyle name="Normal 117 5 3 2 2 2" xfId="16468" xr:uid="{00000000-0005-0000-0000-0000DF210000}"/>
    <cellStyle name="Normal 117 5 3 2 2 2 2" xfId="33042" xr:uid="{00000000-0005-0000-0000-0000E0210000}"/>
    <cellStyle name="Normal 117 5 3 2 2 3" xfId="24995" xr:uid="{00000000-0005-0000-0000-0000E1210000}"/>
    <cellStyle name="Normal 117 5 3 2 3" xfId="12572" xr:uid="{00000000-0005-0000-0000-0000E2210000}"/>
    <cellStyle name="Normal 117 5 3 2 3 2" xfId="29097" xr:uid="{00000000-0005-0000-0000-0000E3210000}"/>
    <cellStyle name="Normal 117 5 3 2 4" xfId="21054" xr:uid="{00000000-0005-0000-0000-0000E4210000}"/>
    <cellStyle name="Normal 117 5 3 3" xfId="7288" xr:uid="{00000000-0005-0000-0000-0000E5210000}"/>
    <cellStyle name="Normal 117 5 3 3 2" xfId="16469" xr:uid="{00000000-0005-0000-0000-0000E6210000}"/>
    <cellStyle name="Normal 117 5 3 3 2 2" xfId="33043" xr:uid="{00000000-0005-0000-0000-0000E7210000}"/>
    <cellStyle name="Normal 117 5 3 3 3" xfId="24996" xr:uid="{00000000-0005-0000-0000-0000E8210000}"/>
    <cellStyle name="Normal 117 5 3 4" xfId="12571" xr:uid="{00000000-0005-0000-0000-0000E9210000}"/>
    <cellStyle name="Normal 117 5 3 4 2" xfId="29096" xr:uid="{00000000-0005-0000-0000-0000EA210000}"/>
    <cellStyle name="Normal 117 5 3 5" xfId="21053" xr:uid="{00000000-0005-0000-0000-0000EB210000}"/>
    <cellStyle name="Normal 117 5 4" xfId="3084" xr:uid="{00000000-0005-0000-0000-0000EC210000}"/>
    <cellStyle name="Normal 117 5 4 2" xfId="7289" xr:uid="{00000000-0005-0000-0000-0000ED210000}"/>
    <cellStyle name="Normal 117 5 4 2 2" xfId="16470" xr:uid="{00000000-0005-0000-0000-0000EE210000}"/>
    <cellStyle name="Normal 117 5 4 2 2 2" xfId="33044" xr:uid="{00000000-0005-0000-0000-0000EF210000}"/>
    <cellStyle name="Normal 117 5 4 2 3" xfId="24997" xr:uid="{00000000-0005-0000-0000-0000F0210000}"/>
    <cellStyle name="Normal 117 5 4 3" xfId="12573" xr:uid="{00000000-0005-0000-0000-0000F1210000}"/>
    <cellStyle name="Normal 117 5 4 3 2" xfId="29098" xr:uid="{00000000-0005-0000-0000-0000F2210000}"/>
    <cellStyle name="Normal 117 5 4 4" xfId="21055" xr:uid="{00000000-0005-0000-0000-0000F3210000}"/>
    <cellStyle name="Normal 117 5 5" xfId="7290" xr:uid="{00000000-0005-0000-0000-0000F4210000}"/>
    <cellStyle name="Normal 117 5 5 2" xfId="16471" xr:uid="{00000000-0005-0000-0000-0000F5210000}"/>
    <cellStyle name="Normal 117 5 5 2 2" xfId="33045" xr:uid="{00000000-0005-0000-0000-0000F6210000}"/>
    <cellStyle name="Normal 117 5 5 3" xfId="24998" xr:uid="{00000000-0005-0000-0000-0000F7210000}"/>
    <cellStyle name="Normal 117 5 6" xfId="12566" xr:uid="{00000000-0005-0000-0000-0000F8210000}"/>
    <cellStyle name="Normal 117 5 6 2" xfId="29091" xr:uid="{00000000-0005-0000-0000-0000F9210000}"/>
    <cellStyle name="Normal 117 5 7" xfId="21048" xr:uid="{00000000-0005-0000-0000-0000FA210000}"/>
    <cellStyle name="Normal 117 6" xfId="3085" xr:uid="{00000000-0005-0000-0000-0000FB210000}"/>
    <cellStyle name="Normal 117 6 2" xfId="3086" xr:uid="{00000000-0005-0000-0000-0000FC210000}"/>
    <cellStyle name="Normal 117 6 2 2" xfId="3087" xr:uid="{00000000-0005-0000-0000-0000FD210000}"/>
    <cellStyle name="Normal 117 6 2 2 2" xfId="7291" xr:uid="{00000000-0005-0000-0000-0000FE210000}"/>
    <cellStyle name="Normal 117 6 2 2 2 2" xfId="16472" xr:uid="{00000000-0005-0000-0000-0000FF210000}"/>
    <cellStyle name="Normal 117 6 2 2 2 2 2" xfId="33046" xr:uid="{00000000-0005-0000-0000-000000220000}"/>
    <cellStyle name="Normal 117 6 2 2 2 3" xfId="24999" xr:uid="{00000000-0005-0000-0000-000001220000}"/>
    <cellStyle name="Normal 117 6 2 2 3" xfId="12576" xr:uid="{00000000-0005-0000-0000-000002220000}"/>
    <cellStyle name="Normal 117 6 2 2 3 2" xfId="29101" xr:uid="{00000000-0005-0000-0000-000003220000}"/>
    <cellStyle name="Normal 117 6 2 2 4" xfId="21058" xr:uid="{00000000-0005-0000-0000-000004220000}"/>
    <cellStyle name="Normal 117 6 2 3" xfId="7292" xr:uid="{00000000-0005-0000-0000-000005220000}"/>
    <cellStyle name="Normal 117 6 2 3 2" xfId="16473" xr:uid="{00000000-0005-0000-0000-000006220000}"/>
    <cellStyle name="Normal 117 6 2 3 2 2" xfId="33047" xr:uid="{00000000-0005-0000-0000-000007220000}"/>
    <cellStyle name="Normal 117 6 2 3 3" xfId="25000" xr:uid="{00000000-0005-0000-0000-000008220000}"/>
    <cellStyle name="Normal 117 6 2 4" xfId="12575" xr:uid="{00000000-0005-0000-0000-000009220000}"/>
    <cellStyle name="Normal 117 6 2 4 2" xfId="29100" xr:uid="{00000000-0005-0000-0000-00000A220000}"/>
    <cellStyle name="Normal 117 6 2 5" xfId="21057" xr:uid="{00000000-0005-0000-0000-00000B220000}"/>
    <cellStyle name="Normal 117 6 3" xfId="3088" xr:uid="{00000000-0005-0000-0000-00000C220000}"/>
    <cellStyle name="Normal 117 6 3 2" xfId="7293" xr:uid="{00000000-0005-0000-0000-00000D220000}"/>
    <cellStyle name="Normal 117 6 3 2 2" xfId="16474" xr:uid="{00000000-0005-0000-0000-00000E220000}"/>
    <cellStyle name="Normal 117 6 3 2 2 2" xfId="33048" xr:uid="{00000000-0005-0000-0000-00000F220000}"/>
    <cellStyle name="Normal 117 6 3 2 3" xfId="25001" xr:uid="{00000000-0005-0000-0000-000010220000}"/>
    <cellStyle name="Normal 117 6 3 3" xfId="12577" xr:uid="{00000000-0005-0000-0000-000011220000}"/>
    <cellStyle name="Normal 117 6 3 3 2" xfId="29102" xr:uid="{00000000-0005-0000-0000-000012220000}"/>
    <cellStyle name="Normal 117 6 3 4" xfId="21059" xr:uid="{00000000-0005-0000-0000-000013220000}"/>
    <cellStyle name="Normal 117 6 4" xfId="7294" xr:uid="{00000000-0005-0000-0000-000014220000}"/>
    <cellStyle name="Normal 117 6 4 2" xfId="16475" xr:uid="{00000000-0005-0000-0000-000015220000}"/>
    <cellStyle name="Normal 117 6 4 2 2" xfId="33049" xr:uid="{00000000-0005-0000-0000-000016220000}"/>
    <cellStyle name="Normal 117 6 4 3" xfId="25002" xr:uid="{00000000-0005-0000-0000-000017220000}"/>
    <cellStyle name="Normal 117 6 5" xfId="12574" xr:uid="{00000000-0005-0000-0000-000018220000}"/>
    <cellStyle name="Normal 117 6 5 2" xfId="29099" xr:uid="{00000000-0005-0000-0000-000019220000}"/>
    <cellStyle name="Normal 117 6 6" xfId="21056" xr:uid="{00000000-0005-0000-0000-00001A220000}"/>
    <cellStyle name="Normal 117 7" xfId="3089" xr:uid="{00000000-0005-0000-0000-00001B220000}"/>
    <cellStyle name="Normal 117 7 2" xfId="3090" xr:uid="{00000000-0005-0000-0000-00001C220000}"/>
    <cellStyle name="Normal 117 7 2 2" xfId="7295" xr:uid="{00000000-0005-0000-0000-00001D220000}"/>
    <cellStyle name="Normal 117 7 2 2 2" xfId="16476" xr:uid="{00000000-0005-0000-0000-00001E220000}"/>
    <cellStyle name="Normal 117 7 2 2 2 2" xfId="33050" xr:uid="{00000000-0005-0000-0000-00001F220000}"/>
    <cellStyle name="Normal 117 7 2 2 3" xfId="25003" xr:uid="{00000000-0005-0000-0000-000020220000}"/>
    <cellStyle name="Normal 117 7 2 3" xfId="12579" xr:uid="{00000000-0005-0000-0000-000021220000}"/>
    <cellStyle name="Normal 117 7 2 3 2" xfId="29104" xr:uid="{00000000-0005-0000-0000-000022220000}"/>
    <cellStyle name="Normal 117 7 2 4" xfId="21061" xr:uid="{00000000-0005-0000-0000-000023220000}"/>
    <cellStyle name="Normal 117 7 3" xfId="7296" xr:uid="{00000000-0005-0000-0000-000024220000}"/>
    <cellStyle name="Normal 117 7 3 2" xfId="16477" xr:uid="{00000000-0005-0000-0000-000025220000}"/>
    <cellStyle name="Normal 117 7 3 2 2" xfId="33051" xr:uid="{00000000-0005-0000-0000-000026220000}"/>
    <cellStyle name="Normal 117 7 3 3" xfId="25004" xr:uid="{00000000-0005-0000-0000-000027220000}"/>
    <cellStyle name="Normal 117 7 4" xfId="12578" xr:uid="{00000000-0005-0000-0000-000028220000}"/>
    <cellStyle name="Normal 117 7 4 2" xfId="29103" xr:uid="{00000000-0005-0000-0000-000029220000}"/>
    <cellStyle name="Normal 117 7 5" xfId="21060" xr:uid="{00000000-0005-0000-0000-00002A220000}"/>
    <cellStyle name="Normal 117 8" xfId="3091" xr:uid="{00000000-0005-0000-0000-00002B220000}"/>
    <cellStyle name="Normal 117 8 2" xfId="7297" xr:uid="{00000000-0005-0000-0000-00002C220000}"/>
    <cellStyle name="Normal 117 8 2 2" xfId="16478" xr:uid="{00000000-0005-0000-0000-00002D220000}"/>
    <cellStyle name="Normal 117 8 2 2 2" xfId="33052" xr:uid="{00000000-0005-0000-0000-00002E220000}"/>
    <cellStyle name="Normal 117 8 2 3" xfId="25005" xr:uid="{00000000-0005-0000-0000-00002F220000}"/>
    <cellStyle name="Normal 117 8 3" xfId="12580" xr:uid="{00000000-0005-0000-0000-000030220000}"/>
    <cellStyle name="Normal 117 8 3 2" xfId="29105" xr:uid="{00000000-0005-0000-0000-000031220000}"/>
    <cellStyle name="Normal 117 8 4" xfId="21062" xr:uid="{00000000-0005-0000-0000-000032220000}"/>
    <cellStyle name="Normal 117 9" xfId="7298" xr:uid="{00000000-0005-0000-0000-000033220000}"/>
    <cellStyle name="Normal 117 9 2" xfId="16479" xr:uid="{00000000-0005-0000-0000-000034220000}"/>
    <cellStyle name="Normal 117 9 2 2" xfId="33053" xr:uid="{00000000-0005-0000-0000-000035220000}"/>
    <cellStyle name="Normal 117 9 3" xfId="25006" xr:uid="{00000000-0005-0000-0000-000036220000}"/>
    <cellStyle name="Normal 118" xfId="3092" xr:uid="{00000000-0005-0000-0000-000037220000}"/>
    <cellStyle name="Normal 118 10" xfId="12581" xr:uid="{00000000-0005-0000-0000-000038220000}"/>
    <cellStyle name="Normal 118 10 2" xfId="29106" xr:uid="{00000000-0005-0000-0000-000039220000}"/>
    <cellStyle name="Normal 118 11" xfId="21063" xr:uid="{00000000-0005-0000-0000-00003A220000}"/>
    <cellStyle name="Normal 118 2" xfId="3093" xr:uid="{00000000-0005-0000-0000-00003B220000}"/>
    <cellStyle name="Normal 118 2 2" xfId="3094" xr:uid="{00000000-0005-0000-0000-00003C220000}"/>
    <cellStyle name="Normal 118 2 3" xfId="12582" xr:uid="{00000000-0005-0000-0000-00003D220000}"/>
    <cellStyle name="Normal 118 2 3 2" xfId="29107" xr:uid="{00000000-0005-0000-0000-00003E220000}"/>
    <cellStyle name="Normal 118 2 4" xfId="21064" xr:uid="{00000000-0005-0000-0000-00003F220000}"/>
    <cellStyle name="Normal 118 3" xfId="3095" xr:uid="{00000000-0005-0000-0000-000040220000}"/>
    <cellStyle name="Normal 118 3 2" xfId="3096" xr:uid="{00000000-0005-0000-0000-000041220000}"/>
    <cellStyle name="Normal 118 3 2 2" xfId="3097" xr:uid="{00000000-0005-0000-0000-000042220000}"/>
    <cellStyle name="Normal 118 3 2 2 2" xfId="3098" xr:uid="{00000000-0005-0000-0000-000043220000}"/>
    <cellStyle name="Normal 118 3 2 2 2 2" xfId="7299" xr:uid="{00000000-0005-0000-0000-000044220000}"/>
    <cellStyle name="Normal 118 3 2 2 2 2 2" xfId="16480" xr:uid="{00000000-0005-0000-0000-000045220000}"/>
    <cellStyle name="Normal 118 3 2 2 2 2 2 2" xfId="33054" xr:uid="{00000000-0005-0000-0000-000046220000}"/>
    <cellStyle name="Normal 118 3 2 2 2 2 3" xfId="25007" xr:uid="{00000000-0005-0000-0000-000047220000}"/>
    <cellStyle name="Normal 118 3 2 2 2 3" xfId="12585" xr:uid="{00000000-0005-0000-0000-000048220000}"/>
    <cellStyle name="Normal 118 3 2 2 2 3 2" xfId="29110" xr:uid="{00000000-0005-0000-0000-000049220000}"/>
    <cellStyle name="Normal 118 3 2 2 2 4" xfId="21067" xr:uid="{00000000-0005-0000-0000-00004A220000}"/>
    <cellStyle name="Normal 118 3 2 2 3" xfId="7300" xr:uid="{00000000-0005-0000-0000-00004B220000}"/>
    <cellStyle name="Normal 118 3 2 2 3 2" xfId="16481" xr:uid="{00000000-0005-0000-0000-00004C220000}"/>
    <cellStyle name="Normal 118 3 2 2 3 2 2" xfId="33055" xr:uid="{00000000-0005-0000-0000-00004D220000}"/>
    <cellStyle name="Normal 118 3 2 2 3 3" xfId="25008" xr:uid="{00000000-0005-0000-0000-00004E220000}"/>
    <cellStyle name="Normal 118 3 2 2 4" xfId="12584" xr:uid="{00000000-0005-0000-0000-00004F220000}"/>
    <cellStyle name="Normal 118 3 2 2 4 2" xfId="29109" xr:uid="{00000000-0005-0000-0000-000050220000}"/>
    <cellStyle name="Normal 118 3 2 2 5" xfId="21066" xr:uid="{00000000-0005-0000-0000-000051220000}"/>
    <cellStyle name="Normal 118 3 2 3" xfId="3099" xr:uid="{00000000-0005-0000-0000-000052220000}"/>
    <cellStyle name="Normal 118 3 2 3 2" xfId="7301" xr:uid="{00000000-0005-0000-0000-000053220000}"/>
    <cellStyle name="Normal 118 3 2 3 2 2" xfId="16482" xr:uid="{00000000-0005-0000-0000-000054220000}"/>
    <cellStyle name="Normal 118 3 2 3 2 2 2" xfId="33056" xr:uid="{00000000-0005-0000-0000-000055220000}"/>
    <cellStyle name="Normal 118 3 2 3 2 3" xfId="25009" xr:uid="{00000000-0005-0000-0000-000056220000}"/>
    <cellStyle name="Normal 118 3 2 3 3" xfId="12586" xr:uid="{00000000-0005-0000-0000-000057220000}"/>
    <cellStyle name="Normal 118 3 2 3 3 2" xfId="29111" xr:uid="{00000000-0005-0000-0000-000058220000}"/>
    <cellStyle name="Normal 118 3 2 3 4" xfId="21068" xr:uid="{00000000-0005-0000-0000-000059220000}"/>
    <cellStyle name="Normal 118 3 2 4" xfId="7302" xr:uid="{00000000-0005-0000-0000-00005A220000}"/>
    <cellStyle name="Normal 118 3 2 4 2" xfId="16483" xr:uid="{00000000-0005-0000-0000-00005B220000}"/>
    <cellStyle name="Normal 118 3 2 4 2 2" xfId="33057" xr:uid="{00000000-0005-0000-0000-00005C220000}"/>
    <cellStyle name="Normal 118 3 2 4 3" xfId="25010" xr:uid="{00000000-0005-0000-0000-00005D220000}"/>
    <cellStyle name="Normal 118 3 2 5" xfId="12583" xr:uid="{00000000-0005-0000-0000-00005E220000}"/>
    <cellStyle name="Normal 118 3 2 5 2" xfId="29108" xr:uid="{00000000-0005-0000-0000-00005F220000}"/>
    <cellStyle name="Normal 118 3 2 6" xfId="21065" xr:uid="{00000000-0005-0000-0000-000060220000}"/>
    <cellStyle name="Normal 118 3 3" xfId="3100" xr:uid="{00000000-0005-0000-0000-000061220000}"/>
    <cellStyle name="Normal 118 3 3 2" xfId="3101" xr:uid="{00000000-0005-0000-0000-000062220000}"/>
    <cellStyle name="Normal 118 3 3 2 2" xfId="7303" xr:uid="{00000000-0005-0000-0000-000063220000}"/>
    <cellStyle name="Normal 118 3 3 2 2 2" xfId="16484" xr:uid="{00000000-0005-0000-0000-000064220000}"/>
    <cellStyle name="Normal 118 3 3 2 2 2 2" xfId="33058" xr:uid="{00000000-0005-0000-0000-000065220000}"/>
    <cellStyle name="Normal 118 3 3 2 2 3" xfId="25011" xr:uid="{00000000-0005-0000-0000-000066220000}"/>
    <cellStyle name="Normal 118 3 3 2 3" xfId="12588" xr:uid="{00000000-0005-0000-0000-000067220000}"/>
    <cellStyle name="Normal 118 3 3 2 3 2" xfId="29113" xr:uid="{00000000-0005-0000-0000-000068220000}"/>
    <cellStyle name="Normal 118 3 3 2 4" xfId="21070" xr:uid="{00000000-0005-0000-0000-000069220000}"/>
    <cellStyle name="Normal 118 3 3 3" xfId="7304" xr:uid="{00000000-0005-0000-0000-00006A220000}"/>
    <cellStyle name="Normal 118 3 3 3 2" xfId="16485" xr:uid="{00000000-0005-0000-0000-00006B220000}"/>
    <cellStyle name="Normal 118 3 3 3 2 2" xfId="33059" xr:uid="{00000000-0005-0000-0000-00006C220000}"/>
    <cellStyle name="Normal 118 3 3 3 3" xfId="25012" xr:uid="{00000000-0005-0000-0000-00006D220000}"/>
    <cellStyle name="Normal 118 3 3 4" xfId="12587" xr:uid="{00000000-0005-0000-0000-00006E220000}"/>
    <cellStyle name="Normal 118 3 3 4 2" xfId="29112" xr:uid="{00000000-0005-0000-0000-00006F220000}"/>
    <cellStyle name="Normal 118 3 3 5" xfId="21069" xr:uid="{00000000-0005-0000-0000-000070220000}"/>
    <cellStyle name="Normal 118 3 4" xfId="3102" xr:uid="{00000000-0005-0000-0000-000071220000}"/>
    <cellStyle name="Normal 118 3 4 2" xfId="7305" xr:uid="{00000000-0005-0000-0000-000072220000}"/>
    <cellStyle name="Normal 118 3 4 2 2" xfId="16486" xr:uid="{00000000-0005-0000-0000-000073220000}"/>
    <cellStyle name="Normal 118 3 4 2 2 2" xfId="33060" xr:uid="{00000000-0005-0000-0000-000074220000}"/>
    <cellStyle name="Normal 118 3 4 2 3" xfId="25013" xr:uid="{00000000-0005-0000-0000-000075220000}"/>
    <cellStyle name="Normal 118 3 4 3" xfId="12589" xr:uid="{00000000-0005-0000-0000-000076220000}"/>
    <cellStyle name="Normal 118 3 4 3 2" xfId="29114" xr:uid="{00000000-0005-0000-0000-000077220000}"/>
    <cellStyle name="Normal 118 3 4 4" xfId="21071" xr:uid="{00000000-0005-0000-0000-000078220000}"/>
    <cellStyle name="Normal 118 3 5" xfId="3103" xr:uid="{00000000-0005-0000-0000-000079220000}"/>
    <cellStyle name="Normal 118 3 5 2" xfId="12590" xr:uid="{00000000-0005-0000-0000-00007A220000}"/>
    <cellStyle name="Normal 118 3 5 2 2" xfId="29115" xr:uid="{00000000-0005-0000-0000-00007B220000}"/>
    <cellStyle name="Normal 118 3 5 3" xfId="21072" xr:uid="{00000000-0005-0000-0000-00007C220000}"/>
    <cellStyle name="Normal 118 4" xfId="3104" xr:uid="{00000000-0005-0000-0000-00007D220000}"/>
    <cellStyle name="Normal 118 4 2" xfId="3105" xr:uid="{00000000-0005-0000-0000-00007E220000}"/>
    <cellStyle name="Normal 118 4 2 2" xfId="3106" xr:uid="{00000000-0005-0000-0000-00007F220000}"/>
    <cellStyle name="Normal 118 4 2 2 2" xfId="3107" xr:uid="{00000000-0005-0000-0000-000080220000}"/>
    <cellStyle name="Normal 118 4 2 2 2 2" xfId="7306" xr:uid="{00000000-0005-0000-0000-000081220000}"/>
    <cellStyle name="Normal 118 4 2 2 2 2 2" xfId="16487" xr:uid="{00000000-0005-0000-0000-000082220000}"/>
    <cellStyle name="Normal 118 4 2 2 2 2 2 2" xfId="33061" xr:uid="{00000000-0005-0000-0000-000083220000}"/>
    <cellStyle name="Normal 118 4 2 2 2 2 3" xfId="25014" xr:uid="{00000000-0005-0000-0000-000084220000}"/>
    <cellStyle name="Normal 118 4 2 2 2 3" xfId="12594" xr:uid="{00000000-0005-0000-0000-000085220000}"/>
    <cellStyle name="Normal 118 4 2 2 2 3 2" xfId="29119" xr:uid="{00000000-0005-0000-0000-000086220000}"/>
    <cellStyle name="Normal 118 4 2 2 2 4" xfId="21076" xr:uid="{00000000-0005-0000-0000-000087220000}"/>
    <cellStyle name="Normal 118 4 2 2 3" xfId="7307" xr:uid="{00000000-0005-0000-0000-000088220000}"/>
    <cellStyle name="Normal 118 4 2 2 3 2" xfId="16488" xr:uid="{00000000-0005-0000-0000-000089220000}"/>
    <cellStyle name="Normal 118 4 2 2 3 2 2" xfId="33062" xr:uid="{00000000-0005-0000-0000-00008A220000}"/>
    <cellStyle name="Normal 118 4 2 2 3 3" xfId="25015" xr:uid="{00000000-0005-0000-0000-00008B220000}"/>
    <cellStyle name="Normal 118 4 2 2 4" xfId="12593" xr:uid="{00000000-0005-0000-0000-00008C220000}"/>
    <cellStyle name="Normal 118 4 2 2 4 2" xfId="29118" xr:uid="{00000000-0005-0000-0000-00008D220000}"/>
    <cellStyle name="Normal 118 4 2 2 5" xfId="21075" xr:uid="{00000000-0005-0000-0000-00008E220000}"/>
    <cellStyle name="Normal 118 4 2 3" xfId="3108" xr:uid="{00000000-0005-0000-0000-00008F220000}"/>
    <cellStyle name="Normal 118 4 2 3 2" xfId="7308" xr:uid="{00000000-0005-0000-0000-000090220000}"/>
    <cellStyle name="Normal 118 4 2 3 2 2" xfId="16489" xr:uid="{00000000-0005-0000-0000-000091220000}"/>
    <cellStyle name="Normal 118 4 2 3 2 2 2" xfId="33063" xr:uid="{00000000-0005-0000-0000-000092220000}"/>
    <cellStyle name="Normal 118 4 2 3 2 3" xfId="25016" xr:uid="{00000000-0005-0000-0000-000093220000}"/>
    <cellStyle name="Normal 118 4 2 3 3" xfId="12595" xr:uid="{00000000-0005-0000-0000-000094220000}"/>
    <cellStyle name="Normal 118 4 2 3 3 2" xfId="29120" xr:uid="{00000000-0005-0000-0000-000095220000}"/>
    <cellStyle name="Normal 118 4 2 3 4" xfId="21077" xr:uid="{00000000-0005-0000-0000-000096220000}"/>
    <cellStyle name="Normal 118 4 2 4" xfId="7309" xr:uid="{00000000-0005-0000-0000-000097220000}"/>
    <cellStyle name="Normal 118 4 2 4 2" xfId="16490" xr:uid="{00000000-0005-0000-0000-000098220000}"/>
    <cellStyle name="Normal 118 4 2 4 2 2" xfId="33064" xr:uid="{00000000-0005-0000-0000-000099220000}"/>
    <cellStyle name="Normal 118 4 2 4 3" xfId="25017" xr:uid="{00000000-0005-0000-0000-00009A220000}"/>
    <cellStyle name="Normal 118 4 2 5" xfId="12592" xr:uid="{00000000-0005-0000-0000-00009B220000}"/>
    <cellStyle name="Normal 118 4 2 5 2" xfId="29117" xr:uid="{00000000-0005-0000-0000-00009C220000}"/>
    <cellStyle name="Normal 118 4 2 6" xfId="21074" xr:uid="{00000000-0005-0000-0000-00009D220000}"/>
    <cellStyle name="Normal 118 4 3" xfId="3109" xr:uid="{00000000-0005-0000-0000-00009E220000}"/>
    <cellStyle name="Normal 118 4 3 2" xfId="3110" xr:uid="{00000000-0005-0000-0000-00009F220000}"/>
    <cellStyle name="Normal 118 4 3 2 2" xfId="7310" xr:uid="{00000000-0005-0000-0000-0000A0220000}"/>
    <cellStyle name="Normal 118 4 3 2 2 2" xfId="16491" xr:uid="{00000000-0005-0000-0000-0000A1220000}"/>
    <cellStyle name="Normal 118 4 3 2 2 2 2" xfId="33065" xr:uid="{00000000-0005-0000-0000-0000A2220000}"/>
    <cellStyle name="Normal 118 4 3 2 2 3" xfId="25018" xr:uid="{00000000-0005-0000-0000-0000A3220000}"/>
    <cellStyle name="Normal 118 4 3 2 3" xfId="12597" xr:uid="{00000000-0005-0000-0000-0000A4220000}"/>
    <cellStyle name="Normal 118 4 3 2 3 2" xfId="29122" xr:uid="{00000000-0005-0000-0000-0000A5220000}"/>
    <cellStyle name="Normal 118 4 3 2 4" xfId="21079" xr:uid="{00000000-0005-0000-0000-0000A6220000}"/>
    <cellStyle name="Normal 118 4 3 3" xfId="7311" xr:uid="{00000000-0005-0000-0000-0000A7220000}"/>
    <cellStyle name="Normal 118 4 3 3 2" xfId="16492" xr:uid="{00000000-0005-0000-0000-0000A8220000}"/>
    <cellStyle name="Normal 118 4 3 3 2 2" xfId="33066" xr:uid="{00000000-0005-0000-0000-0000A9220000}"/>
    <cellStyle name="Normal 118 4 3 3 3" xfId="25019" xr:uid="{00000000-0005-0000-0000-0000AA220000}"/>
    <cellStyle name="Normal 118 4 3 4" xfId="12596" xr:uid="{00000000-0005-0000-0000-0000AB220000}"/>
    <cellStyle name="Normal 118 4 3 4 2" xfId="29121" xr:uid="{00000000-0005-0000-0000-0000AC220000}"/>
    <cellStyle name="Normal 118 4 3 5" xfId="21078" xr:uid="{00000000-0005-0000-0000-0000AD220000}"/>
    <cellStyle name="Normal 118 4 4" xfId="3111" xr:uid="{00000000-0005-0000-0000-0000AE220000}"/>
    <cellStyle name="Normal 118 4 4 2" xfId="7312" xr:uid="{00000000-0005-0000-0000-0000AF220000}"/>
    <cellStyle name="Normal 118 4 4 2 2" xfId="16493" xr:uid="{00000000-0005-0000-0000-0000B0220000}"/>
    <cellStyle name="Normal 118 4 4 2 2 2" xfId="33067" xr:uid="{00000000-0005-0000-0000-0000B1220000}"/>
    <cellStyle name="Normal 118 4 4 2 3" xfId="25020" xr:uid="{00000000-0005-0000-0000-0000B2220000}"/>
    <cellStyle name="Normal 118 4 4 3" xfId="12598" xr:uid="{00000000-0005-0000-0000-0000B3220000}"/>
    <cellStyle name="Normal 118 4 4 3 2" xfId="29123" xr:uid="{00000000-0005-0000-0000-0000B4220000}"/>
    <cellStyle name="Normal 118 4 4 4" xfId="21080" xr:uid="{00000000-0005-0000-0000-0000B5220000}"/>
    <cellStyle name="Normal 118 4 5" xfId="7313" xr:uid="{00000000-0005-0000-0000-0000B6220000}"/>
    <cellStyle name="Normal 118 4 5 2" xfId="16494" xr:uid="{00000000-0005-0000-0000-0000B7220000}"/>
    <cellStyle name="Normal 118 4 5 2 2" xfId="33068" xr:uid="{00000000-0005-0000-0000-0000B8220000}"/>
    <cellStyle name="Normal 118 4 5 3" xfId="25021" xr:uid="{00000000-0005-0000-0000-0000B9220000}"/>
    <cellStyle name="Normal 118 4 6" xfId="12591" xr:uid="{00000000-0005-0000-0000-0000BA220000}"/>
    <cellStyle name="Normal 118 4 6 2" xfId="29116" xr:uid="{00000000-0005-0000-0000-0000BB220000}"/>
    <cellStyle name="Normal 118 4 7" xfId="21073" xr:uid="{00000000-0005-0000-0000-0000BC220000}"/>
    <cellStyle name="Normal 118 5" xfId="3112" xr:uid="{00000000-0005-0000-0000-0000BD220000}"/>
    <cellStyle name="Normal 118 5 2" xfId="3113" xr:uid="{00000000-0005-0000-0000-0000BE220000}"/>
    <cellStyle name="Normal 118 5 2 2" xfId="3114" xr:uid="{00000000-0005-0000-0000-0000BF220000}"/>
    <cellStyle name="Normal 118 5 2 2 2" xfId="3115" xr:uid="{00000000-0005-0000-0000-0000C0220000}"/>
    <cellStyle name="Normal 118 5 2 2 2 2" xfId="7314" xr:uid="{00000000-0005-0000-0000-0000C1220000}"/>
    <cellStyle name="Normal 118 5 2 2 2 2 2" xfId="16495" xr:uid="{00000000-0005-0000-0000-0000C2220000}"/>
    <cellStyle name="Normal 118 5 2 2 2 2 2 2" xfId="33069" xr:uid="{00000000-0005-0000-0000-0000C3220000}"/>
    <cellStyle name="Normal 118 5 2 2 2 2 3" xfId="25022" xr:uid="{00000000-0005-0000-0000-0000C4220000}"/>
    <cellStyle name="Normal 118 5 2 2 2 3" xfId="12602" xr:uid="{00000000-0005-0000-0000-0000C5220000}"/>
    <cellStyle name="Normal 118 5 2 2 2 3 2" xfId="29127" xr:uid="{00000000-0005-0000-0000-0000C6220000}"/>
    <cellStyle name="Normal 118 5 2 2 2 4" xfId="21084" xr:uid="{00000000-0005-0000-0000-0000C7220000}"/>
    <cellStyle name="Normal 118 5 2 2 3" xfId="7315" xr:uid="{00000000-0005-0000-0000-0000C8220000}"/>
    <cellStyle name="Normal 118 5 2 2 3 2" xfId="16496" xr:uid="{00000000-0005-0000-0000-0000C9220000}"/>
    <cellStyle name="Normal 118 5 2 2 3 2 2" xfId="33070" xr:uid="{00000000-0005-0000-0000-0000CA220000}"/>
    <cellStyle name="Normal 118 5 2 2 3 3" xfId="25023" xr:uid="{00000000-0005-0000-0000-0000CB220000}"/>
    <cellStyle name="Normal 118 5 2 2 4" xfId="12601" xr:uid="{00000000-0005-0000-0000-0000CC220000}"/>
    <cellStyle name="Normal 118 5 2 2 4 2" xfId="29126" xr:uid="{00000000-0005-0000-0000-0000CD220000}"/>
    <cellStyle name="Normal 118 5 2 2 5" xfId="21083" xr:uid="{00000000-0005-0000-0000-0000CE220000}"/>
    <cellStyle name="Normal 118 5 2 3" xfId="3116" xr:uid="{00000000-0005-0000-0000-0000CF220000}"/>
    <cellStyle name="Normal 118 5 2 3 2" xfId="7316" xr:uid="{00000000-0005-0000-0000-0000D0220000}"/>
    <cellStyle name="Normal 118 5 2 3 2 2" xfId="16497" xr:uid="{00000000-0005-0000-0000-0000D1220000}"/>
    <cellStyle name="Normal 118 5 2 3 2 2 2" xfId="33071" xr:uid="{00000000-0005-0000-0000-0000D2220000}"/>
    <cellStyle name="Normal 118 5 2 3 2 3" xfId="25024" xr:uid="{00000000-0005-0000-0000-0000D3220000}"/>
    <cellStyle name="Normal 118 5 2 3 3" xfId="12603" xr:uid="{00000000-0005-0000-0000-0000D4220000}"/>
    <cellStyle name="Normal 118 5 2 3 3 2" xfId="29128" xr:uid="{00000000-0005-0000-0000-0000D5220000}"/>
    <cellStyle name="Normal 118 5 2 3 4" xfId="21085" xr:uid="{00000000-0005-0000-0000-0000D6220000}"/>
    <cellStyle name="Normal 118 5 2 4" xfId="7317" xr:uid="{00000000-0005-0000-0000-0000D7220000}"/>
    <cellStyle name="Normal 118 5 2 4 2" xfId="16498" xr:uid="{00000000-0005-0000-0000-0000D8220000}"/>
    <cellStyle name="Normal 118 5 2 4 2 2" xfId="33072" xr:uid="{00000000-0005-0000-0000-0000D9220000}"/>
    <cellStyle name="Normal 118 5 2 4 3" xfId="25025" xr:uid="{00000000-0005-0000-0000-0000DA220000}"/>
    <cellStyle name="Normal 118 5 2 5" xfId="12600" xr:uid="{00000000-0005-0000-0000-0000DB220000}"/>
    <cellStyle name="Normal 118 5 2 5 2" xfId="29125" xr:uid="{00000000-0005-0000-0000-0000DC220000}"/>
    <cellStyle name="Normal 118 5 2 6" xfId="21082" xr:uid="{00000000-0005-0000-0000-0000DD220000}"/>
    <cellStyle name="Normal 118 5 3" xfId="3117" xr:uid="{00000000-0005-0000-0000-0000DE220000}"/>
    <cellStyle name="Normal 118 5 3 2" xfId="3118" xr:uid="{00000000-0005-0000-0000-0000DF220000}"/>
    <cellStyle name="Normal 118 5 3 2 2" xfId="7318" xr:uid="{00000000-0005-0000-0000-0000E0220000}"/>
    <cellStyle name="Normal 118 5 3 2 2 2" xfId="16499" xr:uid="{00000000-0005-0000-0000-0000E1220000}"/>
    <cellStyle name="Normal 118 5 3 2 2 2 2" xfId="33073" xr:uid="{00000000-0005-0000-0000-0000E2220000}"/>
    <cellStyle name="Normal 118 5 3 2 2 3" xfId="25026" xr:uid="{00000000-0005-0000-0000-0000E3220000}"/>
    <cellStyle name="Normal 118 5 3 2 3" xfId="12605" xr:uid="{00000000-0005-0000-0000-0000E4220000}"/>
    <cellStyle name="Normal 118 5 3 2 3 2" xfId="29130" xr:uid="{00000000-0005-0000-0000-0000E5220000}"/>
    <cellStyle name="Normal 118 5 3 2 4" xfId="21087" xr:uid="{00000000-0005-0000-0000-0000E6220000}"/>
    <cellStyle name="Normal 118 5 3 3" xfId="7319" xr:uid="{00000000-0005-0000-0000-0000E7220000}"/>
    <cellStyle name="Normal 118 5 3 3 2" xfId="16500" xr:uid="{00000000-0005-0000-0000-0000E8220000}"/>
    <cellStyle name="Normal 118 5 3 3 2 2" xfId="33074" xr:uid="{00000000-0005-0000-0000-0000E9220000}"/>
    <cellStyle name="Normal 118 5 3 3 3" xfId="25027" xr:uid="{00000000-0005-0000-0000-0000EA220000}"/>
    <cellStyle name="Normal 118 5 3 4" xfId="12604" xr:uid="{00000000-0005-0000-0000-0000EB220000}"/>
    <cellStyle name="Normal 118 5 3 4 2" xfId="29129" xr:uid="{00000000-0005-0000-0000-0000EC220000}"/>
    <cellStyle name="Normal 118 5 3 5" xfId="21086" xr:uid="{00000000-0005-0000-0000-0000ED220000}"/>
    <cellStyle name="Normal 118 5 4" xfId="3119" xr:uid="{00000000-0005-0000-0000-0000EE220000}"/>
    <cellStyle name="Normal 118 5 4 2" xfId="7320" xr:uid="{00000000-0005-0000-0000-0000EF220000}"/>
    <cellStyle name="Normal 118 5 4 2 2" xfId="16501" xr:uid="{00000000-0005-0000-0000-0000F0220000}"/>
    <cellStyle name="Normal 118 5 4 2 2 2" xfId="33075" xr:uid="{00000000-0005-0000-0000-0000F1220000}"/>
    <cellStyle name="Normal 118 5 4 2 3" xfId="25028" xr:uid="{00000000-0005-0000-0000-0000F2220000}"/>
    <cellStyle name="Normal 118 5 4 3" xfId="12606" xr:uid="{00000000-0005-0000-0000-0000F3220000}"/>
    <cellStyle name="Normal 118 5 4 3 2" xfId="29131" xr:uid="{00000000-0005-0000-0000-0000F4220000}"/>
    <cellStyle name="Normal 118 5 4 4" xfId="21088" xr:uid="{00000000-0005-0000-0000-0000F5220000}"/>
    <cellStyle name="Normal 118 5 5" xfId="7321" xr:uid="{00000000-0005-0000-0000-0000F6220000}"/>
    <cellStyle name="Normal 118 5 5 2" xfId="16502" xr:uid="{00000000-0005-0000-0000-0000F7220000}"/>
    <cellStyle name="Normal 118 5 5 2 2" xfId="33076" xr:uid="{00000000-0005-0000-0000-0000F8220000}"/>
    <cellStyle name="Normal 118 5 5 3" xfId="25029" xr:uid="{00000000-0005-0000-0000-0000F9220000}"/>
    <cellStyle name="Normal 118 5 6" xfId="12599" xr:uid="{00000000-0005-0000-0000-0000FA220000}"/>
    <cellStyle name="Normal 118 5 6 2" xfId="29124" xr:uid="{00000000-0005-0000-0000-0000FB220000}"/>
    <cellStyle name="Normal 118 5 7" xfId="21081" xr:uid="{00000000-0005-0000-0000-0000FC220000}"/>
    <cellStyle name="Normal 118 6" xfId="3120" xr:uid="{00000000-0005-0000-0000-0000FD220000}"/>
    <cellStyle name="Normal 118 6 2" xfId="3121" xr:uid="{00000000-0005-0000-0000-0000FE220000}"/>
    <cellStyle name="Normal 118 6 2 2" xfId="3122" xr:uid="{00000000-0005-0000-0000-0000FF220000}"/>
    <cellStyle name="Normal 118 6 2 2 2" xfId="7322" xr:uid="{00000000-0005-0000-0000-000000230000}"/>
    <cellStyle name="Normal 118 6 2 2 2 2" xfId="16503" xr:uid="{00000000-0005-0000-0000-000001230000}"/>
    <cellStyle name="Normal 118 6 2 2 2 2 2" xfId="33077" xr:uid="{00000000-0005-0000-0000-000002230000}"/>
    <cellStyle name="Normal 118 6 2 2 2 3" xfId="25030" xr:uid="{00000000-0005-0000-0000-000003230000}"/>
    <cellStyle name="Normal 118 6 2 2 3" xfId="12609" xr:uid="{00000000-0005-0000-0000-000004230000}"/>
    <cellStyle name="Normal 118 6 2 2 3 2" xfId="29134" xr:uid="{00000000-0005-0000-0000-000005230000}"/>
    <cellStyle name="Normal 118 6 2 2 4" xfId="21091" xr:uid="{00000000-0005-0000-0000-000006230000}"/>
    <cellStyle name="Normal 118 6 2 3" xfId="7323" xr:uid="{00000000-0005-0000-0000-000007230000}"/>
    <cellStyle name="Normal 118 6 2 3 2" xfId="16504" xr:uid="{00000000-0005-0000-0000-000008230000}"/>
    <cellStyle name="Normal 118 6 2 3 2 2" xfId="33078" xr:uid="{00000000-0005-0000-0000-000009230000}"/>
    <cellStyle name="Normal 118 6 2 3 3" xfId="25031" xr:uid="{00000000-0005-0000-0000-00000A230000}"/>
    <cellStyle name="Normal 118 6 2 4" xfId="12608" xr:uid="{00000000-0005-0000-0000-00000B230000}"/>
    <cellStyle name="Normal 118 6 2 4 2" xfId="29133" xr:uid="{00000000-0005-0000-0000-00000C230000}"/>
    <cellStyle name="Normal 118 6 2 5" xfId="21090" xr:uid="{00000000-0005-0000-0000-00000D230000}"/>
    <cellStyle name="Normal 118 6 3" xfId="3123" xr:uid="{00000000-0005-0000-0000-00000E230000}"/>
    <cellStyle name="Normal 118 6 3 2" xfId="7324" xr:uid="{00000000-0005-0000-0000-00000F230000}"/>
    <cellStyle name="Normal 118 6 3 2 2" xfId="16505" xr:uid="{00000000-0005-0000-0000-000010230000}"/>
    <cellStyle name="Normal 118 6 3 2 2 2" xfId="33079" xr:uid="{00000000-0005-0000-0000-000011230000}"/>
    <cellStyle name="Normal 118 6 3 2 3" xfId="25032" xr:uid="{00000000-0005-0000-0000-000012230000}"/>
    <cellStyle name="Normal 118 6 3 3" xfId="12610" xr:uid="{00000000-0005-0000-0000-000013230000}"/>
    <cellStyle name="Normal 118 6 3 3 2" xfId="29135" xr:uid="{00000000-0005-0000-0000-000014230000}"/>
    <cellStyle name="Normal 118 6 3 4" xfId="21092" xr:uid="{00000000-0005-0000-0000-000015230000}"/>
    <cellStyle name="Normal 118 6 4" xfId="7325" xr:uid="{00000000-0005-0000-0000-000016230000}"/>
    <cellStyle name="Normal 118 6 4 2" xfId="16506" xr:uid="{00000000-0005-0000-0000-000017230000}"/>
    <cellStyle name="Normal 118 6 4 2 2" xfId="33080" xr:uid="{00000000-0005-0000-0000-000018230000}"/>
    <cellStyle name="Normal 118 6 4 3" xfId="25033" xr:uid="{00000000-0005-0000-0000-000019230000}"/>
    <cellStyle name="Normal 118 6 5" xfId="12607" xr:uid="{00000000-0005-0000-0000-00001A230000}"/>
    <cellStyle name="Normal 118 6 5 2" xfId="29132" xr:uid="{00000000-0005-0000-0000-00001B230000}"/>
    <cellStyle name="Normal 118 6 6" xfId="21089" xr:uid="{00000000-0005-0000-0000-00001C230000}"/>
    <cellStyle name="Normal 118 7" xfId="3124" xr:uid="{00000000-0005-0000-0000-00001D230000}"/>
    <cellStyle name="Normal 118 7 2" xfId="3125" xr:uid="{00000000-0005-0000-0000-00001E230000}"/>
    <cellStyle name="Normal 118 7 2 2" xfId="7326" xr:uid="{00000000-0005-0000-0000-00001F230000}"/>
    <cellStyle name="Normal 118 7 2 2 2" xfId="16507" xr:uid="{00000000-0005-0000-0000-000020230000}"/>
    <cellStyle name="Normal 118 7 2 2 2 2" xfId="33081" xr:uid="{00000000-0005-0000-0000-000021230000}"/>
    <cellStyle name="Normal 118 7 2 2 3" xfId="25034" xr:uid="{00000000-0005-0000-0000-000022230000}"/>
    <cellStyle name="Normal 118 7 2 3" xfId="12612" xr:uid="{00000000-0005-0000-0000-000023230000}"/>
    <cellStyle name="Normal 118 7 2 3 2" xfId="29137" xr:uid="{00000000-0005-0000-0000-000024230000}"/>
    <cellStyle name="Normal 118 7 2 4" xfId="21094" xr:uid="{00000000-0005-0000-0000-000025230000}"/>
    <cellStyle name="Normal 118 7 3" xfId="7327" xr:uid="{00000000-0005-0000-0000-000026230000}"/>
    <cellStyle name="Normal 118 7 3 2" xfId="16508" xr:uid="{00000000-0005-0000-0000-000027230000}"/>
    <cellStyle name="Normal 118 7 3 2 2" xfId="33082" xr:uid="{00000000-0005-0000-0000-000028230000}"/>
    <cellStyle name="Normal 118 7 3 3" xfId="25035" xr:uid="{00000000-0005-0000-0000-000029230000}"/>
    <cellStyle name="Normal 118 7 4" xfId="12611" xr:uid="{00000000-0005-0000-0000-00002A230000}"/>
    <cellStyle name="Normal 118 7 4 2" xfId="29136" xr:uid="{00000000-0005-0000-0000-00002B230000}"/>
    <cellStyle name="Normal 118 7 5" xfId="21093" xr:uid="{00000000-0005-0000-0000-00002C230000}"/>
    <cellStyle name="Normal 118 8" xfId="3126" xr:uid="{00000000-0005-0000-0000-00002D230000}"/>
    <cellStyle name="Normal 118 8 2" xfId="7328" xr:uid="{00000000-0005-0000-0000-00002E230000}"/>
    <cellStyle name="Normal 118 8 2 2" xfId="16509" xr:uid="{00000000-0005-0000-0000-00002F230000}"/>
    <cellStyle name="Normal 118 8 2 2 2" xfId="33083" xr:uid="{00000000-0005-0000-0000-000030230000}"/>
    <cellStyle name="Normal 118 8 2 3" xfId="25036" xr:uid="{00000000-0005-0000-0000-000031230000}"/>
    <cellStyle name="Normal 118 8 3" xfId="12613" xr:uid="{00000000-0005-0000-0000-000032230000}"/>
    <cellStyle name="Normal 118 8 3 2" xfId="29138" xr:uid="{00000000-0005-0000-0000-000033230000}"/>
    <cellStyle name="Normal 118 8 4" xfId="21095" xr:uid="{00000000-0005-0000-0000-000034230000}"/>
    <cellStyle name="Normal 118 9" xfId="7329" xr:uid="{00000000-0005-0000-0000-000035230000}"/>
    <cellStyle name="Normal 118 9 2" xfId="16510" xr:uid="{00000000-0005-0000-0000-000036230000}"/>
    <cellStyle name="Normal 118 9 2 2" xfId="33084" xr:uid="{00000000-0005-0000-0000-000037230000}"/>
    <cellStyle name="Normal 118 9 3" xfId="25037" xr:uid="{00000000-0005-0000-0000-000038230000}"/>
    <cellStyle name="Normal 119" xfId="3127" xr:uid="{00000000-0005-0000-0000-000039230000}"/>
    <cellStyle name="Normal 119 10" xfId="12614" xr:uid="{00000000-0005-0000-0000-00003A230000}"/>
    <cellStyle name="Normal 119 10 2" xfId="29139" xr:uid="{00000000-0005-0000-0000-00003B230000}"/>
    <cellStyle name="Normal 119 11" xfId="21096" xr:uid="{00000000-0005-0000-0000-00003C230000}"/>
    <cellStyle name="Normal 119 2" xfId="3128" xr:uid="{00000000-0005-0000-0000-00003D230000}"/>
    <cellStyle name="Normal 119 2 2" xfId="3129" xr:uid="{00000000-0005-0000-0000-00003E230000}"/>
    <cellStyle name="Normal 119 2 3" xfId="12615" xr:uid="{00000000-0005-0000-0000-00003F230000}"/>
    <cellStyle name="Normal 119 2 3 2" xfId="29140" xr:uid="{00000000-0005-0000-0000-000040230000}"/>
    <cellStyle name="Normal 119 2 4" xfId="21097" xr:uid="{00000000-0005-0000-0000-000041230000}"/>
    <cellStyle name="Normal 119 3" xfId="3130" xr:uid="{00000000-0005-0000-0000-000042230000}"/>
    <cellStyle name="Normal 119 3 2" xfId="3131" xr:uid="{00000000-0005-0000-0000-000043230000}"/>
    <cellStyle name="Normal 119 3 2 2" xfId="3132" xr:uid="{00000000-0005-0000-0000-000044230000}"/>
    <cellStyle name="Normal 119 3 2 2 2" xfId="3133" xr:uid="{00000000-0005-0000-0000-000045230000}"/>
    <cellStyle name="Normal 119 3 2 2 2 2" xfId="7330" xr:uid="{00000000-0005-0000-0000-000046230000}"/>
    <cellStyle name="Normal 119 3 2 2 2 2 2" xfId="16511" xr:uid="{00000000-0005-0000-0000-000047230000}"/>
    <cellStyle name="Normal 119 3 2 2 2 2 2 2" xfId="33085" xr:uid="{00000000-0005-0000-0000-000048230000}"/>
    <cellStyle name="Normal 119 3 2 2 2 2 3" xfId="25038" xr:uid="{00000000-0005-0000-0000-000049230000}"/>
    <cellStyle name="Normal 119 3 2 2 2 3" xfId="12618" xr:uid="{00000000-0005-0000-0000-00004A230000}"/>
    <cellStyle name="Normal 119 3 2 2 2 3 2" xfId="29143" xr:uid="{00000000-0005-0000-0000-00004B230000}"/>
    <cellStyle name="Normal 119 3 2 2 2 4" xfId="21100" xr:uid="{00000000-0005-0000-0000-00004C230000}"/>
    <cellStyle name="Normal 119 3 2 2 3" xfId="7331" xr:uid="{00000000-0005-0000-0000-00004D230000}"/>
    <cellStyle name="Normal 119 3 2 2 3 2" xfId="16512" xr:uid="{00000000-0005-0000-0000-00004E230000}"/>
    <cellStyle name="Normal 119 3 2 2 3 2 2" xfId="33086" xr:uid="{00000000-0005-0000-0000-00004F230000}"/>
    <cellStyle name="Normal 119 3 2 2 3 3" xfId="25039" xr:uid="{00000000-0005-0000-0000-000050230000}"/>
    <cellStyle name="Normal 119 3 2 2 4" xfId="12617" xr:uid="{00000000-0005-0000-0000-000051230000}"/>
    <cellStyle name="Normal 119 3 2 2 4 2" xfId="29142" xr:uid="{00000000-0005-0000-0000-000052230000}"/>
    <cellStyle name="Normal 119 3 2 2 5" xfId="21099" xr:uid="{00000000-0005-0000-0000-000053230000}"/>
    <cellStyle name="Normal 119 3 2 3" xfId="3134" xr:uid="{00000000-0005-0000-0000-000054230000}"/>
    <cellStyle name="Normal 119 3 2 3 2" xfId="7332" xr:uid="{00000000-0005-0000-0000-000055230000}"/>
    <cellStyle name="Normal 119 3 2 3 2 2" xfId="16513" xr:uid="{00000000-0005-0000-0000-000056230000}"/>
    <cellStyle name="Normal 119 3 2 3 2 2 2" xfId="33087" xr:uid="{00000000-0005-0000-0000-000057230000}"/>
    <cellStyle name="Normal 119 3 2 3 2 3" xfId="25040" xr:uid="{00000000-0005-0000-0000-000058230000}"/>
    <cellStyle name="Normal 119 3 2 3 3" xfId="12619" xr:uid="{00000000-0005-0000-0000-000059230000}"/>
    <cellStyle name="Normal 119 3 2 3 3 2" xfId="29144" xr:uid="{00000000-0005-0000-0000-00005A230000}"/>
    <cellStyle name="Normal 119 3 2 3 4" xfId="21101" xr:uid="{00000000-0005-0000-0000-00005B230000}"/>
    <cellStyle name="Normal 119 3 2 4" xfId="7333" xr:uid="{00000000-0005-0000-0000-00005C230000}"/>
    <cellStyle name="Normal 119 3 2 4 2" xfId="16514" xr:uid="{00000000-0005-0000-0000-00005D230000}"/>
    <cellStyle name="Normal 119 3 2 4 2 2" xfId="33088" xr:uid="{00000000-0005-0000-0000-00005E230000}"/>
    <cellStyle name="Normal 119 3 2 4 3" xfId="25041" xr:uid="{00000000-0005-0000-0000-00005F230000}"/>
    <cellStyle name="Normal 119 3 2 5" xfId="12616" xr:uid="{00000000-0005-0000-0000-000060230000}"/>
    <cellStyle name="Normal 119 3 2 5 2" xfId="29141" xr:uid="{00000000-0005-0000-0000-000061230000}"/>
    <cellStyle name="Normal 119 3 2 6" xfId="21098" xr:uid="{00000000-0005-0000-0000-000062230000}"/>
    <cellStyle name="Normal 119 3 3" xfId="3135" xr:uid="{00000000-0005-0000-0000-000063230000}"/>
    <cellStyle name="Normal 119 3 3 2" xfId="3136" xr:uid="{00000000-0005-0000-0000-000064230000}"/>
    <cellStyle name="Normal 119 3 3 2 2" xfId="7334" xr:uid="{00000000-0005-0000-0000-000065230000}"/>
    <cellStyle name="Normal 119 3 3 2 2 2" xfId="16515" xr:uid="{00000000-0005-0000-0000-000066230000}"/>
    <cellStyle name="Normal 119 3 3 2 2 2 2" xfId="33089" xr:uid="{00000000-0005-0000-0000-000067230000}"/>
    <cellStyle name="Normal 119 3 3 2 2 3" xfId="25042" xr:uid="{00000000-0005-0000-0000-000068230000}"/>
    <cellStyle name="Normal 119 3 3 2 3" xfId="12621" xr:uid="{00000000-0005-0000-0000-000069230000}"/>
    <cellStyle name="Normal 119 3 3 2 3 2" xfId="29146" xr:uid="{00000000-0005-0000-0000-00006A230000}"/>
    <cellStyle name="Normal 119 3 3 2 4" xfId="21103" xr:uid="{00000000-0005-0000-0000-00006B230000}"/>
    <cellStyle name="Normal 119 3 3 3" xfId="7335" xr:uid="{00000000-0005-0000-0000-00006C230000}"/>
    <cellStyle name="Normal 119 3 3 3 2" xfId="16516" xr:uid="{00000000-0005-0000-0000-00006D230000}"/>
    <cellStyle name="Normal 119 3 3 3 2 2" xfId="33090" xr:uid="{00000000-0005-0000-0000-00006E230000}"/>
    <cellStyle name="Normal 119 3 3 3 3" xfId="25043" xr:uid="{00000000-0005-0000-0000-00006F230000}"/>
    <cellStyle name="Normal 119 3 3 4" xfId="12620" xr:uid="{00000000-0005-0000-0000-000070230000}"/>
    <cellStyle name="Normal 119 3 3 4 2" xfId="29145" xr:uid="{00000000-0005-0000-0000-000071230000}"/>
    <cellStyle name="Normal 119 3 3 5" xfId="21102" xr:uid="{00000000-0005-0000-0000-000072230000}"/>
    <cellStyle name="Normal 119 3 4" xfId="3137" xr:uid="{00000000-0005-0000-0000-000073230000}"/>
    <cellStyle name="Normal 119 3 4 2" xfId="7336" xr:uid="{00000000-0005-0000-0000-000074230000}"/>
    <cellStyle name="Normal 119 3 4 2 2" xfId="16517" xr:uid="{00000000-0005-0000-0000-000075230000}"/>
    <cellStyle name="Normal 119 3 4 2 2 2" xfId="33091" xr:uid="{00000000-0005-0000-0000-000076230000}"/>
    <cellStyle name="Normal 119 3 4 2 3" xfId="25044" xr:uid="{00000000-0005-0000-0000-000077230000}"/>
    <cellStyle name="Normal 119 3 4 3" xfId="12622" xr:uid="{00000000-0005-0000-0000-000078230000}"/>
    <cellStyle name="Normal 119 3 4 3 2" xfId="29147" xr:uid="{00000000-0005-0000-0000-000079230000}"/>
    <cellStyle name="Normal 119 3 4 4" xfId="21104" xr:uid="{00000000-0005-0000-0000-00007A230000}"/>
    <cellStyle name="Normal 119 3 5" xfId="3138" xr:uid="{00000000-0005-0000-0000-00007B230000}"/>
    <cellStyle name="Normal 119 3 5 2" xfId="12623" xr:uid="{00000000-0005-0000-0000-00007C230000}"/>
    <cellStyle name="Normal 119 3 5 2 2" xfId="29148" xr:uid="{00000000-0005-0000-0000-00007D230000}"/>
    <cellStyle name="Normal 119 3 5 3" xfId="21105" xr:uid="{00000000-0005-0000-0000-00007E230000}"/>
    <cellStyle name="Normal 119 4" xfId="3139" xr:uid="{00000000-0005-0000-0000-00007F230000}"/>
    <cellStyle name="Normal 119 4 2" xfId="3140" xr:uid="{00000000-0005-0000-0000-000080230000}"/>
    <cellStyle name="Normal 119 4 2 2" xfId="3141" xr:uid="{00000000-0005-0000-0000-000081230000}"/>
    <cellStyle name="Normal 119 4 2 2 2" xfId="3142" xr:uid="{00000000-0005-0000-0000-000082230000}"/>
    <cellStyle name="Normal 119 4 2 2 2 2" xfId="7337" xr:uid="{00000000-0005-0000-0000-000083230000}"/>
    <cellStyle name="Normal 119 4 2 2 2 2 2" xfId="16518" xr:uid="{00000000-0005-0000-0000-000084230000}"/>
    <cellStyle name="Normal 119 4 2 2 2 2 2 2" xfId="33092" xr:uid="{00000000-0005-0000-0000-000085230000}"/>
    <cellStyle name="Normal 119 4 2 2 2 2 3" xfId="25045" xr:uid="{00000000-0005-0000-0000-000086230000}"/>
    <cellStyle name="Normal 119 4 2 2 2 3" xfId="12627" xr:uid="{00000000-0005-0000-0000-000087230000}"/>
    <cellStyle name="Normal 119 4 2 2 2 3 2" xfId="29152" xr:uid="{00000000-0005-0000-0000-000088230000}"/>
    <cellStyle name="Normal 119 4 2 2 2 4" xfId="21109" xr:uid="{00000000-0005-0000-0000-000089230000}"/>
    <cellStyle name="Normal 119 4 2 2 3" xfId="7338" xr:uid="{00000000-0005-0000-0000-00008A230000}"/>
    <cellStyle name="Normal 119 4 2 2 3 2" xfId="16519" xr:uid="{00000000-0005-0000-0000-00008B230000}"/>
    <cellStyle name="Normal 119 4 2 2 3 2 2" xfId="33093" xr:uid="{00000000-0005-0000-0000-00008C230000}"/>
    <cellStyle name="Normal 119 4 2 2 3 3" xfId="25046" xr:uid="{00000000-0005-0000-0000-00008D230000}"/>
    <cellStyle name="Normal 119 4 2 2 4" xfId="12626" xr:uid="{00000000-0005-0000-0000-00008E230000}"/>
    <cellStyle name="Normal 119 4 2 2 4 2" xfId="29151" xr:uid="{00000000-0005-0000-0000-00008F230000}"/>
    <cellStyle name="Normal 119 4 2 2 5" xfId="21108" xr:uid="{00000000-0005-0000-0000-000090230000}"/>
    <cellStyle name="Normal 119 4 2 3" xfId="3143" xr:uid="{00000000-0005-0000-0000-000091230000}"/>
    <cellStyle name="Normal 119 4 2 3 2" xfId="7339" xr:uid="{00000000-0005-0000-0000-000092230000}"/>
    <cellStyle name="Normal 119 4 2 3 2 2" xfId="16520" xr:uid="{00000000-0005-0000-0000-000093230000}"/>
    <cellStyle name="Normal 119 4 2 3 2 2 2" xfId="33094" xr:uid="{00000000-0005-0000-0000-000094230000}"/>
    <cellStyle name="Normal 119 4 2 3 2 3" xfId="25047" xr:uid="{00000000-0005-0000-0000-000095230000}"/>
    <cellStyle name="Normal 119 4 2 3 3" xfId="12628" xr:uid="{00000000-0005-0000-0000-000096230000}"/>
    <cellStyle name="Normal 119 4 2 3 3 2" xfId="29153" xr:uid="{00000000-0005-0000-0000-000097230000}"/>
    <cellStyle name="Normal 119 4 2 3 4" xfId="21110" xr:uid="{00000000-0005-0000-0000-000098230000}"/>
    <cellStyle name="Normal 119 4 2 4" xfId="7340" xr:uid="{00000000-0005-0000-0000-000099230000}"/>
    <cellStyle name="Normal 119 4 2 4 2" xfId="16521" xr:uid="{00000000-0005-0000-0000-00009A230000}"/>
    <cellStyle name="Normal 119 4 2 4 2 2" xfId="33095" xr:uid="{00000000-0005-0000-0000-00009B230000}"/>
    <cellStyle name="Normal 119 4 2 4 3" xfId="25048" xr:uid="{00000000-0005-0000-0000-00009C230000}"/>
    <cellStyle name="Normal 119 4 2 5" xfId="12625" xr:uid="{00000000-0005-0000-0000-00009D230000}"/>
    <cellStyle name="Normal 119 4 2 5 2" xfId="29150" xr:uid="{00000000-0005-0000-0000-00009E230000}"/>
    <cellStyle name="Normal 119 4 2 6" xfId="21107" xr:uid="{00000000-0005-0000-0000-00009F230000}"/>
    <cellStyle name="Normal 119 4 3" xfId="3144" xr:uid="{00000000-0005-0000-0000-0000A0230000}"/>
    <cellStyle name="Normal 119 4 3 2" xfId="3145" xr:uid="{00000000-0005-0000-0000-0000A1230000}"/>
    <cellStyle name="Normal 119 4 3 2 2" xfId="7341" xr:uid="{00000000-0005-0000-0000-0000A2230000}"/>
    <cellStyle name="Normal 119 4 3 2 2 2" xfId="16522" xr:uid="{00000000-0005-0000-0000-0000A3230000}"/>
    <cellStyle name="Normal 119 4 3 2 2 2 2" xfId="33096" xr:uid="{00000000-0005-0000-0000-0000A4230000}"/>
    <cellStyle name="Normal 119 4 3 2 2 3" xfId="25049" xr:uid="{00000000-0005-0000-0000-0000A5230000}"/>
    <cellStyle name="Normal 119 4 3 2 3" xfId="12630" xr:uid="{00000000-0005-0000-0000-0000A6230000}"/>
    <cellStyle name="Normal 119 4 3 2 3 2" xfId="29155" xr:uid="{00000000-0005-0000-0000-0000A7230000}"/>
    <cellStyle name="Normal 119 4 3 2 4" xfId="21112" xr:uid="{00000000-0005-0000-0000-0000A8230000}"/>
    <cellStyle name="Normal 119 4 3 3" xfId="7342" xr:uid="{00000000-0005-0000-0000-0000A9230000}"/>
    <cellStyle name="Normal 119 4 3 3 2" xfId="16523" xr:uid="{00000000-0005-0000-0000-0000AA230000}"/>
    <cellStyle name="Normal 119 4 3 3 2 2" xfId="33097" xr:uid="{00000000-0005-0000-0000-0000AB230000}"/>
    <cellStyle name="Normal 119 4 3 3 3" xfId="25050" xr:uid="{00000000-0005-0000-0000-0000AC230000}"/>
    <cellStyle name="Normal 119 4 3 4" xfId="12629" xr:uid="{00000000-0005-0000-0000-0000AD230000}"/>
    <cellStyle name="Normal 119 4 3 4 2" xfId="29154" xr:uid="{00000000-0005-0000-0000-0000AE230000}"/>
    <cellStyle name="Normal 119 4 3 5" xfId="21111" xr:uid="{00000000-0005-0000-0000-0000AF230000}"/>
    <cellStyle name="Normal 119 4 4" xfId="3146" xr:uid="{00000000-0005-0000-0000-0000B0230000}"/>
    <cellStyle name="Normal 119 4 4 2" xfId="7343" xr:uid="{00000000-0005-0000-0000-0000B1230000}"/>
    <cellStyle name="Normal 119 4 4 2 2" xfId="16524" xr:uid="{00000000-0005-0000-0000-0000B2230000}"/>
    <cellStyle name="Normal 119 4 4 2 2 2" xfId="33098" xr:uid="{00000000-0005-0000-0000-0000B3230000}"/>
    <cellStyle name="Normal 119 4 4 2 3" xfId="25051" xr:uid="{00000000-0005-0000-0000-0000B4230000}"/>
    <cellStyle name="Normal 119 4 4 3" xfId="12631" xr:uid="{00000000-0005-0000-0000-0000B5230000}"/>
    <cellStyle name="Normal 119 4 4 3 2" xfId="29156" xr:uid="{00000000-0005-0000-0000-0000B6230000}"/>
    <cellStyle name="Normal 119 4 4 4" xfId="21113" xr:uid="{00000000-0005-0000-0000-0000B7230000}"/>
    <cellStyle name="Normal 119 4 5" xfId="7344" xr:uid="{00000000-0005-0000-0000-0000B8230000}"/>
    <cellStyle name="Normal 119 4 5 2" xfId="16525" xr:uid="{00000000-0005-0000-0000-0000B9230000}"/>
    <cellStyle name="Normal 119 4 5 2 2" xfId="33099" xr:uid="{00000000-0005-0000-0000-0000BA230000}"/>
    <cellStyle name="Normal 119 4 5 3" xfId="25052" xr:uid="{00000000-0005-0000-0000-0000BB230000}"/>
    <cellStyle name="Normal 119 4 6" xfId="12624" xr:uid="{00000000-0005-0000-0000-0000BC230000}"/>
    <cellStyle name="Normal 119 4 6 2" xfId="29149" xr:uid="{00000000-0005-0000-0000-0000BD230000}"/>
    <cellStyle name="Normal 119 4 7" xfId="21106" xr:uid="{00000000-0005-0000-0000-0000BE230000}"/>
    <cellStyle name="Normal 119 5" xfId="3147" xr:uid="{00000000-0005-0000-0000-0000BF230000}"/>
    <cellStyle name="Normal 119 5 2" xfId="3148" xr:uid="{00000000-0005-0000-0000-0000C0230000}"/>
    <cellStyle name="Normal 119 5 2 2" xfId="3149" xr:uid="{00000000-0005-0000-0000-0000C1230000}"/>
    <cellStyle name="Normal 119 5 2 2 2" xfId="3150" xr:uid="{00000000-0005-0000-0000-0000C2230000}"/>
    <cellStyle name="Normal 119 5 2 2 2 2" xfId="7345" xr:uid="{00000000-0005-0000-0000-0000C3230000}"/>
    <cellStyle name="Normal 119 5 2 2 2 2 2" xfId="16526" xr:uid="{00000000-0005-0000-0000-0000C4230000}"/>
    <cellStyle name="Normal 119 5 2 2 2 2 2 2" xfId="33100" xr:uid="{00000000-0005-0000-0000-0000C5230000}"/>
    <cellStyle name="Normal 119 5 2 2 2 2 3" xfId="25053" xr:uid="{00000000-0005-0000-0000-0000C6230000}"/>
    <cellStyle name="Normal 119 5 2 2 2 3" xfId="12635" xr:uid="{00000000-0005-0000-0000-0000C7230000}"/>
    <cellStyle name="Normal 119 5 2 2 2 3 2" xfId="29160" xr:uid="{00000000-0005-0000-0000-0000C8230000}"/>
    <cellStyle name="Normal 119 5 2 2 2 4" xfId="21117" xr:uid="{00000000-0005-0000-0000-0000C9230000}"/>
    <cellStyle name="Normal 119 5 2 2 3" xfId="7346" xr:uid="{00000000-0005-0000-0000-0000CA230000}"/>
    <cellStyle name="Normal 119 5 2 2 3 2" xfId="16527" xr:uid="{00000000-0005-0000-0000-0000CB230000}"/>
    <cellStyle name="Normal 119 5 2 2 3 2 2" xfId="33101" xr:uid="{00000000-0005-0000-0000-0000CC230000}"/>
    <cellStyle name="Normal 119 5 2 2 3 3" xfId="25054" xr:uid="{00000000-0005-0000-0000-0000CD230000}"/>
    <cellStyle name="Normal 119 5 2 2 4" xfId="12634" xr:uid="{00000000-0005-0000-0000-0000CE230000}"/>
    <cellStyle name="Normal 119 5 2 2 4 2" xfId="29159" xr:uid="{00000000-0005-0000-0000-0000CF230000}"/>
    <cellStyle name="Normal 119 5 2 2 5" xfId="21116" xr:uid="{00000000-0005-0000-0000-0000D0230000}"/>
    <cellStyle name="Normal 119 5 2 3" xfId="3151" xr:uid="{00000000-0005-0000-0000-0000D1230000}"/>
    <cellStyle name="Normal 119 5 2 3 2" xfId="7347" xr:uid="{00000000-0005-0000-0000-0000D2230000}"/>
    <cellStyle name="Normal 119 5 2 3 2 2" xfId="16528" xr:uid="{00000000-0005-0000-0000-0000D3230000}"/>
    <cellStyle name="Normal 119 5 2 3 2 2 2" xfId="33102" xr:uid="{00000000-0005-0000-0000-0000D4230000}"/>
    <cellStyle name="Normal 119 5 2 3 2 3" xfId="25055" xr:uid="{00000000-0005-0000-0000-0000D5230000}"/>
    <cellStyle name="Normal 119 5 2 3 3" xfId="12636" xr:uid="{00000000-0005-0000-0000-0000D6230000}"/>
    <cellStyle name="Normal 119 5 2 3 3 2" xfId="29161" xr:uid="{00000000-0005-0000-0000-0000D7230000}"/>
    <cellStyle name="Normal 119 5 2 3 4" xfId="21118" xr:uid="{00000000-0005-0000-0000-0000D8230000}"/>
    <cellStyle name="Normal 119 5 2 4" xfId="7348" xr:uid="{00000000-0005-0000-0000-0000D9230000}"/>
    <cellStyle name="Normal 119 5 2 4 2" xfId="16529" xr:uid="{00000000-0005-0000-0000-0000DA230000}"/>
    <cellStyle name="Normal 119 5 2 4 2 2" xfId="33103" xr:uid="{00000000-0005-0000-0000-0000DB230000}"/>
    <cellStyle name="Normal 119 5 2 4 3" xfId="25056" xr:uid="{00000000-0005-0000-0000-0000DC230000}"/>
    <cellStyle name="Normal 119 5 2 5" xfId="12633" xr:uid="{00000000-0005-0000-0000-0000DD230000}"/>
    <cellStyle name="Normal 119 5 2 5 2" xfId="29158" xr:uid="{00000000-0005-0000-0000-0000DE230000}"/>
    <cellStyle name="Normal 119 5 2 6" xfId="21115" xr:uid="{00000000-0005-0000-0000-0000DF230000}"/>
    <cellStyle name="Normal 119 5 3" xfId="3152" xr:uid="{00000000-0005-0000-0000-0000E0230000}"/>
    <cellStyle name="Normal 119 5 3 2" xfId="3153" xr:uid="{00000000-0005-0000-0000-0000E1230000}"/>
    <cellStyle name="Normal 119 5 3 2 2" xfId="7349" xr:uid="{00000000-0005-0000-0000-0000E2230000}"/>
    <cellStyle name="Normal 119 5 3 2 2 2" xfId="16530" xr:uid="{00000000-0005-0000-0000-0000E3230000}"/>
    <cellStyle name="Normal 119 5 3 2 2 2 2" xfId="33104" xr:uid="{00000000-0005-0000-0000-0000E4230000}"/>
    <cellStyle name="Normal 119 5 3 2 2 3" xfId="25057" xr:uid="{00000000-0005-0000-0000-0000E5230000}"/>
    <cellStyle name="Normal 119 5 3 2 3" xfId="12638" xr:uid="{00000000-0005-0000-0000-0000E6230000}"/>
    <cellStyle name="Normal 119 5 3 2 3 2" xfId="29163" xr:uid="{00000000-0005-0000-0000-0000E7230000}"/>
    <cellStyle name="Normal 119 5 3 2 4" xfId="21120" xr:uid="{00000000-0005-0000-0000-0000E8230000}"/>
    <cellStyle name="Normal 119 5 3 3" xfId="7350" xr:uid="{00000000-0005-0000-0000-0000E9230000}"/>
    <cellStyle name="Normal 119 5 3 3 2" xfId="16531" xr:uid="{00000000-0005-0000-0000-0000EA230000}"/>
    <cellStyle name="Normal 119 5 3 3 2 2" xfId="33105" xr:uid="{00000000-0005-0000-0000-0000EB230000}"/>
    <cellStyle name="Normal 119 5 3 3 3" xfId="25058" xr:uid="{00000000-0005-0000-0000-0000EC230000}"/>
    <cellStyle name="Normal 119 5 3 4" xfId="12637" xr:uid="{00000000-0005-0000-0000-0000ED230000}"/>
    <cellStyle name="Normal 119 5 3 4 2" xfId="29162" xr:uid="{00000000-0005-0000-0000-0000EE230000}"/>
    <cellStyle name="Normal 119 5 3 5" xfId="21119" xr:uid="{00000000-0005-0000-0000-0000EF230000}"/>
    <cellStyle name="Normal 119 5 4" xfId="3154" xr:uid="{00000000-0005-0000-0000-0000F0230000}"/>
    <cellStyle name="Normal 119 5 4 2" xfId="7351" xr:uid="{00000000-0005-0000-0000-0000F1230000}"/>
    <cellStyle name="Normal 119 5 4 2 2" xfId="16532" xr:uid="{00000000-0005-0000-0000-0000F2230000}"/>
    <cellStyle name="Normal 119 5 4 2 2 2" xfId="33106" xr:uid="{00000000-0005-0000-0000-0000F3230000}"/>
    <cellStyle name="Normal 119 5 4 2 3" xfId="25059" xr:uid="{00000000-0005-0000-0000-0000F4230000}"/>
    <cellStyle name="Normal 119 5 4 3" xfId="12639" xr:uid="{00000000-0005-0000-0000-0000F5230000}"/>
    <cellStyle name="Normal 119 5 4 3 2" xfId="29164" xr:uid="{00000000-0005-0000-0000-0000F6230000}"/>
    <cellStyle name="Normal 119 5 4 4" xfId="21121" xr:uid="{00000000-0005-0000-0000-0000F7230000}"/>
    <cellStyle name="Normal 119 5 5" xfId="7352" xr:uid="{00000000-0005-0000-0000-0000F8230000}"/>
    <cellStyle name="Normal 119 5 5 2" xfId="16533" xr:uid="{00000000-0005-0000-0000-0000F9230000}"/>
    <cellStyle name="Normal 119 5 5 2 2" xfId="33107" xr:uid="{00000000-0005-0000-0000-0000FA230000}"/>
    <cellStyle name="Normal 119 5 5 3" xfId="25060" xr:uid="{00000000-0005-0000-0000-0000FB230000}"/>
    <cellStyle name="Normal 119 5 6" xfId="12632" xr:uid="{00000000-0005-0000-0000-0000FC230000}"/>
    <cellStyle name="Normal 119 5 6 2" xfId="29157" xr:uid="{00000000-0005-0000-0000-0000FD230000}"/>
    <cellStyle name="Normal 119 5 7" xfId="21114" xr:uid="{00000000-0005-0000-0000-0000FE230000}"/>
    <cellStyle name="Normal 119 6" xfId="3155" xr:uid="{00000000-0005-0000-0000-0000FF230000}"/>
    <cellStyle name="Normal 119 6 2" xfId="3156" xr:uid="{00000000-0005-0000-0000-000000240000}"/>
    <cellStyle name="Normal 119 6 2 2" xfId="3157" xr:uid="{00000000-0005-0000-0000-000001240000}"/>
    <cellStyle name="Normal 119 6 2 2 2" xfId="7353" xr:uid="{00000000-0005-0000-0000-000002240000}"/>
    <cellStyle name="Normal 119 6 2 2 2 2" xfId="16534" xr:uid="{00000000-0005-0000-0000-000003240000}"/>
    <cellStyle name="Normal 119 6 2 2 2 2 2" xfId="33108" xr:uid="{00000000-0005-0000-0000-000004240000}"/>
    <cellStyle name="Normal 119 6 2 2 2 3" xfId="25061" xr:uid="{00000000-0005-0000-0000-000005240000}"/>
    <cellStyle name="Normal 119 6 2 2 3" xfId="12642" xr:uid="{00000000-0005-0000-0000-000006240000}"/>
    <cellStyle name="Normal 119 6 2 2 3 2" xfId="29167" xr:uid="{00000000-0005-0000-0000-000007240000}"/>
    <cellStyle name="Normal 119 6 2 2 4" xfId="21124" xr:uid="{00000000-0005-0000-0000-000008240000}"/>
    <cellStyle name="Normal 119 6 2 3" xfId="7354" xr:uid="{00000000-0005-0000-0000-000009240000}"/>
    <cellStyle name="Normal 119 6 2 3 2" xfId="16535" xr:uid="{00000000-0005-0000-0000-00000A240000}"/>
    <cellStyle name="Normal 119 6 2 3 2 2" xfId="33109" xr:uid="{00000000-0005-0000-0000-00000B240000}"/>
    <cellStyle name="Normal 119 6 2 3 3" xfId="25062" xr:uid="{00000000-0005-0000-0000-00000C240000}"/>
    <cellStyle name="Normal 119 6 2 4" xfId="12641" xr:uid="{00000000-0005-0000-0000-00000D240000}"/>
    <cellStyle name="Normal 119 6 2 4 2" xfId="29166" xr:uid="{00000000-0005-0000-0000-00000E240000}"/>
    <cellStyle name="Normal 119 6 2 5" xfId="21123" xr:uid="{00000000-0005-0000-0000-00000F240000}"/>
    <cellStyle name="Normal 119 6 3" xfId="3158" xr:uid="{00000000-0005-0000-0000-000010240000}"/>
    <cellStyle name="Normal 119 6 3 2" xfId="7355" xr:uid="{00000000-0005-0000-0000-000011240000}"/>
    <cellStyle name="Normal 119 6 3 2 2" xfId="16536" xr:uid="{00000000-0005-0000-0000-000012240000}"/>
    <cellStyle name="Normal 119 6 3 2 2 2" xfId="33110" xr:uid="{00000000-0005-0000-0000-000013240000}"/>
    <cellStyle name="Normal 119 6 3 2 3" xfId="25063" xr:uid="{00000000-0005-0000-0000-000014240000}"/>
    <cellStyle name="Normal 119 6 3 3" xfId="12643" xr:uid="{00000000-0005-0000-0000-000015240000}"/>
    <cellStyle name="Normal 119 6 3 3 2" xfId="29168" xr:uid="{00000000-0005-0000-0000-000016240000}"/>
    <cellStyle name="Normal 119 6 3 4" xfId="21125" xr:uid="{00000000-0005-0000-0000-000017240000}"/>
    <cellStyle name="Normal 119 6 4" xfId="7356" xr:uid="{00000000-0005-0000-0000-000018240000}"/>
    <cellStyle name="Normal 119 6 4 2" xfId="16537" xr:uid="{00000000-0005-0000-0000-000019240000}"/>
    <cellStyle name="Normal 119 6 4 2 2" xfId="33111" xr:uid="{00000000-0005-0000-0000-00001A240000}"/>
    <cellStyle name="Normal 119 6 4 3" xfId="25064" xr:uid="{00000000-0005-0000-0000-00001B240000}"/>
    <cellStyle name="Normal 119 6 5" xfId="12640" xr:uid="{00000000-0005-0000-0000-00001C240000}"/>
    <cellStyle name="Normal 119 6 5 2" xfId="29165" xr:uid="{00000000-0005-0000-0000-00001D240000}"/>
    <cellStyle name="Normal 119 6 6" xfId="21122" xr:uid="{00000000-0005-0000-0000-00001E240000}"/>
    <cellStyle name="Normal 119 7" xfId="3159" xr:uid="{00000000-0005-0000-0000-00001F240000}"/>
    <cellStyle name="Normal 119 7 2" xfId="3160" xr:uid="{00000000-0005-0000-0000-000020240000}"/>
    <cellStyle name="Normal 119 7 2 2" xfId="7357" xr:uid="{00000000-0005-0000-0000-000021240000}"/>
    <cellStyle name="Normal 119 7 2 2 2" xfId="16538" xr:uid="{00000000-0005-0000-0000-000022240000}"/>
    <cellStyle name="Normal 119 7 2 2 2 2" xfId="33112" xr:uid="{00000000-0005-0000-0000-000023240000}"/>
    <cellStyle name="Normal 119 7 2 2 3" xfId="25065" xr:uid="{00000000-0005-0000-0000-000024240000}"/>
    <cellStyle name="Normal 119 7 2 3" xfId="12645" xr:uid="{00000000-0005-0000-0000-000025240000}"/>
    <cellStyle name="Normal 119 7 2 3 2" xfId="29170" xr:uid="{00000000-0005-0000-0000-000026240000}"/>
    <cellStyle name="Normal 119 7 2 4" xfId="21127" xr:uid="{00000000-0005-0000-0000-000027240000}"/>
    <cellStyle name="Normal 119 7 3" xfId="7358" xr:uid="{00000000-0005-0000-0000-000028240000}"/>
    <cellStyle name="Normal 119 7 3 2" xfId="16539" xr:uid="{00000000-0005-0000-0000-000029240000}"/>
    <cellStyle name="Normal 119 7 3 2 2" xfId="33113" xr:uid="{00000000-0005-0000-0000-00002A240000}"/>
    <cellStyle name="Normal 119 7 3 3" xfId="25066" xr:uid="{00000000-0005-0000-0000-00002B240000}"/>
    <cellStyle name="Normal 119 7 4" xfId="12644" xr:uid="{00000000-0005-0000-0000-00002C240000}"/>
    <cellStyle name="Normal 119 7 4 2" xfId="29169" xr:uid="{00000000-0005-0000-0000-00002D240000}"/>
    <cellStyle name="Normal 119 7 5" xfId="21126" xr:uid="{00000000-0005-0000-0000-00002E240000}"/>
    <cellStyle name="Normal 119 8" xfId="3161" xr:uid="{00000000-0005-0000-0000-00002F240000}"/>
    <cellStyle name="Normal 119 8 2" xfId="7359" xr:uid="{00000000-0005-0000-0000-000030240000}"/>
    <cellStyle name="Normal 119 8 2 2" xfId="16540" xr:uid="{00000000-0005-0000-0000-000031240000}"/>
    <cellStyle name="Normal 119 8 2 2 2" xfId="33114" xr:uid="{00000000-0005-0000-0000-000032240000}"/>
    <cellStyle name="Normal 119 8 2 3" xfId="25067" xr:uid="{00000000-0005-0000-0000-000033240000}"/>
    <cellStyle name="Normal 119 8 3" xfId="12646" xr:uid="{00000000-0005-0000-0000-000034240000}"/>
    <cellStyle name="Normal 119 8 3 2" xfId="29171" xr:uid="{00000000-0005-0000-0000-000035240000}"/>
    <cellStyle name="Normal 119 8 4" xfId="21128" xr:uid="{00000000-0005-0000-0000-000036240000}"/>
    <cellStyle name="Normal 119 9" xfId="7360" xr:uid="{00000000-0005-0000-0000-000037240000}"/>
    <cellStyle name="Normal 119 9 2" xfId="16541" xr:uid="{00000000-0005-0000-0000-000038240000}"/>
    <cellStyle name="Normal 119 9 2 2" xfId="33115" xr:uid="{00000000-0005-0000-0000-000039240000}"/>
    <cellStyle name="Normal 119 9 3" xfId="25068" xr:uid="{00000000-0005-0000-0000-00003A240000}"/>
    <cellStyle name="Normal 12" xfId="466" xr:uid="{00000000-0005-0000-0000-00003B240000}"/>
    <cellStyle name="Normal 12 10" xfId="3162" xr:uid="{00000000-0005-0000-0000-00003C240000}"/>
    <cellStyle name="Normal 12 10 2" xfId="29172" xr:uid="{00000000-0005-0000-0000-00003D240000}"/>
    <cellStyle name="Normal 12 11" xfId="21129" xr:uid="{00000000-0005-0000-0000-00003E240000}"/>
    <cellStyle name="Normal 12 2" xfId="1655" xr:uid="{00000000-0005-0000-0000-00003F240000}"/>
    <cellStyle name="Normal 12 2 2" xfId="3164" xr:uid="{00000000-0005-0000-0000-000040240000}"/>
    <cellStyle name="Normal 12 2 3" xfId="3163" xr:uid="{00000000-0005-0000-0000-000041240000}"/>
    <cellStyle name="Normal 12 2 3 2" xfId="29173" xr:uid="{00000000-0005-0000-0000-000042240000}"/>
    <cellStyle name="Normal 12 2 4" xfId="21130" xr:uid="{00000000-0005-0000-0000-000043240000}"/>
    <cellStyle name="Normal 12 3" xfId="3165" xr:uid="{00000000-0005-0000-0000-000044240000}"/>
    <cellStyle name="Normal 12 3 2" xfId="3166" xr:uid="{00000000-0005-0000-0000-000045240000}"/>
    <cellStyle name="Normal 12 3 2 2" xfId="3167" xr:uid="{00000000-0005-0000-0000-000046240000}"/>
    <cellStyle name="Normal 12 3 2 2 2" xfId="3168" xr:uid="{00000000-0005-0000-0000-000047240000}"/>
    <cellStyle name="Normal 12 3 2 2 2 2" xfId="3169" xr:uid="{00000000-0005-0000-0000-000048240000}"/>
    <cellStyle name="Normal 12 3 2 2 2 2 2" xfId="12650" xr:uid="{00000000-0005-0000-0000-000049240000}"/>
    <cellStyle name="Normal 12 3 2 2 2 2 2 2" xfId="29177" xr:uid="{00000000-0005-0000-0000-00004A240000}"/>
    <cellStyle name="Normal 12 3 2 2 2 2 3" xfId="21134" xr:uid="{00000000-0005-0000-0000-00004B240000}"/>
    <cellStyle name="Normal 12 3 2 2 2 3" xfId="12649" xr:uid="{00000000-0005-0000-0000-00004C240000}"/>
    <cellStyle name="Normal 12 3 2 2 2 3 2" xfId="29176" xr:uid="{00000000-0005-0000-0000-00004D240000}"/>
    <cellStyle name="Normal 12 3 2 2 2 4" xfId="21133" xr:uid="{00000000-0005-0000-0000-00004E240000}"/>
    <cellStyle name="Normal 12 3 2 2 3" xfId="7361" xr:uid="{00000000-0005-0000-0000-00004F240000}"/>
    <cellStyle name="Normal 12 3 2 2 3 2" xfId="16542" xr:uid="{00000000-0005-0000-0000-000050240000}"/>
    <cellStyle name="Normal 12 3 2 2 3 2 2" xfId="33116" xr:uid="{00000000-0005-0000-0000-000051240000}"/>
    <cellStyle name="Normal 12 3 2 2 3 3" xfId="25069" xr:uid="{00000000-0005-0000-0000-000052240000}"/>
    <cellStyle name="Normal 12 3 2 2 4" xfId="12648" xr:uid="{00000000-0005-0000-0000-000053240000}"/>
    <cellStyle name="Normal 12 3 2 2 4 2" xfId="29175" xr:uid="{00000000-0005-0000-0000-000054240000}"/>
    <cellStyle name="Normal 12 3 2 2 5" xfId="21132" xr:uid="{00000000-0005-0000-0000-000055240000}"/>
    <cellStyle name="Normal 12 3 2 3" xfId="3170" xr:uid="{00000000-0005-0000-0000-000056240000}"/>
    <cellStyle name="Normal 12 3 2 3 2" xfId="7362" xr:uid="{00000000-0005-0000-0000-000057240000}"/>
    <cellStyle name="Normal 12 3 2 3 2 2" xfId="16543" xr:uid="{00000000-0005-0000-0000-000058240000}"/>
    <cellStyle name="Normal 12 3 2 3 2 2 2" xfId="33117" xr:uid="{00000000-0005-0000-0000-000059240000}"/>
    <cellStyle name="Normal 12 3 2 3 2 3" xfId="25070" xr:uid="{00000000-0005-0000-0000-00005A240000}"/>
    <cellStyle name="Normal 12 3 2 3 3" xfId="12651" xr:uid="{00000000-0005-0000-0000-00005B240000}"/>
    <cellStyle name="Normal 12 3 2 3 3 2" xfId="29178" xr:uid="{00000000-0005-0000-0000-00005C240000}"/>
    <cellStyle name="Normal 12 3 2 3 4" xfId="21135" xr:uid="{00000000-0005-0000-0000-00005D240000}"/>
    <cellStyle name="Normal 12 3 2 4" xfId="7363" xr:uid="{00000000-0005-0000-0000-00005E240000}"/>
    <cellStyle name="Normal 12 3 2 4 2" xfId="16544" xr:uid="{00000000-0005-0000-0000-00005F240000}"/>
    <cellStyle name="Normal 12 3 2 4 2 2" xfId="33118" xr:uid="{00000000-0005-0000-0000-000060240000}"/>
    <cellStyle name="Normal 12 3 2 4 3" xfId="25071" xr:uid="{00000000-0005-0000-0000-000061240000}"/>
    <cellStyle name="Normal 12 3 2 5" xfId="12647" xr:uid="{00000000-0005-0000-0000-000062240000}"/>
    <cellStyle name="Normal 12 3 2 5 2" xfId="29174" xr:uid="{00000000-0005-0000-0000-000063240000}"/>
    <cellStyle name="Normal 12 3 2 6" xfId="21131" xr:uid="{00000000-0005-0000-0000-000064240000}"/>
    <cellStyle name="Normal 12 3 3" xfId="3171" xr:uid="{00000000-0005-0000-0000-000065240000}"/>
    <cellStyle name="Normal 12 3 3 2" xfId="3172" xr:uid="{00000000-0005-0000-0000-000066240000}"/>
    <cellStyle name="Normal 12 3 3 2 2" xfId="7364" xr:uid="{00000000-0005-0000-0000-000067240000}"/>
    <cellStyle name="Normal 12 3 3 2 2 2" xfId="16545" xr:uid="{00000000-0005-0000-0000-000068240000}"/>
    <cellStyle name="Normal 12 3 3 2 2 2 2" xfId="33119" xr:uid="{00000000-0005-0000-0000-000069240000}"/>
    <cellStyle name="Normal 12 3 3 2 2 3" xfId="25072" xr:uid="{00000000-0005-0000-0000-00006A240000}"/>
    <cellStyle name="Normal 12 3 3 2 3" xfId="12653" xr:uid="{00000000-0005-0000-0000-00006B240000}"/>
    <cellStyle name="Normal 12 3 3 2 3 2" xfId="29180" xr:uid="{00000000-0005-0000-0000-00006C240000}"/>
    <cellStyle name="Normal 12 3 3 2 4" xfId="21137" xr:uid="{00000000-0005-0000-0000-00006D240000}"/>
    <cellStyle name="Normal 12 3 3 3" xfId="7365" xr:uid="{00000000-0005-0000-0000-00006E240000}"/>
    <cellStyle name="Normal 12 3 3 3 2" xfId="16546" xr:uid="{00000000-0005-0000-0000-00006F240000}"/>
    <cellStyle name="Normal 12 3 3 3 2 2" xfId="33120" xr:uid="{00000000-0005-0000-0000-000070240000}"/>
    <cellStyle name="Normal 12 3 3 3 3" xfId="25073" xr:uid="{00000000-0005-0000-0000-000071240000}"/>
    <cellStyle name="Normal 12 3 3 4" xfId="12652" xr:uid="{00000000-0005-0000-0000-000072240000}"/>
    <cellStyle name="Normal 12 3 3 4 2" xfId="29179" xr:uid="{00000000-0005-0000-0000-000073240000}"/>
    <cellStyle name="Normal 12 3 3 5" xfId="21136" xr:uid="{00000000-0005-0000-0000-000074240000}"/>
    <cellStyle name="Normal 12 3 4" xfId="3173" xr:uid="{00000000-0005-0000-0000-000075240000}"/>
    <cellStyle name="Normal 12 3 4 2" xfId="7366" xr:uid="{00000000-0005-0000-0000-000076240000}"/>
    <cellStyle name="Normal 12 3 4 2 2" xfId="16547" xr:uid="{00000000-0005-0000-0000-000077240000}"/>
    <cellStyle name="Normal 12 3 4 2 2 2" xfId="33121" xr:uid="{00000000-0005-0000-0000-000078240000}"/>
    <cellStyle name="Normal 12 3 4 2 3" xfId="25074" xr:uid="{00000000-0005-0000-0000-000079240000}"/>
    <cellStyle name="Normal 12 3 4 3" xfId="12654" xr:uid="{00000000-0005-0000-0000-00007A240000}"/>
    <cellStyle name="Normal 12 3 4 3 2" xfId="29181" xr:uid="{00000000-0005-0000-0000-00007B240000}"/>
    <cellStyle name="Normal 12 3 4 4" xfId="21138" xr:uid="{00000000-0005-0000-0000-00007C240000}"/>
    <cellStyle name="Normal 12 3 5" xfId="7367" xr:uid="{00000000-0005-0000-0000-00007D240000}"/>
    <cellStyle name="Normal 12 3 5 2" xfId="16548" xr:uid="{00000000-0005-0000-0000-00007E240000}"/>
    <cellStyle name="Normal 12 3 5 2 2" xfId="33122" xr:uid="{00000000-0005-0000-0000-00007F240000}"/>
    <cellStyle name="Normal 12 3 5 3" xfId="25075" xr:uid="{00000000-0005-0000-0000-000080240000}"/>
    <cellStyle name="Normal 12 4" xfId="3174" xr:uid="{00000000-0005-0000-0000-000081240000}"/>
    <cellStyle name="Normal 12 4 2" xfId="3175" xr:uid="{00000000-0005-0000-0000-000082240000}"/>
    <cellStyle name="Normal 12 4 2 2" xfId="3176" xr:uid="{00000000-0005-0000-0000-000083240000}"/>
    <cellStyle name="Normal 12 4 2 2 2" xfId="3177" xr:uid="{00000000-0005-0000-0000-000084240000}"/>
    <cellStyle name="Normal 12 4 2 2 2 2" xfId="7368" xr:uid="{00000000-0005-0000-0000-000085240000}"/>
    <cellStyle name="Normal 12 4 2 2 2 2 2" xfId="16549" xr:uid="{00000000-0005-0000-0000-000086240000}"/>
    <cellStyle name="Normal 12 4 2 2 2 2 2 2" xfId="33123" xr:uid="{00000000-0005-0000-0000-000087240000}"/>
    <cellStyle name="Normal 12 4 2 2 2 2 3" xfId="25076" xr:uid="{00000000-0005-0000-0000-000088240000}"/>
    <cellStyle name="Normal 12 4 2 2 2 3" xfId="12658" xr:uid="{00000000-0005-0000-0000-000089240000}"/>
    <cellStyle name="Normal 12 4 2 2 2 3 2" xfId="29185" xr:uid="{00000000-0005-0000-0000-00008A240000}"/>
    <cellStyle name="Normal 12 4 2 2 2 4" xfId="21142" xr:uid="{00000000-0005-0000-0000-00008B240000}"/>
    <cellStyle name="Normal 12 4 2 2 3" xfId="7369" xr:uid="{00000000-0005-0000-0000-00008C240000}"/>
    <cellStyle name="Normal 12 4 2 2 3 2" xfId="16550" xr:uid="{00000000-0005-0000-0000-00008D240000}"/>
    <cellStyle name="Normal 12 4 2 2 3 2 2" xfId="33124" xr:uid="{00000000-0005-0000-0000-00008E240000}"/>
    <cellStyle name="Normal 12 4 2 2 3 3" xfId="25077" xr:uid="{00000000-0005-0000-0000-00008F240000}"/>
    <cellStyle name="Normal 12 4 2 2 4" xfId="12657" xr:uid="{00000000-0005-0000-0000-000090240000}"/>
    <cellStyle name="Normal 12 4 2 2 4 2" xfId="29184" xr:uid="{00000000-0005-0000-0000-000091240000}"/>
    <cellStyle name="Normal 12 4 2 2 5" xfId="21141" xr:uid="{00000000-0005-0000-0000-000092240000}"/>
    <cellStyle name="Normal 12 4 2 3" xfId="3178" xr:uid="{00000000-0005-0000-0000-000093240000}"/>
    <cellStyle name="Normal 12 4 2 3 2" xfId="7370" xr:uid="{00000000-0005-0000-0000-000094240000}"/>
    <cellStyle name="Normal 12 4 2 3 2 2" xfId="16551" xr:uid="{00000000-0005-0000-0000-000095240000}"/>
    <cellStyle name="Normal 12 4 2 3 2 2 2" xfId="33125" xr:uid="{00000000-0005-0000-0000-000096240000}"/>
    <cellStyle name="Normal 12 4 2 3 2 3" xfId="25078" xr:uid="{00000000-0005-0000-0000-000097240000}"/>
    <cellStyle name="Normal 12 4 2 3 3" xfId="12659" xr:uid="{00000000-0005-0000-0000-000098240000}"/>
    <cellStyle name="Normal 12 4 2 3 3 2" xfId="29186" xr:uid="{00000000-0005-0000-0000-000099240000}"/>
    <cellStyle name="Normal 12 4 2 3 4" xfId="21143" xr:uid="{00000000-0005-0000-0000-00009A240000}"/>
    <cellStyle name="Normal 12 4 2 4" xfId="7371" xr:uid="{00000000-0005-0000-0000-00009B240000}"/>
    <cellStyle name="Normal 12 4 2 4 2" xfId="16552" xr:uid="{00000000-0005-0000-0000-00009C240000}"/>
    <cellStyle name="Normal 12 4 2 4 2 2" xfId="33126" xr:uid="{00000000-0005-0000-0000-00009D240000}"/>
    <cellStyle name="Normal 12 4 2 4 3" xfId="25079" xr:uid="{00000000-0005-0000-0000-00009E240000}"/>
    <cellStyle name="Normal 12 4 2 5" xfId="12656" xr:uid="{00000000-0005-0000-0000-00009F240000}"/>
    <cellStyle name="Normal 12 4 2 5 2" xfId="29183" xr:uid="{00000000-0005-0000-0000-0000A0240000}"/>
    <cellStyle name="Normal 12 4 2 6" xfId="21140" xr:uid="{00000000-0005-0000-0000-0000A1240000}"/>
    <cellStyle name="Normal 12 4 3" xfId="3179" xr:uid="{00000000-0005-0000-0000-0000A2240000}"/>
    <cellStyle name="Normal 12 4 3 2" xfId="3180" xr:uid="{00000000-0005-0000-0000-0000A3240000}"/>
    <cellStyle name="Normal 12 4 3 2 2" xfId="7372" xr:uid="{00000000-0005-0000-0000-0000A4240000}"/>
    <cellStyle name="Normal 12 4 3 2 2 2" xfId="16553" xr:uid="{00000000-0005-0000-0000-0000A5240000}"/>
    <cellStyle name="Normal 12 4 3 2 2 2 2" xfId="33127" xr:uid="{00000000-0005-0000-0000-0000A6240000}"/>
    <cellStyle name="Normal 12 4 3 2 2 3" xfId="25080" xr:uid="{00000000-0005-0000-0000-0000A7240000}"/>
    <cellStyle name="Normal 12 4 3 2 3" xfId="12661" xr:uid="{00000000-0005-0000-0000-0000A8240000}"/>
    <cellStyle name="Normal 12 4 3 2 3 2" xfId="29188" xr:uid="{00000000-0005-0000-0000-0000A9240000}"/>
    <cellStyle name="Normal 12 4 3 2 4" xfId="21145" xr:uid="{00000000-0005-0000-0000-0000AA240000}"/>
    <cellStyle name="Normal 12 4 3 3" xfId="7373" xr:uid="{00000000-0005-0000-0000-0000AB240000}"/>
    <cellStyle name="Normal 12 4 3 3 2" xfId="16554" xr:uid="{00000000-0005-0000-0000-0000AC240000}"/>
    <cellStyle name="Normal 12 4 3 3 2 2" xfId="33128" xr:uid="{00000000-0005-0000-0000-0000AD240000}"/>
    <cellStyle name="Normal 12 4 3 3 3" xfId="25081" xr:uid="{00000000-0005-0000-0000-0000AE240000}"/>
    <cellStyle name="Normal 12 4 3 4" xfId="12660" xr:uid="{00000000-0005-0000-0000-0000AF240000}"/>
    <cellStyle name="Normal 12 4 3 4 2" xfId="29187" xr:uid="{00000000-0005-0000-0000-0000B0240000}"/>
    <cellStyle name="Normal 12 4 3 5" xfId="21144" xr:uid="{00000000-0005-0000-0000-0000B1240000}"/>
    <cellStyle name="Normal 12 4 4" xfId="3181" xr:uid="{00000000-0005-0000-0000-0000B2240000}"/>
    <cellStyle name="Normal 12 4 4 2" xfId="7374" xr:uid="{00000000-0005-0000-0000-0000B3240000}"/>
    <cellStyle name="Normal 12 4 4 2 2" xfId="16555" xr:uid="{00000000-0005-0000-0000-0000B4240000}"/>
    <cellStyle name="Normal 12 4 4 2 2 2" xfId="33129" xr:uid="{00000000-0005-0000-0000-0000B5240000}"/>
    <cellStyle name="Normal 12 4 4 2 3" xfId="25082" xr:uid="{00000000-0005-0000-0000-0000B6240000}"/>
    <cellStyle name="Normal 12 4 4 3" xfId="12662" xr:uid="{00000000-0005-0000-0000-0000B7240000}"/>
    <cellStyle name="Normal 12 4 4 3 2" xfId="29189" xr:uid="{00000000-0005-0000-0000-0000B8240000}"/>
    <cellStyle name="Normal 12 4 4 4" xfId="21146" xr:uid="{00000000-0005-0000-0000-0000B9240000}"/>
    <cellStyle name="Normal 12 4 5" xfId="7375" xr:uid="{00000000-0005-0000-0000-0000BA240000}"/>
    <cellStyle name="Normal 12 4 5 2" xfId="16556" xr:uid="{00000000-0005-0000-0000-0000BB240000}"/>
    <cellStyle name="Normal 12 4 5 2 2" xfId="33130" xr:uid="{00000000-0005-0000-0000-0000BC240000}"/>
    <cellStyle name="Normal 12 4 5 3" xfId="25083" xr:uid="{00000000-0005-0000-0000-0000BD240000}"/>
    <cellStyle name="Normal 12 4 6" xfId="12655" xr:uid="{00000000-0005-0000-0000-0000BE240000}"/>
    <cellStyle name="Normal 12 4 6 2" xfId="29182" xr:uid="{00000000-0005-0000-0000-0000BF240000}"/>
    <cellStyle name="Normal 12 4 7" xfId="21139" xr:uid="{00000000-0005-0000-0000-0000C0240000}"/>
    <cellStyle name="Normal 12 5" xfId="3182" xr:uid="{00000000-0005-0000-0000-0000C1240000}"/>
    <cellStyle name="Normal 12 5 2" xfId="3183" xr:uid="{00000000-0005-0000-0000-0000C2240000}"/>
    <cellStyle name="Normal 12 5 2 2" xfId="3184" xr:uid="{00000000-0005-0000-0000-0000C3240000}"/>
    <cellStyle name="Normal 12 5 2 2 2" xfId="3185" xr:uid="{00000000-0005-0000-0000-0000C4240000}"/>
    <cellStyle name="Normal 12 5 2 2 2 2" xfId="7376" xr:uid="{00000000-0005-0000-0000-0000C5240000}"/>
    <cellStyle name="Normal 12 5 2 2 2 2 2" xfId="16557" xr:uid="{00000000-0005-0000-0000-0000C6240000}"/>
    <cellStyle name="Normal 12 5 2 2 2 2 2 2" xfId="33131" xr:uid="{00000000-0005-0000-0000-0000C7240000}"/>
    <cellStyle name="Normal 12 5 2 2 2 2 3" xfId="25084" xr:uid="{00000000-0005-0000-0000-0000C8240000}"/>
    <cellStyle name="Normal 12 5 2 2 2 3" xfId="12666" xr:uid="{00000000-0005-0000-0000-0000C9240000}"/>
    <cellStyle name="Normal 12 5 2 2 2 3 2" xfId="29193" xr:uid="{00000000-0005-0000-0000-0000CA240000}"/>
    <cellStyle name="Normal 12 5 2 2 2 4" xfId="21150" xr:uid="{00000000-0005-0000-0000-0000CB240000}"/>
    <cellStyle name="Normal 12 5 2 2 3" xfId="7377" xr:uid="{00000000-0005-0000-0000-0000CC240000}"/>
    <cellStyle name="Normal 12 5 2 2 3 2" xfId="16558" xr:uid="{00000000-0005-0000-0000-0000CD240000}"/>
    <cellStyle name="Normal 12 5 2 2 3 2 2" xfId="33132" xr:uid="{00000000-0005-0000-0000-0000CE240000}"/>
    <cellStyle name="Normal 12 5 2 2 3 3" xfId="25085" xr:uid="{00000000-0005-0000-0000-0000CF240000}"/>
    <cellStyle name="Normal 12 5 2 2 4" xfId="12665" xr:uid="{00000000-0005-0000-0000-0000D0240000}"/>
    <cellStyle name="Normal 12 5 2 2 4 2" xfId="29192" xr:uid="{00000000-0005-0000-0000-0000D1240000}"/>
    <cellStyle name="Normal 12 5 2 2 5" xfId="21149" xr:uid="{00000000-0005-0000-0000-0000D2240000}"/>
    <cellStyle name="Normal 12 5 2 3" xfId="3186" xr:uid="{00000000-0005-0000-0000-0000D3240000}"/>
    <cellStyle name="Normal 12 5 2 3 2" xfId="7378" xr:uid="{00000000-0005-0000-0000-0000D4240000}"/>
    <cellStyle name="Normal 12 5 2 3 2 2" xfId="16559" xr:uid="{00000000-0005-0000-0000-0000D5240000}"/>
    <cellStyle name="Normal 12 5 2 3 2 2 2" xfId="33133" xr:uid="{00000000-0005-0000-0000-0000D6240000}"/>
    <cellStyle name="Normal 12 5 2 3 2 3" xfId="25086" xr:uid="{00000000-0005-0000-0000-0000D7240000}"/>
    <cellStyle name="Normal 12 5 2 3 3" xfId="12667" xr:uid="{00000000-0005-0000-0000-0000D8240000}"/>
    <cellStyle name="Normal 12 5 2 3 3 2" xfId="29194" xr:uid="{00000000-0005-0000-0000-0000D9240000}"/>
    <cellStyle name="Normal 12 5 2 3 4" xfId="21151" xr:uid="{00000000-0005-0000-0000-0000DA240000}"/>
    <cellStyle name="Normal 12 5 2 4" xfId="7379" xr:uid="{00000000-0005-0000-0000-0000DB240000}"/>
    <cellStyle name="Normal 12 5 2 4 2" xfId="16560" xr:uid="{00000000-0005-0000-0000-0000DC240000}"/>
    <cellStyle name="Normal 12 5 2 4 2 2" xfId="33134" xr:uid="{00000000-0005-0000-0000-0000DD240000}"/>
    <cellStyle name="Normal 12 5 2 4 3" xfId="25087" xr:uid="{00000000-0005-0000-0000-0000DE240000}"/>
    <cellStyle name="Normal 12 5 2 5" xfId="12664" xr:uid="{00000000-0005-0000-0000-0000DF240000}"/>
    <cellStyle name="Normal 12 5 2 5 2" xfId="29191" xr:uid="{00000000-0005-0000-0000-0000E0240000}"/>
    <cellStyle name="Normal 12 5 2 6" xfId="21148" xr:uid="{00000000-0005-0000-0000-0000E1240000}"/>
    <cellStyle name="Normal 12 5 3" xfId="3187" xr:uid="{00000000-0005-0000-0000-0000E2240000}"/>
    <cellStyle name="Normal 12 5 3 2" xfId="3188" xr:uid="{00000000-0005-0000-0000-0000E3240000}"/>
    <cellStyle name="Normal 12 5 3 2 2" xfId="7380" xr:uid="{00000000-0005-0000-0000-0000E4240000}"/>
    <cellStyle name="Normal 12 5 3 2 2 2" xfId="16561" xr:uid="{00000000-0005-0000-0000-0000E5240000}"/>
    <cellStyle name="Normal 12 5 3 2 2 2 2" xfId="33135" xr:uid="{00000000-0005-0000-0000-0000E6240000}"/>
    <cellStyle name="Normal 12 5 3 2 2 3" xfId="25088" xr:uid="{00000000-0005-0000-0000-0000E7240000}"/>
    <cellStyle name="Normal 12 5 3 2 3" xfId="12669" xr:uid="{00000000-0005-0000-0000-0000E8240000}"/>
    <cellStyle name="Normal 12 5 3 2 3 2" xfId="29196" xr:uid="{00000000-0005-0000-0000-0000E9240000}"/>
    <cellStyle name="Normal 12 5 3 2 4" xfId="21153" xr:uid="{00000000-0005-0000-0000-0000EA240000}"/>
    <cellStyle name="Normal 12 5 3 3" xfId="7381" xr:uid="{00000000-0005-0000-0000-0000EB240000}"/>
    <cellStyle name="Normal 12 5 3 3 2" xfId="16562" xr:uid="{00000000-0005-0000-0000-0000EC240000}"/>
    <cellStyle name="Normal 12 5 3 3 2 2" xfId="33136" xr:uid="{00000000-0005-0000-0000-0000ED240000}"/>
    <cellStyle name="Normal 12 5 3 3 3" xfId="25089" xr:uid="{00000000-0005-0000-0000-0000EE240000}"/>
    <cellStyle name="Normal 12 5 3 4" xfId="12668" xr:uid="{00000000-0005-0000-0000-0000EF240000}"/>
    <cellStyle name="Normal 12 5 3 4 2" xfId="29195" xr:uid="{00000000-0005-0000-0000-0000F0240000}"/>
    <cellStyle name="Normal 12 5 3 5" xfId="21152" xr:uid="{00000000-0005-0000-0000-0000F1240000}"/>
    <cellStyle name="Normal 12 5 4" xfId="3189" xr:uid="{00000000-0005-0000-0000-0000F2240000}"/>
    <cellStyle name="Normal 12 5 4 2" xfId="7382" xr:uid="{00000000-0005-0000-0000-0000F3240000}"/>
    <cellStyle name="Normal 12 5 4 2 2" xfId="16563" xr:uid="{00000000-0005-0000-0000-0000F4240000}"/>
    <cellStyle name="Normal 12 5 4 2 2 2" xfId="33137" xr:uid="{00000000-0005-0000-0000-0000F5240000}"/>
    <cellStyle name="Normal 12 5 4 2 3" xfId="25090" xr:uid="{00000000-0005-0000-0000-0000F6240000}"/>
    <cellStyle name="Normal 12 5 4 3" xfId="12670" xr:uid="{00000000-0005-0000-0000-0000F7240000}"/>
    <cellStyle name="Normal 12 5 4 3 2" xfId="29197" xr:uid="{00000000-0005-0000-0000-0000F8240000}"/>
    <cellStyle name="Normal 12 5 4 4" xfId="21154" xr:uid="{00000000-0005-0000-0000-0000F9240000}"/>
    <cellStyle name="Normal 12 5 5" xfId="7383" xr:uid="{00000000-0005-0000-0000-0000FA240000}"/>
    <cellStyle name="Normal 12 5 5 2" xfId="16564" xr:uid="{00000000-0005-0000-0000-0000FB240000}"/>
    <cellStyle name="Normal 12 5 5 2 2" xfId="33138" xr:uid="{00000000-0005-0000-0000-0000FC240000}"/>
    <cellStyle name="Normal 12 5 5 3" xfId="25091" xr:uid="{00000000-0005-0000-0000-0000FD240000}"/>
    <cellStyle name="Normal 12 5 6" xfId="12663" xr:uid="{00000000-0005-0000-0000-0000FE240000}"/>
    <cellStyle name="Normal 12 5 6 2" xfId="29190" xr:uid="{00000000-0005-0000-0000-0000FF240000}"/>
    <cellStyle name="Normal 12 5 7" xfId="21147" xr:uid="{00000000-0005-0000-0000-000000250000}"/>
    <cellStyle name="Normal 12 6" xfId="3190" xr:uid="{00000000-0005-0000-0000-000001250000}"/>
    <cellStyle name="Normal 12 6 2" xfId="3191" xr:uid="{00000000-0005-0000-0000-000002250000}"/>
    <cellStyle name="Normal 12 6 2 2" xfId="3192" xr:uid="{00000000-0005-0000-0000-000003250000}"/>
    <cellStyle name="Normal 12 6 2 2 2" xfId="7384" xr:uid="{00000000-0005-0000-0000-000004250000}"/>
    <cellStyle name="Normal 12 6 2 2 2 2" xfId="16565" xr:uid="{00000000-0005-0000-0000-000005250000}"/>
    <cellStyle name="Normal 12 6 2 2 2 2 2" xfId="33139" xr:uid="{00000000-0005-0000-0000-000006250000}"/>
    <cellStyle name="Normal 12 6 2 2 2 3" xfId="25092" xr:uid="{00000000-0005-0000-0000-000007250000}"/>
    <cellStyle name="Normal 12 6 2 2 3" xfId="12673" xr:uid="{00000000-0005-0000-0000-000008250000}"/>
    <cellStyle name="Normal 12 6 2 2 3 2" xfId="29200" xr:uid="{00000000-0005-0000-0000-000009250000}"/>
    <cellStyle name="Normal 12 6 2 2 4" xfId="21157" xr:uid="{00000000-0005-0000-0000-00000A250000}"/>
    <cellStyle name="Normal 12 6 2 3" xfId="7385" xr:uid="{00000000-0005-0000-0000-00000B250000}"/>
    <cellStyle name="Normal 12 6 2 3 2" xfId="16566" xr:uid="{00000000-0005-0000-0000-00000C250000}"/>
    <cellStyle name="Normal 12 6 2 3 2 2" xfId="33140" xr:uid="{00000000-0005-0000-0000-00000D250000}"/>
    <cellStyle name="Normal 12 6 2 3 3" xfId="25093" xr:uid="{00000000-0005-0000-0000-00000E250000}"/>
    <cellStyle name="Normal 12 6 2 4" xfId="12672" xr:uid="{00000000-0005-0000-0000-00000F250000}"/>
    <cellStyle name="Normal 12 6 2 4 2" xfId="29199" xr:uid="{00000000-0005-0000-0000-000010250000}"/>
    <cellStyle name="Normal 12 6 2 5" xfId="21156" xr:uid="{00000000-0005-0000-0000-000011250000}"/>
    <cellStyle name="Normal 12 6 3" xfId="3193" xr:uid="{00000000-0005-0000-0000-000012250000}"/>
    <cellStyle name="Normal 12 6 3 2" xfId="7386" xr:uid="{00000000-0005-0000-0000-000013250000}"/>
    <cellStyle name="Normal 12 6 3 2 2" xfId="16567" xr:uid="{00000000-0005-0000-0000-000014250000}"/>
    <cellStyle name="Normal 12 6 3 2 2 2" xfId="33141" xr:uid="{00000000-0005-0000-0000-000015250000}"/>
    <cellStyle name="Normal 12 6 3 2 3" xfId="25094" xr:uid="{00000000-0005-0000-0000-000016250000}"/>
    <cellStyle name="Normal 12 6 3 3" xfId="12674" xr:uid="{00000000-0005-0000-0000-000017250000}"/>
    <cellStyle name="Normal 12 6 3 3 2" xfId="29201" xr:uid="{00000000-0005-0000-0000-000018250000}"/>
    <cellStyle name="Normal 12 6 3 4" xfId="21158" xr:uid="{00000000-0005-0000-0000-000019250000}"/>
    <cellStyle name="Normal 12 6 4" xfId="7387" xr:uid="{00000000-0005-0000-0000-00001A250000}"/>
    <cellStyle name="Normal 12 6 4 2" xfId="16568" xr:uid="{00000000-0005-0000-0000-00001B250000}"/>
    <cellStyle name="Normal 12 6 4 2 2" xfId="33142" xr:uid="{00000000-0005-0000-0000-00001C250000}"/>
    <cellStyle name="Normal 12 6 4 3" xfId="25095" xr:uid="{00000000-0005-0000-0000-00001D250000}"/>
    <cellStyle name="Normal 12 6 5" xfId="12671" xr:uid="{00000000-0005-0000-0000-00001E250000}"/>
    <cellStyle name="Normal 12 6 5 2" xfId="29198" xr:uid="{00000000-0005-0000-0000-00001F250000}"/>
    <cellStyle name="Normal 12 6 6" xfId="21155" xr:uid="{00000000-0005-0000-0000-000020250000}"/>
    <cellStyle name="Normal 12 7" xfId="3194" xr:uid="{00000000-0005-0000-0000-000021250000}"/>
    <cellStyle name="Normal 12 7 2" xfId="3195" xr:uid="{00000000-0005-0000-0000-000022250000}"/>
    <cellStyle name="Normal 12 7 2 2" xfId="7388" xr:uid="{00000000-0005-0000-0000-000023250000}"/>
    <cellStyle name="Normal 12 7 2 2 2" xfId="16569" xr:uid="{00000000-0005-0000-0000-000024250000}"/>
    <cellStyle name="Normal 12 7 2 2 2 2" xfId="33143" xr:uid="{00000000-0005-0000-0000-000025250000}"/>
    <cellStyle name="Normal 12 7 2 2 3" xfId="25096" xr:uid="{00000000-0005-0000-0000-000026250000}"/>
    <cellStyle name="Normal 12 7 2 3" xfId="12676" xr:uid="{00000000-0005-0000-0000-000027250000}"/>
    <cellStyle name="Normal 12 7 2 3 2" xfId="29203" xr:uid="{00000000-0005-0000-0000-000028250000}"/>
    <cellStyle name="Normal 12 7 2 4" xfId="21160" xr:uid="{00000000-0005-0000-0000-000029250000}"/>
    <cellStyle name="Normal 12 7 3" xfId="7389" xr:uid="{00000000-0005-0000-0000-00002A250000}"/>
    <cellStyle name="Normal 12 7 3 2" xfId="16570" xr:uid="{00000000-0005-0000-0000-00002B250000}"/>
    <cellStyle name="Normal 12 7 3 2 2" xfId="33144" xr:uid="{00000000-0005-0000-0000-00002C250000}"/>
    <cellStyle name="Normal 12 7 3 3" xfId="25097" xr:uid="{00000000-0005-0000-0000-00002D250000}"/>
    <cellStyle name="Normal 12 7 4" xfId="12675" xr:uid="{00000000-0005-0000-0000-00002E250000}"/>
    <cellStyle name="Normal 12 7 4 2" xfId="29202" xr:uid="{00000000-0005-0000-0000-00002F250000}"/>
    <cellStyle name="Normal 12 7 5" xfId="21159" xr:uid="{00000000-0005-0000-0000-000030250000}"/>
    <cellStyle name="Normal 12 8" xfId="3196" xr:uid="{00000000-0005-0000-0000-000031250000}"/>
    <cellStyle name="Normal 12 8 2" xfId="7390" xr:uid="{00000000-0005-0000-0000-000032250000}"/>
    <cellStyle name="Normal 12 8 2 2" xfId="16571" xr:uid="{00000000-0005-0000-0000-000033250000}"/>
    <cellStyle name="Normal 12 8 2 2 2" xfId="33145" xr:uid="{00000000-0005-0000-0000-000034250000}"/>
    <cellStyle name="Normal 12 8 2 3" xfId="25098" xr:uid="{00000000-0005-0000-0000-000035250000}"/>
    <cellStyle name="Normal 12 8 3" xfId="12677" xr:uid="{00000000-0005-0000-0000-000036250000}"/>
    <cellStyle name="Normal 12 8 3 2" xfId="29204" xr:uid="{00000000-0005-0000-0000-000037250000}"/>
    <cellStyle name="Normal 12 8 4" xfId="21161" xr:uid="{00000000-0005-0000-0000-000038250000}"/>
    <cellStyle name="Normal 12 9" xfId="7391" xr:uid="{00000000-0005-0000-0000-000039250000}"/>
    <cellStyle name="Normal 12 9 2" xfId="16572" xr:uid="{00000000-0005-0000-0000-00003A250000}"/>
    <cellStyle name="Normal 12 9 2 2" xfId="33146" xr:uid="{00000000-0005-0000-0000-00003B250000}"/>
    <cellStyle name="Normal 12 9 3" xfId="25099" xr:uid="{00000000-0005-0000-0000-00003C250000}"/>
    <cellStyle name="Normal 120" xfId="3197" xr:uid="{00000000-0005-0000-0000-00003D250000}"/>
    <cellStyle name="Normal 120 10" xfId="12678" xr:uid="{00000000-0005-0000-0000-00003E250000}"/>
    <cellStyle name="Normal 120 10 2" xfId="29205" xr:uid="{00000000-0005-0000-0000-00003F250000}"/>
    <cellStyle name="Normal 120 11" xfId="21162" xr:uid="{00000000-0005-0000-0000-000040250000}"/>
    <cellStyle name="Normal 120 2" xfId="3198" xr:uid="{00000000-0005-0000-0000-000041250000}"/>
    <cellStyle name="Normal 120 2 2" xfId="3199" xr:uid="{00000000-0005-0000-0000-000042250000}"/>
    <cellStyle name="Normal 120 2 3" xfId="12679" xr:uid="{00000000-0005-0000-0000-000043250000}"/>
    <cellStyle name="Normal 120 2 3 2" xfId="29206" xr:uid="{00000000-0005-0000-0000-000044250000}"/>
    <cellStyle name="Normal 120 2 4" xfId="21163" xr:uid="{00000000-0005-0000-0000-000045250000}"/>
    <cellStyle name="Normal 120 3" xfId="3200" xr:uid="{00000000-0005-0000-0000-000046250000}"/>
    <cellStyle name="Normal 120 3 2" xfId="3201" xr:uid="{00000000-0005-0000-0000-000047250000}"/>
    <cellStyle name="Normal 120 3 2 2" xfId="3202" xr:uid="{00000000-0005-0000-0000-000048250000}"/>
    <cellStyle name="Normal 120 3 2 2 2" xfId="3203" xr:uid="{00000000-0005-0000-0000-000049250000}"/>
    <cellStyle name="Normal 120 3 2 2 2 2" xfId="7392" xr:uid="{00000000-0005-0000-0000-00004A250000}"/>
    <cellStyle name="Normal 120 3 2 2 2 2 2" xfId="16573" xr:uid="{00000000-0005-0000-0000-00004B250000}"/>
    <cellStyle name="Normal 120 3 2 2 2 2 2 2" xfId="33147" xr:uid="{00000000-0005-0000-0000-00004C250000}"/>
    <cellStyle name="Normal 120 3 2 2 2 2 3" xfId="25100" xr:uid="{00000000-0005-0000-0000-00004D250000}"/>
    <cellStyle name="Normal 120 3 2 2 2 3" xfId="12682" xr:uid="{00000000-0005-0000-0000-00004E250000}"/>
    <cellStyle name="Normal 120 3 2 2 2 3 2" xfId="29209" xr:uid="{00000000-0005-0000-0000-00004F250000}"/>
    <cellStyle name="Normal 120 3 2 2 2 4" xfId="21166" xr:uid="{00000000-0005-0000-0000-000050250000}"/>
    <cellStyle name="Normal 120 3 2 2 3" xfId="7393" xr:uid="{00000000-0005-0000-0000-000051250000}"/>
    <cellStyle name="Normal 120 3 2 2 3 2" xfId="16574" xr:uid="{00000000-0005-0000-0000-000052250000}"/>
    <cellStyle name="Normal 120 3 2 2 3 2 2" xfId="33148" xr:uid="{00000000-0005-0000-0000-000053250000}"/>
    <cellStyle name="Normal 120 3 2 2 3 3" xfId="25101" xr:uid="{00000000-0005-0000-0000-000054250000}"/>
    <cellStyle name="Normal 120 3 2 2 4" xfId="12681" xr:uid="{00000000-0005-0000-0000-000055250000}"/>
    <cellStyle name="Normal 120 3 2 2 4 2" xfId="29208" xr:uid="{00000000-0005-0000-0000-000056250000}"/>
    <cellStyle name="Normal 120 3 2 2 5" xfId="21165" xr:uid="{00000000-0005-0000-0000-000057250000}"/>
    <cellStyle name="Normal 120 3 2 3" xfId="3204" xr:uid="{00000000-0005-0000-0000-000058250000}"/>
    <cellStyle name="Normal 120 3 2 3 2" xfId="7394" xr:uid="{00000000-0005-0000-0000-000059250000}"/>
    <cellStyle name="Normal 120 3 2 3 2 2" xfId="16575" xr:uid="{00000000-0005-0000-0000-00005A250000}"/>
    <cellStyle name="Normal 120 3 2 3 2 2 2" xfId="33149" xr:uid="{00000000-0005-0000-0000-00005B250000}"/>
    <cellStyle name="Normal 120 3 2 3 2 3" xfId="25102" xr:uid="{00000000-0005-0000-0000-00005C250000}"/>
    <cellStyle name="Normal 120 3 2 3 3" xfId="12683" xr:uid="{00000000-0005-0000-0000-00005D250000}"/>
    <cellStyle name="Normal 120 3 2 3 3 2" xfId="29210" xr:uid="{00000000-0005-0000-0000-00005E250000}"/>
    <cellStyle name="Normal 120 3 2 3 4" xfId="21167" xr:uid="{00000000-0005-0000-0000-00005F250000}"/>
    <cellStyle name="Normal 120 3 2 4" xfId="7395" xr:uid="{00000000-0005-0000-0000-000060250000}"/>
    <cellStyle name="Normal 120 3 2 4 2" xfId="16576" xr:uid="{00000000-0005-0000-0000-000061250000}"/>
    <cellStyle name="Normal 120 3 2 4 2 2" xfId="33150" xr:uid="{00000000-0005-0000-0000-000062250000}"/>
    <cellStyle name="Normal 120 3 2 4 3" xfId="25103" xr:uid="{00000000-0005-0000-0000-000063250000}"/>
    <cellStyle name="Normal 120 3 2 5" xfId="12680" xr:uid="{00000000-0005-0000-0000-000064250000}"/>
    <cellStyle name="Normal 120 3 2 5 2" xfId="29207" xr:uid="{00000000-0005-0000-0000-000065250000}"/>
    <cellStyle name="Normal 120 3 2 6" xfId="21164" xr:uid="{00000000-0005-0000-0000-000066250000}"/>
    <cellStyle name="Normal 120 3 3" xfId="3205" xr:uid="{00000000-0005-0000-0000-000067250000}"/>
    <cellStyle name="Normal 120 3 3 2" xfId="3206" xr:uid="{00000000-0005-0000-0000-000068250000}"/>
    <cellStyle name="Normal 120 3 3 2 2" xfId="7396" xr:uid="{00000000-0005-0000-0000-000069250000}"/>
    <cellStyle name="Normal 120 3 3 2 2 2" xfId="16577" xr:uid="{00000000-0005-0000-0000-00006A250000}"/>
    <cellStyle name="Normal 120 3 3 2 2 2 2" xfId="33151" xr:uid="{00000000-0005-0000-0000-00006B250000}"/>
    <cellStyle name="Normal 120 3 3 2 2 3" xfId="25104" xr:uid="{00000000-0005-0000-0000-00006C250000}"/>
    <cellStyle name="Normal 120 3 3 2 3" xfId="12685" xr:uid="{00000000-0005-0000-0000-00006D250000}"/>
    <cellStyle name="Normal 120 3 3 2 3 2" xfId="29212" xr:uid="{00000000-0005-0000-0000-00006E250000}"/>
    <cellStyle name="Normal 120 3 3 2 4" xfId="21169" xr:uid="{00000000-0005-0000-0000-00006F250000}"/>
    <cellStyle name="Normal 120 3 3 3" xfId="7397" xr:uid="{00000000-0005-0000-0000-000070250000}"/>
    <cellStyle name="Normal 120 3 3 3 2" xfId="16578" xr:uid="{00000000-0005-0000-0000-000071250000}"/>
    <cellStyle name="Normal 120 3 3 3 2 2" xfId="33152" xr:uid="{00000000-0005-0000-0000-000072250000}"/>
    <cellStyle name="Normal 120 3 3 3 3" xfId="25105" xr:uid="{00000000-0005-0000-0000-000073250000}"/>
    <cellStyle name="Normal 120 3 3 4" xfId="12684" xr:uid="{00000000-0005-0000-0000-000074250000}"/>
    <cellStyle name="Normal 120 3 3 4 2" xfId="29211" xr:uid="{00000000-0005-0000-0000-000075250000}"/>
    <cellStyle name="Normal 120 3 3 5" xfId="21168" xr:uid="{00000000-0005-0000-0000-000076250000}"/>
    <cellStyle name="Normal 120 3 4" xfId="3207" xr:uid="{00000000-0005-0000-0000-000077250000}"/>
    <cellStyle name="Normal 120 3 4 2" xfId="7398" xr:uid="{00000000-0005-0000-0000-000078250000}"/>
    <cellStyle name="Normal 120 3 4 2 2" xfId="16579" xr:uid="{00000000-0005-0000-0000-000079250000}"/>
    <cellStyle name="Normal 120 3 4 2 2 2" xfId="33153" xr:uid="{00000000-0005-0000-0000-00007A250000}"/>
    <cellStyle name="Normal 120 3 4 2 3" xfId="25106" xr:uid="{00000000-0005-0000-0000-00007B250000}"/>
    <cellStyle name="Normal 120 3 4 3" xfId="12686" xr:uid="{00000000-0005-0000-0000-00007C250000}"/>
    <cellStyle name="Normal 120 3 4 3 2" xfId="29213" xr:uid="{00000000-0005-0000-0000-00007D250000}"/>
    <cellStyle name="Normal 120 3 4 4" xfId="21170" xr:uid="{00000000-0005-0000-0000-00007E250000}"/>
    <cellStyle name="Normal 120 3 5" xfId="3208" xr:uid="{00000000-0005-0000-0000-00007F250000}"/>
    <cellStyle name="Normal 120 3 5 2" xfId="12687" xr:uid="{00000000-0005-0000-0000-000080250000}"/>
    <cellStyle name="Normal 120 3 5 2 2" xfId="29214" xr:uid="{00000000-0005-0000-0000-000081250000}"/>
    <cellStyle name="Normal 120 3 5 3" xfId="21171" xr:uid="{00000000-0005-0000-0000-000082250000}"/>
    <cellStyle name="Normal 120 4" xfId="3209" xr:uid="{00000000-0005-0000-0000-000083250000}"/>
    <cellStyle name="Normal 120 4 2" xfId="3210" xr:uid="{00000000-0005-0000-0000-000084250000}"/>
    <cellStyle name="Normal 120 4 2 2" xfId="3211" xr:uid="{00000000-0005-0000-0000-000085250000}"/>
    <cellStyle name="Normal 120 4 2 2 2" xfId="3212" xr:uid="{00000000-0005-0000-0000-000086250000}"/>
    <cellStyle name="Normal 120 4 2 2 2 2" xfId="7399" xr:uid="{00000000-0005-0000-0000-000087250000}"/>
    <cellStyle name="Normal 120 4 2 2 2 2 2" xfId="16580" xr:uid="{00000000-0005-0000-0000-000088250000}"/>
    <cellStyle name="Normal 120 4 2 2 2 2 2 2" xfId="33154" xr:uid="{00000000-0005-0000-0000-000089250000}"/>
    <cellStyle name="Normal 120 4 2 2 2 2 3" xfId="25107" xr:uid="{00000000-0005-0000-0000-00008A250000}"/>
    <cellStyle name="Normal 120 4 2 2 2 3" xfId="12691" xr:uid="{00000000-0005-0000-0000-00008B250000}"/>
    <cellStyle name="Normal 120 4 2 2 2 3 2" xfId="29218" xr:uid="{00000000-0005-0000-0000-00008C250000}"/>
    <cellStyle name="Normal 120 4 2 2 2 4" xfId="21175" xr:uid="{00000000-0005-0000-0000-00008D250000}"/>
    <cellStyle name="Normal 120 4 2 2 3" xfId="7400" xr:uid="{00000000-0005-0000-0000-00008E250000}"/>
    <cellStyle name="Normal 120 4 2 2 3 2" xfId="16581" xr:uid="{00000000-0005-0000-0000-00008F250000}"/>
    <cellStyle name="Normal 120 4 2 2 3 2 2" xfId="33155" xr:uid="{00000000-0005-0000-0000-000090250000}"/>
    <cellStyle name="Normal 120 4 2 2 3 3" xfId="25108" xr:uid="{00000000-0005-0000-0000-000091250000}"/>
    <cellStyle name="Normal 120 4 2 2 4" xfId="12690" xr:uid="{00000000-0005-0000-0000-000092250000}"/>
    <cellStyle name="Normal 120 4 2 2 4 2" xfId="29217" xr:uid="{00000000-0005-0000-0000-000093250000}"/>
    <cellStyle name="Normal 120 4 2 2 5" xfId="21174" xr:uid="{00000000-0005-0000-0000-000094250000}"/>
    <cellStyle name="Normal 120 4 2 3" xfId="3213" xr:uid="{00000000-0005-0000-0000-000095250000}"/>
    <cellStyle name="Normal 120 4 2 3 2" xfId="7401" xr:uid="{00000000-0005-0000-0000-000096250000}"/>
    <cellStyle name="Normal 120 4 2 3 2 2" xfId="16582" xr:uid="{00000000-0005-0000-0000-000097250000}"/>
    <cellStyle name="Normal 120 4 2 3 2 2 2" xfId="33156" xr:uid="{00000000-0005-0000-0000-000098250000}"/>
    <cellStyle name="Normal 120 4 2 3 2 3" xfId="25109" xr:uid="{00000000-0005-0000-0000-000099250000}"/>
    <cellStyle name="Normal 120 4 2 3 3" xfId="12692" xr:uid="{00000000-0005-0000-0000-00009A250000}"/>
    <cellStyle name="Normal 120 4 2 3 3 2" xfId="29219" xr:uid="{00000000-0005-0000-0000-00009B250000}"/>
    <cellStyle name="Normal 120 4 2 3 4" xfId="21176" xr:uid="{00000000-0005-0000-0000-00009C250000}"/>
    <cellStyle name="Normal 120 4 2 4" xfId="7402" xr:uid="{00000000-0005-0000-0000-00009D250000}"/>
    <cellStyle name="Normal 120 4 2 4 2" xfId="16583" xr:uid="{00000000-0005-0000-0000-00009E250000}"/>
    <cellStyle name="Normal 120 4 2 4 2 2" xfId="33157" xr:uid="{00000000-0005-0000-0000-00009F250000}"/>
    <cellStyle name="Normal 120 4 2 4 3" xfId="25110" xr:uid="{00000000-0005-0000-0000-0000A0250000}"/>
    <cellStyle name="Normal 120 4 2 5" xfId="12689" xr:uid="{00000000-0005-0000-0000-0000A1250000}"/>
    <cellStyle name="Normal 120 4 2 5 2" xfId="29216" xr:uid="{00000000-0005-0000-0000-0000A2250000}"/>
    <cellStyle name="Normal 120 4 2 6" xfId="21173" xr:uid="{00000000-0005-0000-0000-0000A3250000}"/>
    <cellStyle name="Normal 120 4 3" xfId="3214" xr:uid="{00000000-0005-0000-0000-0000A4250000}"/>
    <cellStyle name="Normal 120 4 3 2" xfId="3215" xr:uid="{00000000-0005-0000-0000-0000A5250000}"/>
    <cellStyle name="Normal 120 4 3 2 2" xfId="7403" xr:uid="{00000000-0005-0000-0000-0000A6250000}"/>
    <cellStyle name="Normal 120 4 3 2 2 2" xfId="16584" xr:uid="{00000000-0005-0000-0000-0000A7250000}"/>
    <cellStyle name="Normal 120 4 3 2 2 2 2" xfId="33158" xr:uid="{00000000-0005-0000-0000-0000A8250000}"/>
    <cellStyle name="Normal 120 4 3 2 2 3" xfId="25111" xr:uid="{00000000-0005-0000-0000-0000A9250000}"/>
    <cellStyle name="Normal 120 4 3 2 3" xfId="12694" xr:uid="{00000000-0005-0000-0000-0000AA250000}"/>
    <cellStyle name="Normal 120 4 3 2 3 2" xfId="29221" xr:uid="{00000000-0005-0000-0000-0000AB250000}"/>
    <cellStyle name="Normal 120 4 3 2 4" xfId="21178" xr:uid="{00000000-0005-0000-0000-0000AC250000}"/>
    <cellStyle name="Normal 120 4 3 3" xfId="7404" xr:uid="{00000000-0005-0000-0000-0000AD250000}"/>
    <cellStyle name="Normal 120 4 3 3 2" xfId="16585" xr:uid="{00000000-0005-0000-0000-0000AE250000}"/>
    <cellStyle name="Normal 120 4 3 3 2 2" xfId="33159" xr:uid="{00000000-0005-0000-0000-0000AF250000}"/>
    <cellStyle name="Normal 120 4 3 3 3" xfId="25112" xr:uid="{00000000-0005-0000-0000-0000B0250000}"/>
    <cellStyle name="Normal 120 4 3 4" xfId="12693" xr:uid="{00000000-0005-0000-0000-0000B1250000}"/>
    <cellStyle name="Normal 120 4 3 4 2" xfId="29220" xr:uid="{00000000-0005-0000-0000-0000B2250000}"/>
    <cellStyle name="Normal 120 4 3 5" xfId="21177" xr:uid="{00000000-0005-0000-0000-0000B3250000}"/>
    <cellStyle name="Normal 120 4 4" xfId="3216" xr:uid="{00000000-0005-0000-0000-0000B4250000}"/>
    <cellStyle name="Normal 120 4 4 2" xfId="7405" xr:uid="{00000000-0005-0000-0000-0000B5250000}"/>
    <cellStyle name="Normal 120 4 4 2 2" xfId="16586" xr:uid="{00000000-0005-0000-0000-0000B6250000}"/>
    <cellStyle name="Normal 120 4 4 2 2 2" xfId="33160" xr:uid="{00000000-0005-0000-0000-0000B7250000}"/>
    <cellStyle name="Normal 120 4 4 2 3" xfId="25113" xr:uid="{00000000-0005-0000-0000-0000B8250000}"/>
    <cellStyle name="Normal 120 4 4 3" xfId="12695" xr:uid="{00000000-0005-0000-0000-0000B9250000}"/>
    <cellStyle name="Normal 120 4 4 3 2" xfId="29222" xr:uid="{00000000-0005-0000-0000-0000BA250000}"/>
    <cellStyle name="Normal 120 4 4 4" xfId="21179" xr:uid="{00000000-0005-0000-0000-0000BB250000}"/>
    <cellStyle name="Normal 120 4 5" xfId="7406" xr:uid="{00000000-0005-0000-0000-0000BC250000}"/>
    <cellStyle name="Normal 120 4 5 2" xfId="16587" xr:uid="{00000000-0005-0000-0000-0000BD250000}"/>
    <cellStyle name="Normal 120 4 5 2 2" xfId="33161" xr:uid="{00000000-0005-0000-0000-0000BE250000}"/>
    <cellStyle name="Normal 120 4 5 3" xfId="25114" xr:uid="{00000000-0005-0000-0000-0000BF250000}"/>
    <cellStyle name="Normal 120 4 6" xfId="12688" xr:uid="{00000000-0005-0000-0000-0000C0250000}"/>
    <cellStyle name="Normal 120 4 6 2" xfId="29215" xr:uid="{00000000-0005-0000-0000-0000C1250000}"/>
    <cellStyle name="Normal 120 4 7" xfId="21172" xr:uid="{00000000-0005-0000-0000-0000C2250000}"/>
    <cellStyle name="Normal 120 5" xfId="3217" xr:uid="{00000000-0005-0000-0000-0000C3250000}"/>
    <cellStyle name="Normal 120 5 2" xfId="3218" xr:uid="{00000000-0005-0000-0000-0000C4250000}"/>
    <cellStyle name="Normal 120 5 2 2" xfId="3219" xr:uid="{00000000-0005-0000-0000-0000C5250000}"/>
    <cellStyle name="Normal 120 5 2 2 2" xfId="3220" xr:uid="{00000000-0005-0000-0000-0000C6250000}"/>
    <cellStyle name="Normal 120 5 2 2 2 2" xfId="7407" xr:uid="{00000000-0005-0000-0000-0000C7250000}"/>
    <cellStyle name="Normal 120 5 2 2 2 2 2" xfId="16588" xr:uid="{00000000-0005-0000-0000-0000C8250000}"/>
    <cellStyle name="Normal 120 5 2 2 2 2 2 2" xfId="33162" xr:uid="{00000000-0005-0000-0000-0000C9250000}"/>
    <cellStyle name="Normal 120 5 2 2 2 2 3" xfId="25115" xr:uid="{00000000-0005-0000-0000-0000CA250000}"/>
    <cellStyle name="Normal 120 5 2 2 2 3" xfId="12699" xr:uid="{00000000-0005-0000-0000-0000CB250000}"/>
    <cellStyle name="Normal 120 5 2 2 2 3 2" xfId="29226" xr:uid="{00000000-0005-0000-0000-0000CC250000}"/>
    <cellStyle name="Normal 120 5 2 2 2 4" xfId="21183" xr:uid="{00000000-0005-0000-0000-0000CD250000}"/>
    <cellStyle name="Normal 120 5 2 2 3" xfId="7408" xr:uid="{00000000-0005-0000-0000-0000CE250000}"/>
    <cellStyle name="Normal 120 5 2 2 3 2" xfId="16589" xr:uid="{00000000-0005-0000-0000-0000CF250000}"/>
    <cellStyle name="Normal 120 5 2 2 3 2 2" xfId="33163" xr:uid="{00000000-0005-0000-0000-0000D0250000}"/>
    <cellStyle name="Normal 120 5 2 2 3 3" xfId="25116" xr:uid="{00000000-0005-0000-0000-0000D1250000}"/>
    <cellStyle name="Normal 120 5 2 2 4" xfId="12698" xr:uid="{00000000-0005-0000-0000-0000D2250000}"/>
    <cellStyle name="Normal 120 5 2 2 4 2" xfId="29225" xr:uid="{00000000-0005-0000-0000-0000D3250000}"/>
    <cellStyle name="Normal 120 5 2 2 5" xfId="21182" xr:uid="{00000000-0005-0000-0000-0000D4250000}"/>
    <cellStyle name="Normal 120 5 2 3" xfId="3221" xr:uid="{00000000-0005-0000-0000-0000D5250000}"/>
    <cellStyle name="Normal 120 5 2 3 2" xfId="7409" xr:uid="{00000000-0005-0000-0000-0000D6250000}"/>
    <cellStyle name="Normal 120 5 2 3 2 2" xfId="16590" xr:uid="{00000000-0005-0000-0000-0000D7250000}"/>
    <cellStyle name="Normal 120 5 2 3 2 2 2" xfId="33164" xr:uid="{00000000-0005-0000-0000-0000D8250000}"/>
    <cellStyle name="Normal 120 5 2 3 2 3" xfId="25117" xr:uid="{00000000-0005-0000-0000-0000D9250000}"/>
    <cellStyle name="Normal 120 5 2 3 3" xfId="12700" xr:uid="{00000000-0005-0000-0000-0000DA250000}"/>
    <cellStyle name="Normal 120 5 2 3 3 2" xfId="29227" xr:uid="{00000000-0005-0000-0000-0000DB250000}"/>
    <cellStyle name="Normal 120 5 2 3 4" xfId="21184" xr:uid="{00000000-0005-0000-0000-0000DC250000}"/>
    <cellStyle name="Normal 120 5 2 4" xfId="7410" xr:uid="{00000000-0005-0000-0000-0000DD250000}"/>
    <cellStyle name="Normal 120 5 2 4 2" xfId="16591" xr:uid="{00000000-0005-0000-0000-0000DE250000}"/>
    <cellStyle name="Normal 120 5 2 4 2 2" xfId="33165" xr:uid="{00000000-0005-0000-0000-0000DF250000}"/>
    <cellStyle name="Normal 120 5 2 4 3" xfId="25118" xr:uid="{00000000-0005-0000-0000-0000E0250000}"/>
    <cellStyle name="Normal 120 5 2 5" xfId="12697" xr:uid="{00000000-0005-0000-0000-0000E1250000}"/>
    <cellStyle name="Normal 120 5 2 5 2" xfId="29224" xr:uid="{00000000-0005-0000-0000-0000E2250000}"/>
    <cellStyle name="Normal 120 5 2 6" xfId="21181" xr:uid="{00000000-0005-0000-0000-0000E3250000}"/>
    <cellStyle name="Normal 120 5 3" xfId="3222" xr:uid="{00000000-0005-0000-0000-0000E4250000}"/>
    <cellStyle name="Normal 120 5 3 2" xfId="3223" xr:uid="{00000000-0005-0000-0000-0000E5250000}"/>
    <cellStyle name="Normal 120 5 3 2 2" xfId="7411" xr:uid="{00000000-0005-0000-0000-0000E6250000}"/>
    <cellStyle name="Normal 120 5 3 2 2 2" xfId="16592" xr:uid="{00000000-0005-0000-0000-0000E7250000}"/>
    <cellStyle name="Normal 120 5 3 2 2 2 2" xfId="33166" xr:uid="{00000000-0005-0000-0000-0000E8250000}"/>
    <cellStyle name="Normal 120 5 3 2 2 3" xfId="25119" xr:uid="{00000000-0005-0000-0000-0000E9250000}"/>
    <cellStyle name="Normal 120 5 3 2 3" xfId="12702" xr:uid="{00000000-0005-0000-0000-0000EA250000}"/>
    <cellStyle name="Normal 120 5 3 2 3 2" xfId="29229" xr:uid="{00000000-0005-0000-0000-0000EB250000}"/>
    <cellStyle name="Normal 120 5 3 2 4" xfId="21186" xr:uid="{00000000-0005-0000-0000-0000EC250000}"/>
    <cellStyle name="Normal 120 5 3 3" xfId="7412" xr:uid="{00000000-0005-0000-0000-0000ED250000}"/>
    <cellStyle name="Normal 120 5 3 3 2" xfId="16593" xr:uid="{00000000-0005-0000-0000-0000EE250000}"/>
    <cellStyle name="Normal 120 5 3 3 2 2" xfId="33167" xr:uid="{00000000-0005-0000-0000-0000EF250000}"/>
    <cellStyle name="Normal 120 5 3 3 3" xfId="25120" xr:uid="{00000000-0005-0000-0000-0000F0250000}"/>
    <cellStyle name="Normal 120 5 3 4" xfId="12701" xr:uid="{00000000-0005-0000-0000-0000F1250000}"/>
    <cellStyle name="Normal 120 5 3 4 2" xfId="29228" xr:uid="{00000000-0005-0000-0000-0000F2250000}"/>
    <cellStyle name="Normal 120 5 3 5" xfId="21185" xr:uid="{00000000-0005-0000-0000-0000F3250000}"/>
    <cellStyle name="Normal 120 5 4" xfId="3224" xr:uid="{00000000-0005-0000-0000-0000F4250000}"/>
    <cellStyle name="Normal 120 5 4 2" xfId="7413" xr:uid="{00000000-0005-0000-0000-0000F5250000}"/>
    <cellStyle name="Normal 120 5 4 2 2" xfId="16594" xr:uid="{00000000-0005-0000-0000-0000F6250000}"/>
    <cellStyle name="Normal 120 5 4 2 2 2" xfId="33168" xr:uid="{00000000-0005-0000-0000-0000F7250000}"/>
    <cellStyle name="Normal 120 5 4 2 3" xfId="25121" xr:uid="{00000000-0005-0000-0000-0000F8250000}"/>
    <cellStyle name="Normal 120 5 4 3" xfId="12703" xr:uid="{00000000-0005-0000-0000-0000F9250000}"/>
    <cellStyle name="Normal 120 5 4 3 2" xfId="29230" xr:uid="{00000000-0005-0000-0000-0000FA250000}"/>
    <cellStyle name="Normal 120 5 4 4" xfId="21187" xr:uid="{00000000-0005-0000-0000-0000FB250000}"/>
    <cellStyle name="Normal 120 5 5" xfId="7414" xr:uid="{00000000-0005-0000-0000-0000FC250000}"/>
    <cellStyle name="Normal 120 5 5 2" xfId="16595" xr:uid="{00000000-0005-0000-0000-0000FD250000}"/>
    <cellStyle name="Normal 120 5 5 2 2" xfId="33169" xr:uid="{00000000-0005-0000-0000-0000FE250000}"/>
    <cellStyle name="Normal 120 5 5 3" xfId="25122" xr:uid="{00000000-0005-0000-0000-0000FF250000}"/>
    <cellStyle name="Normal 120 5 6" xfId="12696" xr:uid="{00000000-0005-0000-0000-000000260000}"/>
    <cellStyle name="Normal 120 5 6 2" xfId="29223" xr:uid="{00000000-0005-0000-0000-000001260000}"/>
    <cellStyle name="Normal 120 5 7" xfId="21180" xr:uid="{00000000-0005-0000-0000-000002260000}"/>
    <cellStyle name="Normal 120 6" xfId="3225" xr:uid="{00000000-0005-0000-0000-000003260000}"/>
    <cellStyle name="Normal 120 6 2" xfId="3226" xr:uid="{00000000-0005-0000-0000-000004260000}"/>
    <cellStyle name="Normal 120 6 2 2" xfId="3227" xr:uid="{00000000-0005-0000-0000-000005260000}"/>
    <cellStyle name="Normal 120 6 2 2 2" xfId="7415" xr:uid="{00000000-0005-0000-0000-000006260000}"/>
    <cellStyle name="Normal 120 6 2 2 2 2" xfId="16596" xr:uid="{00000000-0005-0000-0000-000007260000}"/>
    <cellStyle name="Normal 120 6 2 2 2 2 2" xfId="33170" xr:uid="{00000000-0005-0000-0000-000008260000}"/>
    <cellStyle name="Normal 120 6 2 2 2 3" xfId="25123" xr:uid="{00000000-0005-0000-0000-000009260000}"/>
    <cellStyle name="Normal 120 6 2 2 3" xfId="12706" xr:uid="{00000000-0005-0000-0000-00000A260000}"/>
    <cellStyle name="Normal 120 6 2 2 3 2" xfId="29233" xr:uid="{00000000-0005-0000-0000-00000B260000}"/>
    <cellStyle name="Normal 120 6 2 2 4" xfId="21190" xr:uid="{00000000-0005-0000-0000-00000C260000}"/>
    <cellStyle name="Normal 120 6 2 3" xfId="7416" xr:uid="{00000000-0005-0000-0000-00000D260000}"/>
    <cellStyle name="Normal 120 6 2 3 2" xfId="16597" xr:uid="{00000000-0005-0000-0000-00000E260000}"/>
    <cellStyle name="Normal 120 6 2 3 2 2" xfId="33171" xr:uid="{00000000-0005-0000-0000-00000F260000}"/>
    <cellStyle name="Normal 120 6 2 3 3" xfId="25124" xr:uid="{00000000-0005-0000-0000-000010260000}"/>
    <cellStyle name="Normal 120 6 2 4" xfId="12705" xr:uid="{00000000-0005-0000-0000-000011260000}"/>
    <cellStyle name="Normal 120 6 2 4 2" xfId="29232" xr:uid="{00000000-0005-0000-0000-000012260000}"/>
    <cellStyle name="Normal 120 6 2 5" xfId="21189" xr:uid="{00000000-0005-0000-0000-000013260000}"/>
    <cellStyle name="Normal 120 6 3" xfId="3228" xr:uid="{00000000-0005-0000-0000-000014260000}"/>
    <cellStyle name="Normal 120 6 3 2" xfId="7417" xr:uid="{00000000-0005-0000-0000-000015260000}"/>
    <cellStyle name="Normal 120 6 3 2 2" xfId="16598" xr:uid="{00000000-0005-0000-0000-000016260000}"/>
    <cellStyle name="Normal 120 6 3 2 2 2" xfId="33172" xr:uid="{00000000-0005-0000-0000-000017260000}"/>
    <cellStyle name="Normal 120 6 3 2 3" xfId="25125" xr:uid="{00000000-0005-0000-0000-000018260000}"/>
    <cellStyle name="Normal 120 6 3 3" xfId="12707" xr:uid="{00000000-0005-0000-0000-000019260000}"/>
    <cellStyle name="Normal 120 6 3 3 2" xfId="29234" xr:uid="{00000000-0005-0000-0000-00001A260000}"/>
    <cellStyle name="Normal 120 6 3 4" xfId="21191" xr:uid="{00000000-0005-0000-0000-00001B260000}"/>
    <cellStyle name="Normal 120 6 4" xfId="7418" xr:uid="{00000000-0005-0000-0000-00001C260000}"/>
    <cellStyle name="Normal 120 6 4 2" xfId="16599" xr:uid="{00000000-0005-0000-0000-00001D260000}"/>
    <cellStyle name="Normal 120 6 4 2 2" xfId="33173" xr:uid="{00000000-0005-0000-0000-00001E260000}"/>
    <cellStyle name="Normal 120 6 4 3" xfId="25126" xr:uid="{00000000-0005-0000-0000-00001F260000}"/>
    <cellStyle name="Normal 120 6 5" xfId="12704" xr:uid="{00000000-0005-0000-0000-000020260000}"/>
    <cellStyle name="Normal 120 6 5 2" xfId="29231" xr:uid="{00000000-0005-0000-0000-000021260000}"/>
    <cellStyle name="Normal 120 6 6" xfId="21188" xr:uid="{00000000-0005-0000-0000-000022260000}"/>
    <cellStyle name="Normal 120 7" xfId="3229" xr:uid="{00000000-0005-0000-0000-000023260000}"/>
    <cellStyle name="Normal 120 7 2" xfId="3230" xr:uid="{00000000-0005-0000-0000-000024260000}"/>
    <cellStyle name="Normal 120 7 2 2" xfId="7419" xr:uid="{00000000-0005-0000-0000-000025260000}"/>
    <cellStyle name="Normal 120 7 2 2 2" xfId="16600" xr:uid="{00000000-0005-0000-0000-000026260000}"/>
    <cellStyle name="Normal 120 7 2 2 2 2" xfId="33174" xr:uid="{00000000-0005-0000-0000-000027260000}"/>
    <cellStyle name="Normal 120 7 2 2 3" xfId="25127" xr:uid="{00000000-0005-0000-0000-000028260000}"/>
    <cellStyle name="Normal 120 7 2 3" xfId="12709" xr:uid="{00000000-0005-0000-0000-000029260000}"/>
    <cellStyle name="Normal 120 7 2 3 2" xfId="29236" xr:uid="{00000000-0005-0000-0000-00002A260000}"/>
    <cellStyle name="Normal 120 7 2 4" xfId="21193" xr:uid="{00000000-0005-0000-0000-00002B260000}"/>
    <cellStyle name="Normal 120 7 3" xfId="7420" xr:uid="{00000000-0005-0000-0000-00002C260000}"/>
    <cellStyle name="Normal 120 7 3 2" xfId="16601" xr:uid="{00000000-0005-0000-0000-00002D260000}"/>
    <cellStyle name="Normal 120 7 3 2 2" xfId="33175" xr:uid="{00000000-0005-0000-0000-00002E260000}"/>
    <cellStyle name="Normal 120 7 3 3" xfId="25128" xr:uid="{00000000-0005-0000-0000-00002F260000}"/>
    <cellStyle name="Normal 120 7 4" xfId="12708" xr:uid="{00000000-0005-0000-0000-000030260000}"/>
    <cellStyle name="Normal 120 7 4 2" xfId="29235" xr:uid="{00000000-0005-0000-0000-000031260000}"/>
    <cellStyle name="Normal 120 7 5" xfId="21192" xr:uid="{00000000-0005-0000-0000-000032260000}"/>
    <cellStyle name="Normal 120 8" xfId="3231" xr:uid="{00000000-0005-0000-0000-000033260000}"/>
    <cellStyle name="Normal 120 8 2" xfId="7421" xr:uid="{00000000-0005-0000-0000-000034260000}"/>
    <cellStyle name="Normal 120 8 2 2" xfId="16602" xr:uid="{00000000-0005-0000-0000-000035260000}"/>
    <cellStyle name="Normal 120 8 2 2 2" xfId="33176" xr:uid="{00000000-0005-0000-0000-000036260000}"/>
    <cellStyle name="Normal 120 8 2 3" xfId="25129" xr:uid="{00000000-0005-0000-0000-000037260000}"/>
    <cellStyle name="Normal 120 8 3" xfId="12710" xr:uid="{00000000-0005-0000-0000-000038260000}"/>
    <cellStyle name="Normal 120 8 3 2" xfId="29237" xr:uid="{00000000-0005-0000-0000-000039260000}"/>
    <cellStyle name="Normal 120 8 4" xfId="21194" xr:uid="{00000000-0005-0000-0000-00003A260000}"/>
    <cellStyle name="Normal 120 9" xfId="7422" xr:uid="{00000000-0005-0000-0000-00003B260000}"/>
    <cellStyle name="Normal 120 9 2" xfId="16603" xr:uid="{00000000-0005-0000-0000-00003C260000}"/>
    <cellStyle name="Normal 120 9 2 2" xfId="33177" xr:uid="{00000000-0005-0000-0000-00003D260000}"/>
    <cellStyle name="Normal 120 9 3" xfId="25130" xr:uid="{00000000-0005-0000-0000-00003E260000}"/>
    <cellStyle name="Normal 121" xfId="3232" xr:uid="{00000000-0005-0000-0000-00003F260000}"/>
    <cellStyle name="Normal 121 2" xfId="3233" xr:uid="{00000000-0005-0000-0000-000040260000}"/>
    <cellStyle name="Normal 121 2 2" xfId="3234" xr:uid="{00000000-0005-0000-0000-000041260000}"/>
    <cellStyle name="Normal 121 2 2 2" xfId="3235" xr:uid="{00000000-0005-0000-0000-000042260000}"/>
    <cellStyle name="Normal 121 2 2 2 2" xfId="7423" xr:uid="{00000000-0005-0000-0000-000043260000}"/>
    <cellStyle name="Normal 121 2 2 2 2 2" xfId="16604" xr:uid="{00000000-0005-0000-0000-000044260000}"/>
    <cellStyle name="Normal 121 2 2 2 2 2 2" xfId="33178" xr:uid="{00000000-0005-0000-0000-000045260000}"/>
    <cellStyle name="Normal 121 2 2 2 2 3" xfId="25131" xr:uid="{00000000-0005-0000-0000-000046260000}"/>
    <cellStyle name="Normal 121 2 2 2 3" xfId="12713" xr:uid="{00000000-0005-0000-0000-000047260000}"/>
    <cellStyle name="Normal 121 2 2 2 3 2" xfId="29240" xr:uid="{00000000-0005-0000-0000-000048260000}"/>
    <cellStyle name="Normal 121 2 2 2 4" xfId="21197" xr:uid="{00000000-0005-0000-0000-000049260000}"/>
    <cellStyle name="Normal 121 2 2 3" xfId="7424" xr:uid="{00000000-0005-0000-0000-00004A260000}"/>
    <cellStyle name="Normal 121 2 2 3 2" xfId="16605" xr:uid="{00000000-0005-0000-0000-00004B260000}"/>
    <cellStyle name="Normal 121 2 2 3 2 2" xfId="33179" xr:uid="{00000000-0005-0000-0000-00004C260000}"/>
    <cellStyle name="Normal 121 2 2 3 3" xfId="25132" xr:uid="{00000000-0005-0000-0000-00004D260000}"/>
    <cellStyle name="Normal 121 2 2 4" xfId="12712" xr:uid="{00000000-0005-0000-0000-00004E260000}"/>
    <cellStyle name="Normal 121 2 2 4 2" xfId="29239" xr:uid="{00000000-0005-0000-0000-00004F260000}"/>
    <cellStyle name="Normal 121 2 2 5" xfId="21196" xr:uid="{00000000-0005-0000-0000-000050260000}"/>
    <cellStyle name="Normal 121 2 3" xfId="3236" xr:uid="{00000000-0005-0000-0000-000051260000}"/>
    <cellStyle name="Normal 121 2 3 2" xfId="7425" xr:uid="{00000000-0005-0000-0000-000052260000}"/>
    <cellStyle name="Normal 121 2 3 2 2" xfId="16606" xr:uid="{00000000-0005-0000-0000-000053260000}"/>
    <cellStyle name="Normal 121 2 3 2 2 2" xfId="33180" xr:uid="{00000000-0005-0000-0000-000054260000}"/>
    <cellStyle name="Normal 121 2 3 2 3" xfId="25133" xr:uid="{00000000-0005-0000-0000-000055260000}"/>
    <cellStyle name="Normal 121 2 3 3" xfId="12714" xr:uid="{00000000-0005-0000-0000-000056260000}"/>
    <cellStyle name="Normal 121 2 3 3 2" xfId="29241" xr:uid="{00000000-0005-0000-0000-000057260000}"/>
    <cellStyle name="Normal 121 2 3 4" xfId="21198" xr:uid="{00000000-0005-0000-0000-000058260000}"/>
    <cellStyle name="Normal 121 2 4" xfId="7426" xr:uid="{00000000-0005-0000-0000-000059260000}"/>
    <cellStyle name="Normal 121 2 4 2" xfId="16607" xr:uid="{00000000-0005-0000-0000-00005A260000}"/>
    <cellStyle name="Normal 121 2 4 2 2" xfId="33181" xr:uid="{00000000-0005-0000-0000-00005B260000}"/>
    <cellStyle name="Normal 121 2 4 3" xfId="25134" xr:uid="{00000000-0005-0000-0000-00005C260000}"/>
    <cellStyle name="Normal 121 2 5" xfId="12711" xr:uid="{00000000-0005-0000-0000-00005D260000}"/>
    <cellStyle name="Normal 121 2 5 2" xfId="29238" xr:uid="{00000000-0005-0000-0000-00005E260000}"/>
    <cellStyle name="Normal 121 2 6" xfId="21195" xr:uid="{00000000-0005-0000-0000-00005F260000}"/>
    <cellStyle name="Normal 121 3" xfId="3237" xr:uid="{00000000-0005-0000-0000-000060260000}"/>
    <cellStyle name="Normal 121 3 2" xfId="3238" xr:uid="{00000000-0005-0000-0000-000061260000}"/>
    <cellStyle name="Normal 121 3 2 2" xfId="7427" xr:uid="{00000000-0005-0000-0000-000062260000}"/>
    <cellStyle name="Normal 121 3 2 2 2" xfId="16608" xr:uid="{00000000-0005-0000-0000-000063260000}"/>
    <cellStyle name="Normal 121 3 2 2 2 2" xfId="33182" xr:uid="{00000000-0005-0000-0000-000064260000}"/>
    <cellStyle name="Normal 121 3 2 2 3" xfId="25135" xr:uid="{00000000-0005-0000-0000-000065260000}"/>
    <cellStyle name="Normal 121 3 2 3" xfId="12716" xr:uid="{00000000-0005-0000-0000-000066260000}"/>
    <cellStyle name="Normal 121 3 2 3 2" xfId="29243" xr:uid="{00000000-0005-0000-0000-000067260000}"/>
    <cellStyle name="Normal 121 3 2 4" xfId="21200" xr:uid="{00000000-0005-0000-0000-000068260000}"/>
    <cellStyle name="Normal 121 3 3" xfId="7428" xr:uid="{00000000-0005-0000-0000-000069260000}"/>
    <cellStyle name="Normal 121 3 3 2" xfId="16609" xr:uid="{00000000-0005-0000-0000-00006A260000}"/>
    <cellStyle name="Normal 121 3 3 2 2" xfId="33183" xr:uid="{00000000-0005-0000-0000-00006B260000}"/>
    <cellStyle name="Normal 121 3 3 3" xfId="25136" xr:uid="{00000000-0005-0000-0000-00006C260000}"/>
    <cellStyle name="Normal 121 3 4" xfId="12715" xr:uid="{00000000-0005-0000-0000-00006D260000}"/>
    <cellStyle name="Normal 121 3 4 2" xfId="29242" xr:uid="{00000000-0005-0000-0000-00006E260000}"/>
    <cellStyle name="Normal 121 3 5" xfId="21199" xr:uid="{00000000-0005-0000-0000-00006F260000}"/>
    <cellStyle name="Normal 121 4" xfId="3239" xr:uid="{00000000-0005-0000-0000-000070260000}"/>
    <cellStyle name="Normal 121 4 2" xfId="7429" xr:uid="{00000000-0005-0000-0000-000071260000}"/>
    <cellStyle name="Normal 121 4 2 2" xfId="16610" xr:uid="{00000000-0005-0000-0000-000072260000}"/>
    <cellStyle name="Normal 121 4 2 2 2" xfId="33184" xr:uid="{00000000-0005-0000-0000-000073260000}"/>
    <cellStyle name="Normal 121 4 2 3" xfId="25137" xr:uid="{00000000-0005-0000-0000-000074260000}"/>
    <cellStyle name="Normal 121 4 3" xfId="12717" xr:uid="{00000000-0005-0000-0000-000075260000}"/>
    <cellStyle name="Normal 121 4 3 2" xfId="29244" xr:uid="{00000000-0005-0000-0000-000076260000}"/>
    <cellStyle name="Normal 121 4 4" xfId="21201" xr:uid="{00000000-0005-0000-0000-000077260000}"/>
    <cellStyle name="Normal 121 5" xfId="7430" xr:uid="{00000000-0005-0000-0000-000078260000}"/>
    <cellStyle name="Normal 121 5 2" xfId="16611" xr:uid="{00000000-0005-0000-0000-000079260000}"/>
    <cellStyle name="Normal 121 5 2 2" xfId="33185" xr:uid="{00000000-0005-0000-0000-00007A260000}"/>
    <cellStyle name="Normal 121 5 3" xfId="25138" xr:uid="{00000000-0005-0000-0000-00007B260000}"/>
    <cellStyle name="Normal 122" xfId="3240" xr:uid="{00000000-0005-0000-0000-00007C260000}"/>
    <cellStyle name="Normal 122 2" xfId="3241" xr:uid="{00000000-0005-0000-0000-00007D260000}"/>
    <cellStyle name="Normal 122 2 2" xfId="3242" xr:uid="{00000000-0005-0000-0000-00007E260000}"/>
    <cellStyle name="Normal 122 2 2 2" xfId="3243" xr:uid="{00000000-0005-0000-0000-00007F260000}"/>
    <cellStyle name="Normal 122 2 2 2 2" xfId="7431" xr:uid="{00000000-0005-0000-0000-000080260000}"/>
    <cellStyle name="Normal 122 2 2 2 2 2" xfId="16612" xr:uid="{00000000-0005-0000-0000-000081260000}"/>
    <cellStyle name="Normal 122 2 2 2 2 2 2" xfId="33186" xr:uid="{00000000-0005-0000-0000-000082260000}"/>
    <cellStyle name="Normal 122 2 2 2 2 3" xfId="25139" xr:uid="{00000000-0005-0000-0000-000083260000}"/>
    <cellStyle name="Normal 122 2 2 2 3" xfId="12720" xr:uid="{00000000-0005-0000-0000-000084260000}"/>
    <cellStyle name="Normal 122 2 2 2 3 2" xfId="29247" xr:uid="{00000000-0005-0000-0000-000085260000}"/>
    <cellStyle name="Normal 122 2 2 2 4" xfId="21204" xr:uid="{00000000-0005-0000-0000-000086260000}"/>
    <cellStyle name="Normal 122 2 2 3" xfId="7432" xr:uid="{00000000-0005-0000-0000-000087260000}"/>
    <cellStyle name="Normal 122 2 2 3 2" xfId="16613" xr:uid="{00000000-0005-0000-0000-000088260000}"/>
    <cellStyle name="Normal 122 2 2 3 2 2" xfId="33187" xr:uid="{00000000-0005-0000-0000-000089260000}"/>
    <cellStyle name="Normal 122 2 2 3 3" xfId="25140" xr:uid="{00000000-0005-0000-0000-00008A260000}"/>
    <cellStyle name="Normal 122 2 2 4" xfId="12719" xr:uid="{00000000-0005-0000-0000-00008B260000}"/>
    <cellStyle name="Normal 122 2 2 4 2" xfId="29246" xr:uid="{00000000-0005-0000-0000-00008C260000}"/>
    <cellStyle name="Normal 122 2 2 5" xfId="21203" xr:uid="{00000000-0005-0000-0000-00008D260000}"/>
    <cellStyle name="Normal 122 2 3" xfId="3244" xr:uid="{00000000-0005-0000-0000-00008E260000}"/>
    <cellStyle name="Normal 122 2 3 2" xfId="7433" xr:uid="{00000000-0005-0000-0000-00008F260000}"/>
    <cellStyle name="Normal 122 2 3 2 2" xfId="16614" xr:uid="{00000000-0005-0000-0000-000090260000}"/>
    <cellStyle name="Normal 122 2 3 2 2 2" xfId="33188" xr:uid="{00000000-0005-0000-0000-000091260000}"/>
    <cellStyle name="Normal 122 2 3 2 3" xfId="25141" xr:uid="{00000000-0005-0000-0000-000092260000}"/>
    <cellStyle name="Normal 122 2 3 3" xfId="12721" xr:uid="{00000000-0005-0000-0000-000093260000}"/>
    <cellStyle name="Normal 122 2 3 3 2" xfId="29248" xr:uid="{00000000-0005-0000-0000-000094260000}"/>
    <cellStyle name="Normal 122 2 3 4" xfId="21205" xr:uid="{00000000-0005-0000-0000-000095260000}"/>
    <cellStyle name="Normal 122 2 4" xfId="7434" xr:uid="{00000000-0005-0000-0000-000096260000}"/>
    <cellStyle name="Normal 122 2 4 2" xfId="16615" xr:uid="{00000000-0005-0000-0000-000097260000}"/>
    <cellStyle name="Normal 122 2 4 2 2" xfId="33189" xr:uid="{00000000-0005-0000-0000-000098260000}"/>
    <cellStyle name="Normal 122 2 4 3" xfId="25142" xr:uid="{00000000-0005-0000-0000-000099260000}"/>
    <cellStyle name="Normal 122 2 5" xfId="12718" xr:uid="{00000000-0005-0000-0000-00009A260000}"/>
    <cellStyle name="Normal 122 2 5 2" xfId="29245" xr:uid="{00000000-0005-0000-0000-00009B260000}"/>
    <cellStyle name="Normal 122 2 6" xfId="21202" xr:uid="{00000000-0005-0000-0000-00009C260000}"/>
    <cellStyle name="Normal 122 3" xfId="3245" xr:uid="{00000000-0005-0000-0000-00009D260000}"/>
    <cellStyle name="Normal 122 3 2" xfId="3246" xr:uid="{00000000-0005-0000-0000-00009E260000}"/>
    <cellStyle name="Normal 122 3 2 2" xfId="7435" xr:uid="{00000000-0005-0000-0000-00009F260000}"/>
    <cellStyle name="Normal 122 3 2 2 2" xfId="16616" xr:uid="{00000000-0005-0000-0000-0000A0260000}"/>
    <cellStyle name="Normal 122 3 2 2 2 2" xfId="33190" xr:uid="{00000000-0005-0000-0000-0000A1260000}"/>
    <cellStyle name="Normal 122 3 2 2 3" xfId="25143" xr:uid="{00000000-0005-0000-0000-0000A2260000}"/>
    <cellStyle name="Normal 122 3 2 3" xfId="12723" xr:uid="{00000000-0005-0000-0000-0000A3260000}"/>
    <cellStyle name="Normal 122 3 2 3 2" xfId="29250" xr:uid="{00000000-0005-0000-0000-0000A4260000}"/>
    <cellStyle name="Normal 122 3 2 4" xfId="21207" xr:uid="{00000000-0005-0000-0000-0000A5260000}"/>
    <cellStyle name="Normal 122 3 3" xfId="7436" xr:uid="{00000000-0005-0000-0000-0000A6260000}"/>
    <cellStyle name="Normal 122 3 3 2" xfId="16617" xr:uid="{00000000-0005-0000-0000-0000A7260000}"/>
    <cellStyle name="Normal 122 3 3 2 2" xfId="33191" xr:uid="{00000000-0005-0000-0000-0000A8260000}"/>
    <cellStyle name="Normal 122 3 3 3" xfId="25144" xr:uid="{00000000-0005-0000-0000-0000A9260000}"/>
    <cellStyle name="Normal 122 3 4" xfId="12722" xr:uid="{00000000-0005-0000-0000-0000AA260000}"/>
    <cellStyle name="Normal 122 3 4 2" xfId="29249" xr:uid="{00000000-0005-0000-0000-0000AB260000}"/>
    <cellStyle name="Normal 122 3 5" xfId="21206" xr:uid="{00000000-0005-0000-0000-0000AC260000}"/>
    <cellStyle name="Normal 122 4" xfId="3247" xr:uid="{00000000-0005-0000-0000-0000AD260000}"/>
    <cellStyle name="Normal 122 4 2" xfId="7437" xr:uid="{00000000-0005-0000-0000-0000AE260000}"/>
    <cellStyle name="Normal 122 4 2 2" xfId="16618" xr:uid="{00000000-0005-0000-0000-0000AF260000}"/>
    <cellStyle name="Normal 122 4 2 2 2" xfId="33192" xr:uid="{00000000-0005-0000-0000-0000B0260000}"/>
    <cellStyle name="Normal 122 4 2 3" xfId="25145" xr:uid="{00000000-0005-0000-0000-0000B1260000}"/>
    <cellStyle name="Normal 122 4 3" xfId="12724" xr:uid="{00000000-0005-0000-0000-0000B2260000}"/>
    <cellStyle name="Normal 122 4 3 2" xfId="29251" xr:uid="{00000000-0005-0000-0000-0000B3260000}"/>
    <cellStyle name="Normal 122 4 4" xfId="21208" xr:uid="{00000000-0005-0000-0000-0000B4260000}"/>
    <cellStyle name="Normal 122 5" xfId="3248" xr:uid="{00000000-0005-0000-0000-0000B5260000}"/>
    <cellStyle name="Normal 122 5 2" xfId="12725" xr:uid="{00000000-0005-0000-0000-0000B6260000}"/>
    <cellStyle name="Normal 122 5 2 2" xfId="29252" xr:uid="{00000000-0005-0000-0000-0000B7260000}"/>
    <cellStyle name="Normal 122 5 3" xfId="21209" xr:uid="{00000000-0005-0000-0000-0000B8260000}"/>
    <cellStyle name="Normal 123" xfId="3249" xr:uid="{00000000-0005-0000-0000-0000B9260000}"/>
    <cellStyle name="Normal 123 2" xfId="3250" xr:uid="{00000000-0005-0000-0000-0000BA260000}"/>
    <cellStyle name="Normal 123 2 2" xfId="7438" xr:uid="{00000000-0005-0000-0000-0000BB260000}"/>
    <cellStyle name="Normal 123 2 2 2" xfId="16619" xr:uid="{00000000-0005-0000-0000-0000BC260000}"/>
    <cellStyle name="Normal 123 2 2 2 2" xfId="33193" xr:uid="{00000000-0005-0000-0000-0000BD260000}"/>
    <cellStyle name="Normal 123 2 2 3" xfId="25146" xr:uid="{00000000-0005-0000-0000-0000BE260000}"/>
    <cellStyle name="Normal 123 2 3" xfId="12727" xr:uid="{00000000-0005-0000-0000-0000BF260000}"/>
    <cellStyle name="Normal 123 2 3 2" xfId="29254" xr:uid="{00000000-0005-0000-0000-0000C0260000}"/>
    <cellStyle name="Normal 123 2 4" xfId="21211" xr:uid="{00000000-0005-0000-0000-0000C1260000}"/>
    <cellStyle name="Normal 123 3" xfId="3251" xr:uid="{00000000-0005-0000-0000-0000C2260000}"/>
    <cellStyle name="Normal 123 3 2" xfId="12728" xr:uid="{00000000-0005-0000-0000-0000C3260000}"/>
    <cellStyle name="Normal 123 3 2 2" xfId="29255" xr:uid="{00000000-0005-0000-0000-0000C4260000}"/>
    <cellStyle name="Normal 123 3 3" xfId="21212" xr:uid="{00000000-0005-0000-0000-0000C5260000}"/>
    <cellStyle name="Normal 123 4" xfId="12726" xr:uid="{00000000-0005-0000-0000-0000C6260000}"/>
    <cellStyle name="Normal 123 4 2" xfId="29253" xr:uid="{00000000-0005-0000-0000-0000C7260000}"/>
    <cellStyle name="Normal 123 5" xfId="21210" xr:uid="{00000000-0005-0000-0000-0000C8260000}"/>
    <cellStyle name="Normal 124" xfId="3252" xr:uid="{00000000-0005-0000-0000-0000C9260000}"/>
    <cellStyle name="Normal 124 2" xfId="3253" xr:uid="{00000000-0005-0000-0000-0000CA260000}"/>
    <cellStyle name="Normal 124 3" xfId="12729" xr:uid="{00000000-0005-0000-0000-0000CB260000}"/>
    <cellStyle name="Normal 124 3 2" xfId="29256" xr:uid="{00000000-0005-0000-0000-0000CC260000}"/>
    <cellStyle name="Normal 124 4" xfId="21213" xr:uid="{00000000-0005-0000-0000-0000CD260000}"/>
    <cellStyle name="Normal 125" xfId="3254" xr:uid="{00000000-0005-0000-0000-0000CE260000}"/>
    <cellStyle name="Normal 125 2" xfId="7439" xr:uid="{00000000-0005-0000-0000-0000CF260000}"/>
    <cellStyle name="Normal 125 2 2" xfId="16620" xr:uid="{00000000-0005-0000-0000-0000D0260000}"/>
    <cellStyle name="Normal 125 2 2 2" xfId="33194" xr:uid="{00000000-0005-0000-0000-0000D1260000}"/>
    <cellStyle name="Normal 125 2 3" xfId="25147" xr:uid="{00000000-0005-0000-0000-0000D2260000}"/>
    <cellStyle name="Normal 125 3" xfId="12730" xr:uid="{00000000-0005-0000-0000-0000D3260000}"/>
    <cellStyle name="Normal 125 3 2" xfId="29257" xr:uid="{00000000-0005-0000-0000-0000D4260000}"/>
    <cellStyle name="Normal 125 4" xfId="21214" xr:uid="{00000000-0005-0000-0000-0000D5260000}"/>
    <cellStyle name="Normal 126" xfId="3255" xr:uid="{00000000-0005-0000-0000-0000D6260000}"/>
    <cellStyle name="Normal 126 2" xfId="7440" xr:uid="{00000000-0005-0000-0000-0000D7260000}"/>
    <cellStyle name="Normal 127" xfId="3256" xr:uid="{00000000-0005-0000-0000-0000D8260000}"/>
    <cellStyle name="Normal 127 2" xfId="12731" xr:uid="{00000000-0005-0000-0000-0000D9260000}"/>
    <cellStyle name="Normal 127 2 2" xfId="29258" xr:uid="{00000000-0005-0000-0000-0000DA260000}"/>
    <cellStyle name="Normal 127 3" xfId="21215" xr:uid="{00000000-0005-0000-0000-0000DB260000}"/>
    <cellStyle name="Normal 128" xfId="3257" xr:uid="{00000000-0005-0000-0000-0000DC260000}"/>
    <cellStyle name="Normal 128 2" xfId="12732" xr:uid="{00000000-0005-0000-0000-0000DD260000}"/>
    <cellStyle name="Normal 128 2 2" xfId="29259" xr:uid="{00000000-0005-0000-0000-0000DE260000}"/>
    <cellStyle name="Normal 128 3" xfId="21216" xr:uid="{00000000-0005-0000-0000-0000DF260000}"/>
    <cellStyle name="Normal 129" xfId="3258" xr:uid="{00000000-0005-0000-0000-0000E0260000}"/>
    <cellStyle name="Normal 129 2" xfId="3259" xr:uid="{00000000-0005-0000-0000-0000E1260000}"/>
    <cellStyle name="Normal 129 3" xfId="7441" xr:uid="{00000000-0005-0000-0000-0000E2260000}"/>
    <cellStyle name="Normal 129 3 2" xfId="16621" xr:uid="{00000000-0005-0000-0000-0000E3260000}"/>
    <cellStyle name="Normal 129 3 2 2" xfId="33195" xr:uid="{00000000-0005-0000-0000-0000E4260000}"/>
    <cellStyle name="Normal 129 3 3" xfId="25148" xr:uid="{00000000-0005-0000-0000-0000E5260000}"/>
    <cellStyle name="Normal 13" xfId="1615" xr:uid="{00000000-0005-0000-0000-0000E6260000}"/>
    <cellStyle name="Normal 13 10" xfId="3260" xr:uid="{00000000-0005-0000-0000-0000E7260000}"/>
    <cellStyle name="Normal 13 10 2" xfId="29260" xr:uid="{00000000-0005-0000-0000-0000E8260000}"/>
    <cellStyle name="Normal 13 11" xfId="21217" xr:uid="{00000000-0005-0000-0000-0000E9260000}"/>
    <cellStyle name="Normal 13 2" xfId="1662" xr:uid="{00000000-0005-0000-0000-0000EA260000}"/>
    <cellStyle name="Normal 13 2 2" xfId="3262" xr:uid="{00000000-0005-0000-0000-0000EB260000}"/>
    <cellStyle name="Normal 13 2 3" xfId="3261" xr:uid="{00000000-0005-0000-0000-0000EC260000}"/>
    <cellStyle name="Normal 13 2 3 2" xfId="29261" xr:uid="{00000000-0005-0000-0000-0000ED260000}"/>
    <cellStyle name="Normal 13 2 4" xfId="21218" xr:uid="{00000000-0005-0000-0000-0000EE260000}"/>
    <cellStyle name="Normal 13 3" xfId="3263" xr:uid="{00000000-0005-0000-0000-0000EF260000}"/>
    <cellStyle name="Normal 13 3 2" xfId="3264" xr:uid="{00000000-0005-0000-0000-0000F0260000}"/>
    <cellStyle name="Normal 13 3 2 2" xfId="3265" xr:uid="{00000000-0005-0000-0000-0000F1260000}"/>
    <cellStyle name="Normal 13 3 2 2 2" xfId="3266" xr:uid="{00000000-0005-0000-0000-0000F2260000}"/>
    <cellStyle name="Normal 13 3 2 2 2 2" xfId="3267" xr:uid="{00000000-0005-0000-0000-0000F3260000}"/>
    <cellStyle name="Normal 13 3 2 2 2 2 2" xfId="12736" xr:uid="{00000000-0005-0000-0000-0000F4260000}"/>
    <cellStyle name="Normal 13 3 2 2 2 2 2 2" xfId="29265" xr:uid="{00000000-0005-0000-0000-0000F5260000}"/>
    <cellStyle name="Normal 13 3 2 2 2 2 3" xfId="21222" xr:uid="{00000000-0005-0000-0000-0000F6260000}"/>
    <cellStyle name="Normal 13 3 2 2 2 3" xfId="12735" xr:uid="{00000000-0005-0000-0000-0000F7260000}"/>
    <cellStyle name="Normal 13 3 2 2 2 3 2" xfId="29264" xr:uid="{00000000-0005-0000-0000-0000F8260000}"/>
    <cellStyle name="Normal 13 3 2 2 2 4" xfId="21221" xr:uid="{00000000-0005-0000-0000-0000F9260000}"/>
    <cellStyle name="Normal 13 3 2 2 3" xfId="7442" xr:uid="{00000000-0005-0000-0000-0000FA260000}"/>
    <cellStyle name="Normal 13 3 2 2 3 2" xfId="16622" xr:uid="{00000000-0005-0000-0000-0000FB260000}"/>
    <cellStyle name="Normal 13 3 2 2 3 2 2" xfId="33196" xr:uid="{00000000-0005-0000-0000-0000FC260000}"/>
    <cellStyle name="Normal 13 3 2 2 3 3" xfId="25149" xr:uid="{00000000-0005-0000-0000-0000FD260000}"/>
    <cellStyle name="Normal 13 3 2 2 4" xfId="12734" xr:uid="{00000000-0005-0000-0000-0000FE260000}"/>
    <cellStyle name="Normal 13 3 2 2 4 2" xfId="29263" xr:uid="{00000000-0005-0000-0000-0000FF260000}"/>
    <cellStyle name="Normal 13 3 2 2 5" xfId="21220" xr:uid="{00000000-0005-0000-0000-000000270000}"/>
    <cellStyle name="Normal 13 3 2 3" xfId="3268" xr:uid="{00000000-0005-0000-0000-000001270000}"/>
    <cellStyle name="Normal 13 3 2 3 2" xfId="7443" xr:uid="{00000000-0005-0000-0000-000002270000}"/>
    <cellStyle name="Normal 13 3 2 3 2 2" xfId="16623" xr:uid="{00000000-0005-0000-0000-000003270000}"/>
    <cellStyle name="Normal 13 3 2 3 2 2 2" xfId="33197" xr:uid="{00000000-0005-0000-0000-000004270000}"/>
    <cellStyle name="Normal 13 3 2 3 2 3" xfId="25150" xr:uid="{00000000-0005-0000-0000-000005270000}"/>
    <cellStyle name="Normal 13 3 2 3 3" xfId="12737" xr:uid="{00000000-0005-0000-0000-000006270000}"/>
    <cellStyle name="Normal 13 3 2 3 3 2" xfId="29266" xr:uid="{00000000-0005-0000-0000-000007270000}"/>
    <cellStyle name="Normal 13 3 2 3 4" xfId="21223" xr:uid="{00000000-0005-0000-0000-000008270000}"/>
    <cellStyle name="Normal 13 3 2 4" xfId="7444" xr:uid="{00000000-0005-0000-0000-000009270000}"/>
    <cellStyle name="Normal 13 3 2 4 2" xfId="16624" xr:uid="{00000000-0005-0000-0000-00000A270000}"/>
    <cellStyle name="Normal 13 3 2 4 2 2" xfId="33198" xr:uid="{00000000-0005-0000-0000-00000B270000}"/>
    <cellStyle name="Normal 13 3 2 4 3" xfId="25151" xr:uid="{00000000-0005-0000-0000-00000C270000}"/>
    <cellStyle name="Normal 13 3 2 5" xfId="12733" xr:uid="{00000000-0005-0000-0000-00000D270000}"/>
    <cellStyle name="Normal 13 3 2 5 2" xfId="29262" xr:uid="{00000000-0005-0000-0000-00000E270000}"/>
    <cellStyle name="Normal 13 3 2 6" xfId="21219" xr:uid="{00000000-0005-0000-0000-00000F270000}"/>
    <cellStyle name="Normal 13 3 3" xfId="3269" xr:uid="{00000000-0005-0000-0000-000010270000}"/>
    <cellStyle name="Normal 13 3 3 2" xfId="3270" xr:uid="{00000000-0005-0000-0000-000011270000}"/>
    <cellStyle name="Normal 13 3 3 2 2" xfId="7445" xr:uid="{00000000-0005-0000-0000-000012270000}"/>
    <cellStyle name="Normal 13 3 3 2 2 2" xfId="16625" xr:uid="{00000000-0005-0000-0000-000013270000}"/>
    <cellStyle name="Normal 13 3 3 2 2 2 2" xfId="33199" xr:uid="{00000000-0005-0000-0000-000014270000}"/>
    <cellStyle name="Normal 13 3 3 2 2 3" xfId="25152" xr:uid="{00000000-0005-0000-0000-000015270000}"/>
    <cellStyle name="Normal 13 3 3 2 3" xfId="12739" xr:uid="{00000000-0005-0000-0000-000016270000}"/>
    <cellStyle name="Normal 13 3 3 2 3 2" xfId="29268" xr:uid="{00000000-0005-0000-0000-000017270000}"/>
    <cellStyle name="Normal 13 3 3 2 4" xfId="21225" xr:uid="{00000000-0005-0000-0000-000018270000}"/>
    <cellStyle name="Normal 13 3 3 3" xfId="7446" xr:uid="{00000000-0005-0000-0000-000019270000}"/>
    <cellStyle name="Normal 13 3 3 3 2" xfId="16626" xr:uid="{00000000-0005-0000-0000-00001A270000}"/>
    <cellStyle name="Normal 13 3 3 3 2 2" xfId="33200" xr:uid="{00000000-0005-0000-0000-00001B270000}"/>
    <cellStyle name="Normal 13 3 3 3 3" xfId="25153" xr:uid="{00000000-0005-0000-0000-00001C270000}"/>
    <cellStyle name="Normal 13 3 3 4" xfId="12738" xr:uid="{00000000-0005-0000-0000-00001D270000}"/>
    <cellStyle name="Normal 13 3 3 4 2" xfId="29267" xr:uid="{00000000-0005-0000-0000-00001E270000}"/>
    <cellStyle name="Normal 13 3 3 5" xfId="21224" xr:uid="{00000000-0005-0000-0000-00001F270000}"/>
    <cellStyle name="Normal 13 3 4" xfId="3271" xr:uid="{00000000-0005-0000-0000-000020270000}"/>
    <cellStyle name="Normal 13 3 4 2" xfId="7447" xr:uid="{00000000-0005-0000-0000-000021270000}"/>
    <cellStyle name="Normal 13 3 4 2 2" xfId="16627" xr:uid="{00000000-0005-0000-0000-000022270000}"/>
    <cellStyle name="Normal 13 3 4 2 2 2" xfId="33201" xr:uid="{00000000-0005-0000-0000-000023270000}"/>
    <cellStyle name="Normal 13 3 4 2 3" xfId="25154" xr:uid="{00000000-0005-0000-0000-000024270000}"/>
    <cellStyle name="Normal 13 3 4 3" xfId="12740" xr:uid="{00000000-0005-0000-0000-000025270000}"/>
    <cellStyle name="Normal 13 3 4 3 2" xfId="29269" xr:uid="{00000000-0005-0000-0000-000026270000}"/>
    <cellStyle name="Normal 13 3 4 4" xfId="21226" xr:uid="{00000000-0005-0000-0000-000027270000}"/>
    <cellStyle name="Normal 13 3 5" xfId="7448" xr:uid="{00000000-0005-0000-0000-000028270000}"/>
    <cellStyle name="Normal 13 3 5 2" xfId="16628" xr:uid="{00000000-0005-0000-0000-000029270000}"/>
    <cellStyle name="Normal 13 3 5 2 2" xfId="33202" xr:uid="{00000000-0005-0000-0000-00002A270000}"/>
    <cellStyle name="Normal 13 3 5 3" xfId="25155" xr:uid="{00000000-0005-0000-0000-00002B270000}"/>
    <cellStyle name="Normal 13 4" xfId="3272" xr:uid="{00000000-0005-0000-0000-00002C270000}"/>
    <cellStyle name="Normal 13 4 2" xfId="3273" xr:uid="{00000000-0005-0000-0000-00002D270000}"/>
    <cellStyle name="Normal 13 4 2 2" xfId="3274" xr:uid="{00000000-0005-0000-0000-00002E270000}"/>
    <cellStyle name="Normal 13 4 2 2 2" xfId="3275" xr:uid="{00000000-0005-0000-0000-00002F270000}"/>
    <cellStyle name="Normal 13 4 2 2 2 2" xfId="7449" xr:uid="{00000000-0005-0000-0000-000030270000}"/>
    <cellStyle name="Normal 13 4 2 2 2 2 2" xfId="16629" xr:uid="{00000000-0005-0000-0000-000031270000}"/>
    <cellStyle name="Normal 13 4 2 2 2 2 2 2" xfId="33203" xr:uid="{00000000-0005-0000-0000-000032270000}"/>
    <cellStyle name="Normal 13 4 2 2 2 2 3" xfId="25156" xr:uid="{00000000-0005-0000-0000-000033270000}"/>
    <cellStyle name="Normal 13 4 2 2 2 3" xfId="12744" xr:uid="{00000000-0005-0000-0000-000034270000}"/>
    <cellStyle name="Normal 13 4 2 2 2 3 2" xfId="29273" xr:uid="{00000000-0005-0000-0000-000035270000}"/>
    <cellStyle name="Normal 13 4 2 2 2 4" xfId="21230" xr:uid="{00000000-0005-0000-0000-000036270000}"/>
    <cellStyle name="Normal 13 4 2 2 3" xfId="7450" xr:uid="{00000000-0005-0000-0000-000037270000}"/>
    <cellStyle name="Normal 13 4 2 2 3 2" xfId="16630" xr:uid="{00000000-0005-0000-0000-000038270000}"/>
    <cellStyle name="Normal 13 4 2 2 3 2 2" xfId="33204" xr:uid="{00000000-0005-0000-0000-000039270000}"/>
    <cellStyle name="Normal 13 4 2 2 3 3" xfId="25157" xr:uid="{00000000-0005-0000-0000-00003A270000}"/>
    <cellStyle name="Normal 13 4 2 2 4" xfId="12743" xr:uid="{00000000-0005-0000-0000-00003B270000}"/>
    <cellStyle name="Normal 13 4 2 2 4 2" xfId="29272" xr:uid="{00000000-0005-0000-0000-00003C270000}"/>
    <cellStyle name="Normal 13 4 2 2 5" xfId="21229" xr:uid="{00000000-0005-0000-0000-00003D270000}"/>
    <cellStyle name="Normal 13 4 2 3" xfId="3276" xr:uid="{00000000-0005-0000-0000-00003E270000}"/>
    <cellStyle name="Normal 13 4 2 3 2" xfId="7451" xr:uid="{00000000-0005-0000-0000-00003F270000}"/>
    <cellStyle name="Normal 13 4 2 3 2 2" xfId="16631" xr:uid="{00000000-0005-0000-0000-000040270000}"/>
    <cellStyle name="Normal 13 4 2 3 2 2 2" xfId="33205" xr:uid="{00000000-0005-0000-0000-000041270000}"/>
    <cellStyle name="Normal 13 4 2 3 2 3" xfId="25158" xr:uid="{00000000-0005-0000-0000-000042270000}"/>
    <cellStyle name="Normal 13 4 2 3 3" xfId="12745" xr:uid="{00000000-0005-0000-0000-000043270000}"/>
    <cellStyle name="Normal 13 4 2 3 3 2" xfId="29274" xr:uid="{00000000-0005-0000-0000-000044270000}"/>
    <cellStyle name="Normal 13 4 2 3 4" xfId="21231" xr:uid="{00000000-0005-0000-0000-000045270000}"/>
    <cellStyle name="Normal 13 4 2 4" xfId="7452" xr:uid="{00000000-0005-0000-0000-000046270000}"/>
    <cellStyle name="Normal 13 4 2 4 2" xfId="16632" xr:uid="{00000000-0005-0000-0000-000047270000}"/>
    <cellStyle name="Normal 13 4 2 4 2 2" xfId="33206" xr:uid="{00000000-0005-0000-0000-000048270000}"/>
    <cellStyle name="Normal 13 4 2 4 3" xfId="25159" xr:uid="{00000000-0005-0000-0000-000049270000}"/>
    <cellStyle name="Normal 13 4 2 5" xfId="12742" xr:uid="{00000000-0005-0000-0000-00004A270000}"/>
    <cellStyle name="Normal 13 4 2 5 2" xfId="29271" xr:uid="{00000000-0005-0000-0000-00004B270000}"/>
    <cellStyle name="Normal 13 4 2 6" xfId="21228" xr:uid="{00000000-0005-0000-0000-00004C270000}"/>
    <cellStyle name="Normal 13 4 3" xfId="3277" xr:uid="{00000000-0005-0000-0000-00004D270000}"/>
    <cellStyle name="Normal 13 4 3 2" xfId="3278" xr:uid="{00000000-0005-0000-0000-00004E270000}"/>
    <cellStyle name="Normal 13 4 3 2 2" xfId="7453" xr:uid="{00000000-0005-0000-0000-00004F270000}"/>
    <cellStyle name="Normal 13 4 3 2 2 2" xfId="16633" xr:uid="{00000000-0005-0000-0000-000050270000}"/>
    <cellStyle name="Normal 13 4 3 2 2 2 2" xfId="33207" xr:uid="{00000000-0005-0000-0000-000051270000}"/>
    <cellStyle name="Normal 13 4 3 2 2 3" xfId="25160" xr:uid="{00000000-0005-0000-0000-000052270000}"/>
    <cellStyle name="Normal 13 4 3 2 3" xfId="12747" xr:uid="{00000000-0005-0000-0000-000053270000}"/>
    <cellStyle name="Normal 13 4 3 2 3 2" xfId="29276" xr:uid="{00000000-0005-0000-0000-000054270000}"/>
    <cellStyle name="Normal 13 4 3 2 4" xfId="21233" xr:uid="{00000000-0005-0000-0000-000055270000}"/>
    <cellStyle name="Normal 13 4 3 3" xfId="7454" xr:uid="{00000000-0005-0000-0000-000056270000}"/>
    <cellStyle name="Normal 13 4 3 3 2" xfId="16634" xr:uid="{00000000-0005-0000-0000-000057270000}"/>
    <cellStyle name="Normal 13 4 3 3 2 2" xfId="33208" xr:uid="{00000000-0005-0000-0000-000058270000}"/>
    <cellStyle name="Normal 13 4 3 3 3" xfId="25161" xr:uid="{00000000-0005-0000-0000-000059270000}"/>
    <cellStyle name="Normal 13 4 3 4" xfId="12746" xr:uid="{00000000-0005-0000-0000-00005A270000}"/>
    <cellStyle name="Normal 13 4 3 4 2" xfId="29275" xr:uid="{00000000-0005-0000-0000-00005B270000}"/>
    <cellStyle name="Normal 13 4 3 5" xfId="21232" xr:uid="{00000000-0005-0000-0000-00005C270000}"/>
    <cellStyle name="Normal 13 4 4" xfId="3279" xr:uid="{00000000-0005-0000-0000-00005D270000}"/>
    <cellStyle name="Normal 13 4 4 2" xfId="7455" xr:uid="{00000000-0005-0000-0000-00005E270000}"/>
    <cellStyle name="Normal 13 4 4 2 2" xfId="16635" xr:uid="{00000000-0005-0000-0000-00005F270000}"/>
    <cellStyle name="Normal 13 4 4 2 2 2" xfId="33209" xr:uid="{00000000-0005-0000-0000-000060270000}"/>
    <cellStyle name="Normal 13 4 4 2 3" xfId="25162" xr:uid="{00000000-0005-0000-0000-000061270000}"/>
    <cellStyle name="Normal 13 4 4 3" xfId="12748" xr:uid="{00000000-0005-0000-0000-000062270000}"/>
    <cellStyle name="Normal 13 4 4 3 2" xfId="29277" xr:uid="{00000000-0005-0000-0000-000063270000}"/>
    <cellStyle name="Normal 13 4 4 4" xfId="21234" xr:uid="{00000000-0005-0000-0000-000064270000}"/>
    <cellStyle name="Normal 13 4 5" xfId="7456" xr:uid="{00000000-0005-0000-0000-000065270000}"/>
    <cellStyle name="Normal 13 4 5 2" xfId="16636" xr:uid="{00000000-0005-0000-0000-000066270000}"/>
    <cellStyle name="Normal 13 4 5 2 2" xfId="33210" xr:uid="{00000000-0005-0000-0000-000067270000}"/>
    <cellStyle name="Normal 13 4 5 3" xfId="25163" xr:uid="{00000000-0005-0000-0000-000068270000}"/>
    <cellStyle name="Normal 13 4 6" xfId="12741" xr:uid="{00000000-0005-0000-0000-000069270000}"/>
    <cellStyle name="Normal 13 4 6 2" xfId="29270" xr:uid="{00000000-0005-0000-0000-00006A270000}"/>
    <cellStyle name="Normal 13 4 7" xfId="21227" xr:uid="{00000000-0005-0000-0000-00006B270000}"/>
    <cellStyle name="Normal 13 5" xfId="3280" xr:uid="{00000000-0005-0000-0000-00006C270000}"/>
    <cellStyle name="Normal 13 5 2" xfId="3281" xr:uid="{00000000-0005-0000-0000-00006D270000}"/>
    <cellStyle name="Normal 13 5 2 2" xfId="3282" xr:uid="{00000000-0005-0000-0000-00006E270000}"/>
    <cellStyle name="Normal 13 5 2 2 2" xfId="3283" xr:uid="{00000000-0005-0000-0000-00006F270000}"/>
    <cellStyle name="Normal 13 5 2 2 2 2" xfId="7457" xr:uid="{00000000-0005-0000-0000-000070270000}"/>
    <cellStyle name="Normal 13 5 2 2 2 2 2" xfId="16637" xr:uid="{00000000-0005-0000-0000-000071270000}"/>
    <cellStyle name="Normal 13 5 2 2 2 2 2 2" xfId="33211" xr:uid="{00000000-0005-0000-0000-000072270000}"/>
    <cellStyle name="Normal 13 5 2 2 2 2 3" xfId="25164" xr:uid="{00000000-0005-0000-0000-000073270000}"/>
    <cellStyle name="Normal 13 5 2 2 2 3" xfId="12752" xr:uid="{00000000-0005-0000-0000-000074270000}"/>
    <cellStyle name="Normal 13 5 2 2 2 3 2" xfId="29281" xr:uid="{00000000-0005-0000-0000-000075270000}"/>
    <cellStyle name="Normal 13 5 2 2 2 4" xfId="21238" xr:uid="{00000000-0005-0000-0000-000076270000}"/>
    <cellStyle name="Normal 13 5 2 2 3" xfId="7458" xr:uid="{00000000-0005-0000-0000-000077270000}"/>
    <cellStyle name="Normal 13 5 2 2 3 2" xfId="16638" xr:uid="{00000000-0005-0000-0000-000078270000}"/>
    <cellStyle name="Normal 13 5 2 2 3 2 2" xfId="33212" xr:uid="{00000000-0005-0000-0000-000079270000}"/>
    <cellStyle name="Normal 13 5 2 2 3 3" xfId="25165" xr:uid="{00000000-0005-0000-0000-00007A270000}"/>
    <cellStyle name="Normal 13 5 2 2 4" xfId="12751" xr:uid="{00000000-0005-0000-0000-00007B270000}"/>
    <cellStyle name="Normal 13 5 2 2 4 2" xfId="29280" xr:uid="{00000000-0005-0000-0000-00007C270000}"/>
    <cellStyle name="Normal 13 5 2 2 5" xfId="21237" xr:uid="{00000000-0005-0000-0000-00007D270000}"/>
    <cellStyle name="Normal 13 5 2 3" xfId="3284" xr:uid="{00000000-0005-0000-0000-00007E270000}"/>
    <cellStyle name="Normal 13 5 2 3 2" xfId="7459" xr:uid="{00000000-0005-0000-0000-00007F270000}"/>
    <cellStyle name="Normal 13 5 2 3 2 2" xfId="16639" xr:uid="{00000000-0005-0000-0000-000080270000}"/>
    <cellStyle name="Normal 13 5 2 3 2 2 2" xfId="33213" xr:uid="{00000000-0005-0000-0000-000081270000}"/>
    <cellStyle name="Normal 13 5 2 3 2 3" xfId="25166" xr:uid="{00000000-0005-0000-0000-000082270000}"/>
    <cellStyle name="Normal 13 5 2 3 3" xfId="12753" xr:uid="{00000000-0005-0000-0000-000083270000}"/>
    <cellStyle name="Normal 13 5 2 3 3 2" xfId="29282" xr:uid="{00000000-0005-0000-0000-000084270000}"/>
    <cellStyle name="Normal 13 5 2 3 4" xfId="21239" xr:uid="{00000000-0005-0000-0000-000085270000}"/>
    <cellStyle name="Normal 13 5 2 4" xfId="7460" xr:uid="{00000000-0005-0000-0000-000086270000}"/>
    <cellStyle name="Normal 13 5 2 4 2" xfId="16640" xr:uid="{00000000-0005-0000-0000-000087270000}"/>
    <cellStyle name="Normal 13 5 2 4 2 2" xfId="33214" xr:uid="{00000000-0005-0000-0000-000088270000}"/>
    <cellStyle name="Normal 13 5 2 4 3" xfId="25167" xr:uid="{00000000-0005-0000-0000-000089270000}"/>
    <cellStyle name="Normal 13 5 2 5" xfId="12750" xr:uid="{00000000-0005-0000-0000-00008A270000}"/>
    <cellStyle name="Normal 13 5 2 5 2" xfId="29279" xr:uid="{00000000-0005-0000-0000-00008B270000}"/>
    <cellStyle name="Normal 13 5 2 6" xfId="21236" xr:uid="{00000000-0005-0000-0000-00008C270000}"/>
    <cellStyle name="Normal 13 5 3" xfId="3285" xr:uid="{00000000-0005-0000-0000-00008D270000}"/>
    <cellStyle name="Normal 13 5 3 2" xfId="3286" xr:uid="{00000000-0005-0000-0000-00008E270000}"/>
    <cellStyle name="Normal 13 5 3 2 2" xfId="7461" xr:uid="{00000000-0005-0000-0000-00008F270000}"/>
    <cellStyle name="Normal 13 5 3 2 2 2" xfId="16641" xr:uid="{00000000-0005-0000-0000-000090270000}"/>
    <cellStyle name="Normal 13 5 3 2 2 2 2" xfId="33215" xr:uid="{00000000-0005-0000-0000-000091270000}"/>
    <cellStyle name="Normal 13 5 3 2 2 3" xfId="25168" xr:uid="{00000000-0005-0000-0000-000092270000}"/>
    <cellStyle name="Normal 13 5 3 2 3" xfId="12755" xr:uid="{00000000-0005-0000-0000-000093270000}"/>
    <cellStyle name="Normal 13 5 3 2 3 2" xfId="29284" xr:uid="{00000000-0005-0000-0000-000094270000}"/>
    <cellStyle name="Normal 13 5 3 2 4" xfId="21241" xr:uid="{00000000-0005-0000-0000-000095270000}"/>
    <cellStyle name="Normal 13 5 3 3" xfId="7462" xr:uid="{00000000-0005-0000-0000-000096270000}"/>
    <cellStyle name="Normal 13 5 3 3 2" xfId="16642" xr:uid="{00000000-0005-0000-0000-000097270000}"/>
    <cellStyle name="Normal 13 5 3 3 2 2" xfId="33216" xr:uid="{00000000-0005-0000-0000-000098270000}"/>
    <cellStyle name="Normal 13 5 3 3 3" xfId="25169" xr:uid="{00000000-0005-0000-0000-000099270000}"/>
    <cellStyle name="Normal 13 5 3 4" xfId="12754" xr:uid="{00000000-0005-0000-0000-00009A270000}"/>
    <cellStyle name="Normal 13 5 3 4 2" xfId="29283" xr:uid="{00000000-0005-0000-0000-00009B270000}"/>
    <cellStyle name="Normal 13 5 3 5" xfId="21240" xr:uid="{00000000-0005-0000-0000-00009C270000}"/>
    <cellStyle name="Normal 13 5 4" xfId="3287" xr:uid="{00000000-0005-0000-0000-00009D270000}"/>
    <cellStyle name="Normal 13 5 4 2" xfId="7463" xr:uid="{00000000-0005-0000-0000-00009E270000}"/>
    <cellStyle name="Normal 13 5 4 2 2" xfId="16643" xr:uid="{00000000-0005-0000-0000-00009F270000}"/>
    <cellStyle name="Normal 13 5 4 2 2 2" xfId="33217" xr:uid="{00000000-0005-0000-0000-0000A0270000}"/>
    <cellStyle name="Normal 13 5 4 2 3" xfId="25170" xr:uid="{00000000-0005-0000-0000-0000A1270000}"/>
    <cellStyle name="Normal 13 5 4 3" xfId="12756" xr:uid="{00000000-0005-0000-0000-0000A2270000}"/>
    <cellStyle name="Normal 13 5 4 3 2" xfId="29285" xr:uid="{00000000-0005-0000-0000-0000A3270000}"/>
    <cellStyle name="Normal 13 5 4 4" xfId="21242" xr:uid="{00000000-0005-0000-0000-0000A4270000}"/>
    <cellStyle name="Normal 13 5 5" xfId="7464" xr:uid="{00000000-0005-0000-0000-0000A5270000}"/>
    <cellStyle name="Normal 13 5 5 2" xfId="16644" xr:uid="{00000000-0005-0000-0000-0000A6270000}"/>
    <cellStyle name="Normal 13 5 5 2 2" xfId="33218" xr:uid="{00000000-0005-0000-0000-0000A7270000}"/>
    <cellStyle name="Normal 13 5 5 3" xfId="25171" xr:uid="{00000000-0005-0000-0000-0000A8270000}"/>
    <cellStyle name="Normal 13 5 6" xfId="12749" xr:uid="{00000000-0005-0000-0000-0000A9270000}"/>
    <cellStyle name="Normal 13 5 6 2" xfId="29278" xr:uid="{00000000-0005-0000-0000-0000AA270000}"/>
    <cellStyle name="Normal 13 5 7" xfId="21235" xr:uid="{00000000-0005-0000-0000-0000AB270000}"/>
    <cellStyle name="Normal 13 6" xfId="3288" xr:uid="{00000000-0005-0000-0000-0000AC270000}"/>
    <cellStyle name="Normal 13 6 2" xfId="3289" xr:uid="{00000000-0005-0000-0000-0000AD270000}"/>
    <cellStyle name="Normal 13 6 2 2" xfId="3290" xr:uid="{00000000-0005-0000-0000-0000AE270000}"/>
    <cellStyle name="Normal 13 6 2 2 2" xfId="7465" xr:uid="{00000000-0005-0000-0000-0000AF270000}"/>
    <cellStyle name="Normal 13 6 2 2 2 2" xfId="16645" xr:uid="{00000000-0005-0000-0000-0000B0270000}"/>
    <cellStyle name="Normal 13 6 2 2 2 2 2" xfId="33219" xr:uid="{00000000-0005-0000-0000-0000B1270000}"/>
    <cellStyle name="Normal 13 6 2 2 2 3" xfId="25172" xr:uid="{00000000-0005-0000-0000-0000B2270000}"/>
    <cellStyle name="Normal 13 6 2 2 3" xfId="12759" xr:uid="{00000000-0005-0000-0000-0000B3270000}"/>
    <cellStyle name="Normal 13 6 2 2 3 2" xfId="29288" xr:uid="{00000000-0005-0000-0000-0000B4270000}"/>
    <cellStyle name="Normal 13 6 2 2 4" xfId="21245" xr:uid="{00000000-0005-0000-0000-0000B5270000}"/>
    <cellStyle name="Normal 13 6 2 3" xfId="7466" xr:uid="{00000000-0005-0000-0000-0000B6270000}"/>
    <cellStyle name="Normal 13 6 2 3 2" xfId="16646" xr:uid="{00000000-0005-0000-0000-0000B7270000}"/>
    <cellStyle name="Normal 13 6 2 3 2 2" xfId="33220" xr:uid="{00000000-0005-0000-0000-0000B8270000}"/>
    <cellStyle name="Normal 13 6 2 3 3" xfId="25173" xr:uid="{00000000-0005-0000-0000-0000B9270000}"/>
    <cellStyle name="Normal 13 6 2 4" xfId="12758" xr:uid="{00000000-0005-0000-0000-0000BA270000}"/>
    <cellStyle name="Normal 13 6 2 4 2" xfId="29287" xr:uid="{00000000-0005-0000-0000-0000BB270000}"/>
    <cellStyle name="Normal 13 6 2 5" xfId="21244" xr:uid="{00000000-0005-0000-0000-0000BC270000}"/>
    <cellStyle name="Normal 13 6 3" xfId="3291" xr:uid="{00000000-0005-0000-0000-0000BD270000}"/>
    <cellStyle name="Normal 13 6 3 2" xfId="7467" xr:uid="{00000000-0005-0000-0000-0000BE270000}"/>
    <cellStyle name="Normal 13 6 3 2 2" xfId="16647" xr:uid="{00000000-0005-0000-0000-0000BF270000}"/>
    <cellStyle name="Normal 13 6 3 2 2 2" xfId="33221" xr:uid="{00000000-0005-0000-0000-0000C0270000}"/>
    <cellStyle name="Normal 13 6 3 2 3" xfId="25174" xr:uid="{00000000-0005-0000-0000-0000C1270000}"/>
    <cellStyle name="Normal 13 6 3 3" xfId="12760" xr:uid="{00000000-0005-0000-0000-0000C2270000}"/>
    <cellStyle name="Normal 13 6 3 3 2" xfId="29289" xr:uid="{00000000-0005-0000-0000-0000C3270000}"/>
    <cellStyle name="Normal 13 6 3 4" xfId="21246" xr:uid="{00000000-0005-0000-0000-0000C4270000}"/>
    <cellStyle name="Normal 13 6 4" xfId="7468" xr:uid="{00000000-0005-0000-0000-0000C5270000}"/>
    <cellStyle name="Normal 13 6 4 2" xfId="16648" xr:uid="{00000000-0005-0000-0000-0000C6270000}"/>
    <cellStyle name="Normal 13 6 4 2 2" xfId="33222" xr:uid="{00000000-0005-0000-0000-0000C7270000}"/>
    <cellStyle name="Normal 13 6 4 3" xfId="25175" xr:uid="{00000000-0005-0000-0000-0000C8270000}"/>
    <cellStyle name="Normal 13 6 5" xfId="12757" xr:uid="{00000000-0005-0000-0000-0000C9270000}"/>
    <cellStyle name="Normal 13 6 5 2" xfId="29286" xr:uid="{00000000-0005-0000-0000-0000CA270000}"/>
    <cellStyle name="Normal 13 6 6" xfId="21243" xr:uid="{00000000-0005-0000-0000-0000CB270000}"/>
    <cellStyle name="Normal 13 7" xfId="3292" xr:uid="{00000000-0005-0000-0000-0000CC270000}"/>
    <cellStyle name="Normal 13 7 2" xfId="3293" xr:uid="{00000000-0005-0000-0000-0000CD270000}"/>
    <cellStyle name="Normal 13 7 2 2" xfId="7469" xr:uid="{00000000-0005-0000-0000-0000CE270000}"/>
    <cellStyle name="Normal 13 7 2 2 2" xfId="16649" xr:uid="{00000000-0005-0000-0000-0000CF270000}"/>
    <cellStyle name="Normal 13 7 2 2 2 2" xfId="33223" xr:uid="{00000000-0005-0000-0000-0000D0270000}"/>
    <cellStyle name="Normal 13 7 2 2 3" xfId="25176" xr:uid="{00000000-0005-0000-0000-0000D1270000}"/>
    <cellStyle name="Normal 13 7 2 3" xfId="12762" xr:uid="{00000000-0005-0000-0000-0000D2270000}"/>
    <cellStyle name="Normal 13 7 2 3 2" xfId="29291" xr:uid="{00000000-0005-0000-0000-0000D3270000}"/>
    <cellStyle name="Normal 13 7 2 4" xfId="21248" xr:uid="{00000000-0005-0000-0000-0000D4270000}"/>
    <cellStyle name="Normal 13 7 3" xfId="7470" xr:uid="{00000000-0005-0000-0000-0000D5270000}"/>
    <cellStyle name="Normal 13 7 3 2" xfId="16650" xr:uid="{00000000-0005-0000-0000-0000D6270000}"/>
    <cellStyle name="Normal 13 7 3 2 2" xfId="33224" xr:uid="{00000000-0005-0000-0000-0000D7270000}"/>
    <cellStyle name="Normal 13 7 3 3" xfId="25177" xr:uid="{00000000-0005-0000-0000-0000D8270000}"/>
    <cellStyle name="Normal 13 7 4" xfId="12761" xr:uid="{00000000-0005-0000-0000-0000D9270000}"/>
    <cellStyle name="Normal 13 7 4 2" xfId="29290" xr:uid="{00000000-0005-0000-0000-0000DA270000}"/>
    <cellStyle name="Normal 13 7 5" xfId="21247" xr:uid="{00000000-0005-0000-0000-0000DB270000}"/>
    <cellStyle name="Normal 13 8" xfId="3294" xr:uid="{00000000-0005-0000-0000-0000DC270000}"/>
    <cellStyle name="Normal 13 8 2" xfId="7471" xr:uid="{00000000-0005-0000-0000-0000DD270000}"/>
    <cellStyle name="Normal 13 8 2 2" xfId="16651" xr:uid="{00000000-0005-0000-0000-0000DE270000}"/>
    <cellStyle name="Normal 13 8 2 2 2" xfId="33225" xr:uid="{00000000-0005-0000-0000-0000DF270000}"/>
    <cellStyle name="Normal 13 8 2 3" xfId="25178" xr:uid="{00000000-0005-0000-0000-0000E0270000}"/>
    <cellStyle name="Normal 13 8 3" xfId="12763" xr:uid="{00000000-0005-0000-0000-0000E1270000}"/>
    <cellStyle name="Normal 13 8 3 2" xfId="29292" xr:uid="{00000000-0005-0000-0000-0000E2270000}"/>
    <cellStyle name="Normal 13 8 4" xfId="21249" xr:uid="{00000000-0005-0000-0000-0000E3270000}"/>
    <cellStyle name="Normal 13 9" xfId="7472" xr:uid="{00000000-0005-0000-0000-0000E4270000}"/>
    <cellStyle name="Normal 13 9 2" xfId="16652" xr:uid="{00000000-0005-0000-0000-0000E5270000}"/>
    <cellStyle name="Normal 13 9 2 2" xfId="33226" xr:uid="{00000000-0005-0000-0000-0000E6270000}"/>
    <cellStyle name="Normal 13 9 3" xfId="25179" xr:uid="{00000000-0005-0000-0000-0000E7270000}"/>
    <cellStyle name="Normal 130" xfId="7473" xr:uid="{00000000-0005-0000-0000-0000E8270000}"/>
    <cellStyle name="Normal 130 2" xfId="16653" xr:uid="{00000000-0005-0000-0000-0000E9270000}"/>
    <cellStyle name="Normal 130 2 2" xfId="33227" xr:uid="{00000000-0005-0000-0000-0000EA270000}"/>
    <cellStyle name="Normal 130 3" xfId="25180" xr:uid="{00000000-0005-0000-0000-0000EB270000}"/>
    <cellStyle name="Normal 131" xfId="7474" xr:uid="{00000000-0005-0000-0000-0000EC270000}"/>
    <cellStyle name="Normal 132" xfId="6624" xr:uid="{00000000-0005-0000-0000-0000ED270000}"/>
    <cellStyle name="Normal 132 2" xfId="6633" xr:uid="{00000000-0005-0000-0000-0000EE270000}"/>
    <cellStyle name="Normal 132 3" xfId="15855" xr:uid="{00000000-0005-0000-0000-0000EF270000}"/>
    <cellStyle name="Normal 132 3 2" xfId="32427" xr:uid="{00000000-0005-0000-0000-0000F0270000}"/>
    <cellStyle name="Normal 132 4" xfId="24380" xr:uid="{00000000-0005-0000-0000-0000F1270000}"/>
    <cellStyle name="Normal 133" xfId="6629" xr:uid="{00000000-0005-0000-0000-0000F2270000}"/>
    <cellStyle name="Normal 134" xfId="2013" xr:uid="{00000000-0005-0000-0000-0000F3270000}"/>
    <cellStyle name="Normal 134 2" xfId="11356" xr:uid="{00000000-0005-0000-0000-0000F4270000}"/>
    <cellStyle name="Normal 134 2 2" xfId="28177" xr:uid="{00000000-0005-0000-0000-0000F5270000}"/>
    <cellStyle name="Normal 134 3" xfId="19833" xr:uid="{00000000-0005-0000-0000-0000F6270000}"/>
    <cellStyle name="Normal 135" xfId="10413" xr:uid="{00000000-0005-0000-0000-0000F7270000}"/>
    <cellStyle name="Normal 135 2" xfId="19577" xr:uid="{00000000-0005-0000-0000-0000F8270000}"/>
    <cellStyle name="Normal 135 2 2" xfId="36154" xr:uid="{00000000-0005-0000-0000-0000F9270000}"/>
    <cellStyle name="Normal 135 3" xfId="28107" xr:uid="{00000000-0005-0000-0000-0000FA270000}"/>
    <cellStyle name="Normal 136" xfId="10425" xr:uid="{00000000-0005-0000-0000-0000FB270000}"/>
    <cellStyle name="Normal 136 2" xfId="28157" xr:uid="{00000000-0005-0000-0000-0000FC270000}"/>
    <cellStyle name="Normal 137" xfId="10428" xr:uid="{00000000-0005-0000-0000-0000FD270000}"/>
    <cellStyle name="Normal 138" xfId="10431" xr:uid="{00000000-0005-0000-0000-0000FE270000}"/>
    <cellStyle name="Normal 139" xfId="10434" xr:uid="{00000000-0005-0000-0000-0000FF270000}"/>
    <cellStyle name="Normal 14" xfId="1635" xr:uid="{00000000-0005-0000-0000-000000280000}"/>
    <cellStyle name="Normal 14 10" xfId="3295" xr:uid="{00000000-0005-0000-0000-000001280000}"/>
    <cellStyle name="Normal 14 10 2" xfId="29293" xr:uid="{00000000-0005-0000-0000-000002280000}"/>
    <cellStyle name="Normal 14 11" xfId="21250" xr:uid="{00000000-0005-0000-0000-000003280000}"/>
    <cellStyle name="Normal 14 2" xfId="1664" xr:uid="{00000000-0005-0000-0000-000004280000}"/>
    <cellStyle name="Normal 14 2 2" xfId="3297" xr:uid="{00000000-0005-0000-0000-000005280000}"/>
    <cellStyle name="Normal 14 2 3" xfId="3296" xr:uid="{00000000-0005-0000-0000-000006280000}"/>
    <cellStyle name="Normal 14 2 3 2" xfId="29294" xr:uid="{00000000-0005-0000-0000-000007280000}"/>
    <cellStyle name="Normal 14 2 4" xfId="21251" xr:uid="{00000000-0005-0000-0000-000008280000}"/>
    <cellStyle name="Normal 14 3" xfId="3298" xr:uid="{00000000-0005-0000-0000-000009280000}"/>
    <cellStyle name="Normal 14 3 2" xfId="3299" xr:uid="{00000000-0005-0000-0000-00000A280000}"/>
    <cellStyle name="Normal 14 3 2 2" xfId="3300" xr:uid="{00000000-0005-0000-0000-00000B280000}"/>
    <cellStyle name="Normal 14 3 2 2 2" xfId="3301" xr:uid="{00000000-0005-0000-0000-00000C280000}"/>
    <cellStyle name="Normal 14 3 2 2 2 2" xfId="7475" xr:uid="{00000000-0005-0000-0000-00000D280000}"/>
    <cellStyle name="Normal 14 3 2 2 2 2 2" xfId="16654" xr:uid="{00000000-0005-0000-0000-00000E280000}"/>
    <cellStyle name="Normal 14 3 2 2 2 2 2 2" xfId="33228" xr:uid="{00000000-0005-0000-0000-00000F280000}"/>
    <cellStyle name="Normal 14 3 2 2 2 2 3" xfId="25181" xr:uid="{00000000-0005-0000-0000-000010280000}"/>
    <cellStyle name="Normal 14 3 2 2 2 3" xfId="12766" xr:uid="{00000000-0005-0000-0000-000011280000}"/>
    <cellStyle name="Normal 14 3 2 2 2 3 2" xfId="29297" xr:uid="{00000000-0005-0000-0000-000012280000}"/>
    <cellStyle name="Normal 14 3 2 2 2 4" xfId="21254" xr:uid="{00000000-0005-0000-0000-000013280000}"/>
    <cellStyle name="Normal 14 3 2 2 3" xfId="7476" xr:uid="{00000000-0005-0000-0000-000014280000}"/>
    <cellStyle name="Normal 14 3 2 2 3 2" xfId="16655" xr:uid="{00000000-0005-0000-0000-000015280000}"/>
    <cellStyle name="Normal 14 3 2 2 3 2 2" xfId="33229" xr:uid="{00000000-0005-0000-0000-000016280000}"/>
    <cellStyle name="Normal 14 3 2 2 3 3" xfId="25182" xr:uid="{00000000-0005-0000-0000-000017280000}"/>
    <cellStyle name="Normal 14 3 2 2 4" xfId="12765" xr:uid="{00000000-0005-0000-0000-000018280000}"/>
    <cellStyle name="Normal 14 3 2 2 4 2" xfId="29296" xr:uid="{00000000-0005-0000-0000-000019280000}"/>
    <cellStyle name="Normal 14 3 2 2 5" xfId="21253" xr:uid="{00000000-0005-0000-0000-00001A280000}"/>
    <cellStyle name="Normal 14 3 2 3" xfId="3302" xr:uid="{00000000-0005-0000-0000-00001B280000}"/>
    <cellStyle name="Normal 14 3 2 3 2" xfId="7477" xr:uid="{00000000-0005-0000-0000-00001C280000}"/>
    <cellStyle name="Normal 14 3 2 3 2 2" xfId="16656" xr:uid="{00000000-0005-0000-0000-00001D280000}"/>
    <cellStyle name="Normal 14 3 2 3 2 2 2" xfId="33230" xr:uid="{00000000-0005-0000-0000-00001E280000}"/>
    <cellStyle name="Normal 14 3 2 3 2 3" xfId="25183" xr:uid="{00000000-0005-0000-0000-00001F280000}"/>
    <cellStyle name="Normal 14 3 2 3 3" xfId="12767" xr:uid="{00000000-0005-0000-0000-000020280000}"/>
    <cellStyle name="Normal 14 3 2 3 3 2" xfId="29298" xr:uid="{00000000-0005-0000-0000-000021280000}"/>
    <cellStyle name="Normal 14 3 2 3 4" xfId="21255" xr:uid="{00000000-0005-0000-0000-000022280000}"/>
    <cellStyle name="Normal 14 3 2 4" xfId="7478" xr:uid="{00000000-0005-0000-0000-000023280000}"/>
    <cellStyle name="Normal 14 3 2 4 2" xfId="16657" xr:uid="{00000000-0005-0000-0000-000024280000}"/>
    <cellStyle name="Normal 14 3 2 4 2 2" xfId="33231" xr:uid="{00000000-0005-0000-0000-000025280000}"/>
    <cellStyle name="Normal 14 3 2 4 3" xfId="25184" xr:uid="{00000000-0005-0000-0000-000026280000}"/>
    <cellStyle name="Normal 14 3 2 5" xfId="12764" xr:uid="{00000000-0005-0000-0000-000027280000}"/>
    <cellStyle name="Normal 14 3 2 5 2" xfId="29295" xr:uid="{00000000-0005-0000-0000-000028280000}"/>
    <cellStyle name="Normal 14 3 2 6" xfId="21252" xr:uid="{00000000-0005-0000-0000-000029280000}"/>
    <cellStyle name="Normal 14 3 3" xfId="3303" xr:uid="{00000000-0005-0000-0000-00002A280000}"/>
    <cellStyle name="Normal 14 3 3 2" xfId="3304" xr:uid="{00000000-0005-0000-0000-00002B280000}"/>
    <cellStyle name="Normal 14 3 3 2 2" xfId="7479" xr:uid="{00000000-0005-0000-0000-00002C280000}"/>
    <cellStyle name="Normal 14 3 3 2 2 2" xfId="16658" xr:uid="{00000000-0005-0000-0000-00002D280000}"/>
    <cellStyle name="Normal 14 3 3 2 2 2 2" xfId="33232" xr:uid="{00000000-0005-0000-0000-00002E280000}"/>
    <cellStyle name="Normal 14 3 3 2 2 3" xfId="25185" xr:uid="{00000000-0005-0000-0000-00002F280000}"/>
    <cellStyle name="Normal 14 3 3 2 3" xfId="12769" xr:uid="{00000000-0005-0000-0000-000030280000}"/>
    <cellStyle name="Normal 14 3 3 2 3 2" xfId="29300" xr:uid="{00000000-0005-0000-0000-000031280000}"/>
    <cellStyle name="Normal 14 3 3 2 4" xfId="21257" xr:uid="{00000000-0005-0000-0000-000032280000}"/>
    <cellStyle name="Normal 14 3 3 3" xfId="7480" xr:uid="{00000000-0005-0000-0000-000033280000}"/>
    <cellStyle name="Normal 14 3 3 3 2" xfId="16659" xr:uid="{00000000-0005-0000-0000-000034280000}"/>
    <cellStyle name="Normal 14 3 3 3 2 2" xfId="33233" xr:uid="{00000000-0005-0000-0000-000035280000}"/>
    <cellStyle name="Normal 14 3 3 3 3" xfId="25186" xr:uid="{00000000-0005-0000-0000-000036280000}"/>
    <cellStyle name="Normal 14 3 3 4" xfId="12768" xr:uid="{00000000-0005-0000-0000-000037280000}"/>
    <cellStyle name="Normal 14 3 3 4 2" xfId="29299" xr:uid="{00000000-0005-0000-0000-000038280000}"/>
    <cellStyle name="Normal 14 3 3 5" xfId="21256" xr:uid="{00000000-0005-0000-0000-000039280000}"/>
    <cellStyle name="Normal 14 3 4" xfId="3305" xr:uid="{00000000-0005-0000-0000-00003A280000}"/>
    <cellStyle name="Normal 14 3 4 2" xfId="7481" xr:uid="{00000000-0005-0000-0000-00003B280000}"/>
    <cellStyle name="Normal 14 3 4 2 2" xfId="16660" xr:uid="{00000000-0005-0000-0000-00003C280000}"/>
    <cellStyle name="Normal 14 3 4 2 2 2" xfId="33234" xr:uid="{00000000-0005-0000-0000-00003D280000}"/>
    <cellStyle name="Normal 14 3 4 2 3" xfId="25187" xr:uid="{00000000-0005-0000-0000-00003E280000}"/>
    <cellStyle name="Normal 14 3 4 3" xfId="12770" xr:uid="{00000000-0005-0000-0000-00003F280000}"/>
    <cellStyle name="Normal 14 3 4 3 2" xfId="29301" xr:uid="{00000000-0005-0000-0000-000040280000}"/>
    <cellStyle name="Normal 14 3 4 4" xfId="21258" xr:uid="{00000000-0005-0000-0000-000041280000}"/>
    <cellStyle name="Normal 14 3 5" xfId="3306" xr:uid="{00000000-0005-0000-0000-000042280000}"/>
    <cellStyle name="Normal 14 3 5 2" xfId="12771" xr:uid="{00000000-0005-0000-0000-000043280000}"/>
    <cellStyle name="Normal 14 3 5 2 2" xfId="29302" xr:uid="{00000000-0005-0000-0000-000044280000}"/>
    <cellStyle name="Normal 14 3 5 3" xfId="21259" xr:uid="{00000000-0005-0000-0000-000045280000}"/>
    <cellStyle name="Normal 14 4" xfId="3307" xr:uid="{00000000-0005-0000-0000-000046280000}"/>
    <cellStyle name="Normal 14 4 2" xfId="3308" xr:uid="{00000000-0005-0000-0000-000047280000}"/>
    <cellStyle name="Normal 14 4 2 2" xfId="3309" xr:uid="{00000000-0005-0000-0000-000048280000}"/>
    <cellStyle name="Normal 14 4 2 2 2" xfId="3310" xr:uid="{00000000-0005-0000-0000-000049280000}"/>
    <cellStyle name="Normal 14 4 2 2 2 2" xfId="7482" xr:uid="{00000000-0005-0000-0000-00004A280000}"/>
    <cellStyle name="Normal 14 4 2 2 2 2 2" xfId="16661" xr:uid="{00000000-0005-0000-0000-00004B280000}"/>
    <cellStyle name="Normal 14 4 2 2 2 2 2 2" xfId="33235" xr:uid="{00000000-0005-0000-0000-00004C280000}"/>
    <cellStyle name="Normal 14 4 2 2 2 2 3" xfId="25188" xr:uid="{00000000-0005-0000-0000-00004D280000}"/>
    <cellStyle name="Normal 14 4 2 2 2 3" xfId="12775" xr:uid="{00000000-0005-0000-0000-00004E280000}"/>
    <cellStyle name="Normal 14 4 2 2 2 3 2" xfId="29306" xr:uid="{00000000-0005-0000-0000-00004F280000}"/>
    <cellStyle name="Normal 14 4 2 2 2 4" xfId="21263" xr:uid="{00000000-0005-0000-0000-000050280000}"/>
    <cellStyle name="Normal 14 4 2 2 3" xfId="7483" xr:uid="{00000000-0005-0000-0000-000051280000}"/>
    <cellStyle name="Normal 14 4 2 2 3 2" xfId="16662" xr:uid="{00000000-0005-0000-0000-000052280000}"/>
    <cellStyle name="Normal 14 4 2 2 3 2 2" xfId="33236" xr:uid="{00000000-0005-0000-0000-000053280000}"/>
    <cellStyle name="Normal 14 4 2 2 3 3" xfId="25189" xr:uid="{00000000-0005-0000-0000-000054280000}"/>
    <cellStyle name="Normal 14 4 2 2 4" xfId="12774" xr:uid="{00000000-0005-0000-0000-000055280000}"/>
    <cellStyle name="Normal 14 4 2 2 4 2" xfId="29305" xr:uid="{00000000-0005-0000-0000-000056280000}"/>
    <cellStyle name="Normal 14 4 2 2 5" xfId="21262" xr:uid="{00000000-0005-0000-0000-000057280000}"/>
    <cellStyle name="Normal 14 4 2 3" xfId="3311" xr:uid="{00000000-0005-0000-0000-000058280000}"/>
    <cellStyle name="Normal 14 4 2 3 2" xfId="7484" xr:uid="{00000000-0005-0000-0000-000059280000}"/>
    <cellStyle name="Normal 14 4 2 3 2 2" xfId="16663" xr:uid="{00000000-0005-0000-0000-00005A280000}"/>
    <cellStyle name="Normal 14 4 2 3 2 2 2" xfId="33237" xr:uid="{00000000-0005-0000-0000-00005B280000}"/>
    <cellStyle name="Normal 14 4 2 3 2 3" xfId="25190" xr:uid="{00000000-0005-0000-0000-00005C280000}"/>
    <cellStyle name="Normal 14 4 2 3 3" xfId="12776" xr:uid="{00000000-0005-0000-0000-00005D280000}"/>
    <cellStyle name="Normal 14 4 2 3 3 2" xfId="29307" xr:uid="{00000000-0005-0000-0000-00005E280000}"/>
    <cellStyle name="Normal 14 4 2 3 4" xfId="21264" xr:uid="{00000000-0005-0000-0000-00005F280000}"/>
    <cellStyle name="Normal 14 4 2 4" xfId="7485" xr:uid="{00000000-0005-0000-0000-000060280000}"/>
    <cellStyle name="Normal 14 4 2 4 2" xfId="16664" xr:uid="{00000000-0005-0000-0000-000061280000}"/>
    <cellStyle name="Normal 14 4 2 4 2 2" xfId="33238" xr:uid="{00000000-0005-0000-0000-000062280000}"/>
    <cellStyle name="Normal 14 4 2 4 3" xfId="25191" xr:uid="{00000000-0005-0000-0000-000063280000}"/>
    <cellStyle name="Normal 14 4 2 5" xfId="12773" xr:uid="{00000000-0005-0000-0000-000064280000}"/>
    <cellStyle name="Normal 14 4 2 5 2" xfId="29304" xr:uid="{00000000-0005-0000-0000-000065280000}"/>
    <cellStyle name="Normal 14 4 2 6" xfId="21261" xr:uid="{00000000-0005-0000-0000-000066280000}"/>
    <cellStyle name="Normal 14 4 3" xfId="3312" xr:uid="{00000000-0005-0000-0000-000067280000}"/>
    <cellStyle name="Normal 14 4 3 2" xfId="3313" xr:uid="{00000000-0005-0000-0000-000068280000}"/>
    <cellStyle name="Normal 14 4 3 2 2" xfId="7486" xr:uid="{00000000-0005-0000-0000-000069280000}"/>
    <cellStyle name="Normal 14 4 3 2 2 2" xfId="16665" xr:uid="{00000000-0005-0000-0000-00006A280000}"/>
    <cellStyle name="Normal 14 4 3 2 2 2 2" xfId="33239" xr:uid="{00000000-0005-0000-0000-00006B280000}"/>
    <cellStyle name="Normal 14 4 3 2 2 3" xfId="25192" xr:uid="{00000000-0005-0000-0000-00006C280000}"/>
    <cellStyle name="Normal 14 4 3 2 3" xfId="12778" xr:uid="{00000000-0005-0000-0000-00006D280000}"/>
    <cellStyle name="Normal 14 4 3 2 3 2" xfId="29309" xr:uid="{00000000-0005-0000-0000-00006E280000}"/>
    <cellStyle name="Normal 14 4 3 2 4" xfId="21266" xr:uid="{00000000-0005-0000-0000-00006F280000}"/>
    <cellStyle name="Normal 14 4 3 3" xfId="7487" xr:uid="{00000000-0005-0000-0000-000070280000}"/>
    <cellStyle name="Normal 14 4 3 3 2" xfId="16666" xr:uid="{00000000-0005-0000-0000-000071280000}"/>
    <cellStyle name="Normal 14 4 3 3 2 2" xfId="33240" xr:uid="{00000000-0005-0000-0000-000072280000}"/>
    <cellStyle name="Normal 14 4 3 3 3" xfId="25193" xr:uid="{00000000-0005-0000-0000-000073280000}"/>
    <cellStyle name="Normal 14 4 3 4" xfId="12777" xr:uid="{00000000-0005-0000-0000-000074280000}"/>
    <cellStyle name="Normal 14 4 3 4 2" xfId="29308" xr:uid="{00000000-0005-0000-0000-000075280000}"/>
    <cellStyle name="Normal 14 4 3 5" xfId="21265" xr:uid="{00000000-0005-0000-0000-000076280000}"/>
    <cellStyle name="Normal 14 4 4" xfId="3314" xr:uid="{00000000-0005-0000-0000-000077280000}"/>
    <cellStyle name="Normal 14 4 4 2" xfId="7488" xr:uid="{00000000-0005-0000-0000-000078280000}"/>
    <cellStyle name="Normal 14 4 4 2 2" xfId="16667" xr:uid="{00000000-0005-0000-0000-000079280000}"/>
    <cellStyle name="Normal 14 4 4 2 2 2" xfId="33241" xr:uid="{00000000-0005-0000-0000-00007A280000}"/>
    <cellStyle name="Normal 14 4 4 2 3" xfId="25194" xr:uid="{00000000-0005-0000-0000-00007B280000}"/>
    <cellStyle name="Normal 14 4 4 3" xfId="12779" xr:uid="{00000000-0005-0000-0000-00007C280000}"/>
    <cellStyle name="Normal 14 4 4 3 2" xfId="29310" xr:uid="{00000000-0005-0000-0000-00007D280000}"/>
    <cellStyle name="Normal 14 4 4 4" xfId="21267" xr:uid="{00000000-0005-0000-0000-00007E280000}"/>
    <cellStyle name="Normal 14 4 5" xfId="7489" xr:uid="{00000000-0005-0000-0000-00007F280000}"/>
    <cellStyle name="Normal 14 4 5 2" xfId="16668" xr:uid="{00000000-0005-0000-0000-000080280000}"/>
    <cellStyle name="Normal 14 4 5 2 2" xfId="33242" xr:uid="{00000000-0005-0000-0000-000081280000}"/>
    <cellStyle name="Normal 14 4 5 3" xfId="25195" xr:uid="{00000000-0005-0000-0000-000082280000}"/>
    <cellStyle name="Normal 14 4 6" xfId="12772" xr:uid="{00000000-0005-0000-0000-000083280000}"/>
    <cellStyle name="Normal 14 4 6 2" xfId="29303" xr:uid="{00000000-0005-0000-0000-000084280000}"/>
    <cellStyle name="Normal 14 4 7" xfId="21260" xr:uid="{00000000-0005-0000-0000-000085280000}"/>
    <cellStyle name="Normal 14 5" xfId="3315" xr:uid="{00000000-0005-0000-0000-000086280000}"/>
    <cellStyle name="Normal 14 5 2" xfId="3316" xr:uid="{00000000-0005-0000-0000-000087280000}"/>
    <cellStyle name="Normal 14 5 2 2" xfId="3317" xr:uid="{00000000-0005-0000-0000-000088280000}"/>
    <cellStyle name="Normal 14 5 2 2 2" xfId="3318" xr:uid="{00000000-0005-0000-0000-000089280000}"/>
    <cellStyle name="Normal 14 5 2 2 2 2" xfId="7490" xr:uid="{00000000-0005-0000-0000-00008A280000}"/>
    <cellStyle name="Normal 14 5 2 2 2 2 2" xfId="16669" xr:uid="{00000000-0005-0000-0000-00008B280000}"/>
    <cellStyle name="Normal 14 5 2 2 2 2 2 2" xfId="33243" xr:uid="{00000000-0005-0000-0000-00008C280000}"/>
    <cellStyle name="Normal 14 5 2 2 2 2 3" xfId="25196" xr:uid="{00000000-0005-0000-0000-00008D280000}"/>
    <cellStyle name="Normal 14 5 2 2 2 3" xfId="12783" xr:uid="{00000000-0005-0000-0000-00008E280000}"/>
    <cellStyle name="Normal 14 5 2 2 2 3 2" xfId="29314" xr:uid="{00000000-0005-0000-0000-00008F280000}"/>
    <cellStyle name="Normal 14 5 2 2 2 4" xfId="21271" xr:uid="{00000000-0005-0000-0000-000090280000}"/>
    <cellStyle name="Normal 14 5 2 2 3" xfId="7491" xr:uid="{00000000-0005-0000-0000-000091280000}"/>
    <cellStyle name="Normal 14 5 2 2 3 2" xfId="16670" xr:uid="{00000000-0005-0000-0000-000092280000}"/>
    <cellStyle name="Normal 14 5 2 2 3 2 2" xfId="33244" xr:uid="{00000000-0005-0000-0000-000093280000}"/>
    <cellStyle name="Normal 14 5 2 2 3 3" xfId="25197" xr:uid="{00000000-0005-0000-0000-000094280000}"/>
    <cellStyle name="Normal 14 5 2 2 4" xfId="12782" xr:uid="{00000000-0005-0000-0000-000095280000}"/>
    <cellStyle name="Normal 14 5 2 2 4 2" xfId="29313" xr:uid="{00000000-0005-0000-0000-000096280000}"/>
    <cellStyle name="Normal 14 5 2 2 5" xfId="21270" xr:uid="{00000000-0005-0000-0000-000097280000}"/>
    <cellStyle name="Normal 14 5 2 3" xfId="3319" xr:uid="{00000000-0005-0000-0000-000098280000}"/>
    <cellStyle name="Normal 14 5 2 3 2" xfId="7492" xr:uid="{00000000-0005-0000-0000-000099280000}"/>
    <cellStyle name="Normal 14 5 2 3 2 2" xfId="16671" xr:uid="{00000000-0005-0000-0000-00009A280000}"/>
    <cellStyle name="Normal 14 5 2 3 2 2 2" xfId="33245" xr:uid="{00000000-0005-0000-0000-00009B280000}"/>
    <cellStyle name="Normal 14 5 2 3 2 3" xfId="25198" xr:uid="{00000000-0005-0000-0000-00009C280000}"/>
    <cellStyle name="Normal 14 5 2 3 3" xfId="12784" xr:uid="{00000000-0005-0000-0000-00009D280000}"/>
    <cellStyle name="Normal 14 5 2 3 3 2" xfId="29315" xr:uid="{00000000-0005-0000-0000-00009E280000}"/>
    <cellStyle name="Normal 14 5 2 3 4" xfId="21272" xr:uid="{00000000-0005-0000-0000-00009F280000}"/>
    <cellStyle name="Normal 14 5 2 4" xfId="7493" xr:uid="{00000000-0005-0000-0000-0000A0280000}"/>
    <cellStyle name="Normal 14 5 2 4 2" xfId="16672" xr:uid="{00000000-0005-0000-0000-0000A1280000}"/>
    <cellStyle name="Normal 14 5 2 4 2 2" xfId="33246" xr:uid="{00000000-0005-0000-0000-0000A2280000}"/>
    <cellStyle name="Normal 14 5 2 4 3" xfId="25199" xr:uid="{00000000-0005-0000-0000-0000A3280000}"/>
    <cellStyle name="Normal 14 5 2 5" xfId="12781" xr:uid="{00000000-0005-0000-0000-0000A4280000}"/>
    <cellStyle name="Normal 14 5 2 5 2" xfId="29312" xr:uid="{00000000-0005-0000-0000-0000A5280000}"/>
    <cellStyle name="Normal 14 5 2 6" xfId="21269" xr:uid="{00000000-0005-0000-0000-0000A6280000}"/>
    <cellStyle name="Normal 14 5 3" xfId="3320" xr:uid="{00000000-0005-0000-0000-0000A7280000}"/>
    <cellStyle name="Normal 14 5 3 2" xfId="3321" xr:uid="{00000000-0005-0000-0000-0000A8280000}"/>
    <cellStyle name="Normal 14 5 3 2 2" xfId="7494" xr:uid="{00000000-0005-0000-0000-0000A9280000}"/>
    <cellStyle name="Normal 14 5 3 2 2 2" xfId="16673" xr:uid="{00000000-0005-0000-0000-0000AA280000}"/>
    <cellStyle name="Normal 14 5 3 2 2 2 2" xfId="33247" xr:uid="{00000000-0005-0000-0000-0000AB280000}"/>
    <cellStyle name="Normal 14 5 3 2 2 3" xfId="25200" xr:uid="{00000000-0005-0000-0000-0000AC280000}"/>
    <cellStyle name="Normal 14 5 3 2 3" xfId="12786" xr:uid="{00000000-0005-0000-0000-0000AD280000}"/>
    <cellStyle name="Normal 14 5 3 2 3 2" xfId="29317" xr:uid="{00000000-0005-0000-0000-0000AE280000}"/>
    <cellStyle name="Normal 14 5 3 2 4" xfId="21274" xr:uid="{00000000-0005-0000-0000-0000AF280000}"/>
    <cellStyle name="Normal 14 5 3 3" xfId="7495" xr:uid="{00000000-0005-0000-0000-0000B0280000}"/>
    <cellStyle name="Normal 14 5 3 3 2" xfId="16674" xr:uid="{00000000-0005-0000-0000-0000B1280000}"/>
    <cellStyle name="Normal 14 5 3 3 2 2" xfId="33248" xr:uid="{00000000-0005-0000-0000-0000B2280000}"/>
    <cellStyle name="Normal 14 5 3 3 3" xfId="25201" xr:uid="{00000000-0005-0000-0000-0000B3280000}"/>
    <cellStyle name="Normal 14 5 3 4" xfId="12785" xr:uid="{00000000-0005-0000-0000-0000B4280000}"/>
    <cellStyle name="Normal 14 5 3 4 2" xfId="29316" xr:uid="{00000000-0005-0000-0000-0000B5280000}"/>
    <cellStyle name="Normal 14 5 3 5" xfId="21273" xr:uid="{00000000-0005-0000-0000-0000B6280000}"/>
    <cellStyle name="Normal 14 5 4" xfId="3322" xr:uid="{00000000-0005-0000-0000-0000B7280000}"/>
    <cellStyle name="Normal 14 5 4 2" xfId="7496" xr:uid="{00000000-0005-0000-0000-0000B8280000}"/>
    <cellStyle name="Normal 14 5 4 2 2" xfId="16675" xr:uid="{00000000-0005-0000-0000-0000B9280000}"/>
    <cellStyle name="Normal 14 5 4 2 2 2" xfId="33249" xr:uid="{00000000-0005-0000-0000-0000BA280000}"/>
    <cellStyle name="Normal 14 5 4 2 3" xfId="25202" xr:uid="{00000000-0005-0000-0000-0000BB280000}"/>
    <cellStyle name="Normal 14 5 4 3" xfId="12787" xr:uid="{00000000-0005-0000-0000-0000BC280000}"/>
    <cellStyle name="Normal 14 5 4 3 2" xfId="29318" xr:uid="{00000000-0005-0000-0000-0000BD280000}"/>
    <cellStyle name="Normal 14 5 4 4" xfId="21275" xr:uid="{00000000-0005-0000-0000-0000BE280000}"/>
    <cellStyle name="Normal 14 5 5" xfId="7497" xr:uid="{00000000-0005-0000-0000-0000BF280000}"/>
    <cellStyle name="Normal 14 5 5 2" xfId="16676" xr:uid="{00000000-0005-0000-0000-0000C0280000}"/>
    <cellStyle name="Normal 14 5 5 2 2" xfId="33250" xr:uid="{00000000-0005-0000-0000-0000C1280000}"/>
    <cellStyle name="Normal 14 5 5 3" xfId="25203" xr:uid="{00000000-0005-0000-0000-0000C2280000}"/>
    <cellStyle name="Normal 14 5 6" xfId="12780" xr:uid="{00000000-0005-0000-0000-0000C3280000}"/>
    <cellStyle name="Normal 14 5 6 2" xfId="29311" xr:uid="{00000000-0005-0000-0000-0000C4280000}"/>
    <cellStyle name="Normal 14 5 7" xfId="21268" xr:uid="{00000000-0005-0000-0000-0000C5280000}"/>
    <cellStyle name="Normal 14 6" xfId="3323" xr:uid="{00000000-0005-0000-0000-0000C6280000}"/>
    <cellStyle name="Normal 14 6 2" xfId="3324" xr:uid="{00000000-0005-0000-0000-0000C7280000}"/>
    <cellStyle name="Normal 14 6 2 2" xfId="3325" xr:uid="{00000000-0005-0000-0000-0000C8280000}"/>
    <cellStyle name="Normal 14 6 2 2 2" xfId="7498" xr:uid="{00000000-0005-0000-0000-0000C9280000}"/>
    <cellStyle name="Normal 14 6 2 2 2 2" xfId="16677" xr:uid="{00000000-0005-0000-0000-0000CA280000}"/>
    <cellStyle name="Normal 14 6 2 2 2 2 2" xfId="33251" xr:uid="{00000000-0005-0000-0000-0000CB280000}"/>
    <cellStyle name="Normal 14 6 2 2 2 3" xfId="25204" xr:uid="{00000000-0005-0000-0000-0000CC280000}"/>
    <cellStyle name="Normal 14 6 2 2 3" xfId="12790" xr:uid="{00000000-0005-0000-0000-0000CD280000}"/>
    <cellStyle name="Normal 14 6 2 2 3 2" xfId="29321" xr:uid="{00000000-0005-0000-0000-0000CE280000}"/>
    <cellStyle name="Normal 14 6 2 2 4" xfId="21278" xr:uid="{00000000-0005-0000-0000-0000CF280000}"/>
    <cellStyle name="Normal 14 6 2 3" xfId="7499" xr:uid="{00000000-0005-0000-0000-0000D0280000}"/>
    <cellStyle name="Normal 14 6 2 3 2" xfId="16678" xr:uid="{00000000-0005-0000-0000-0000D1280000}"/>
    <cellStyle name="Normal 14 6 2 3 2 2" xfId="33252" xr:uid="{00000000-0005-0000-0000-0000D2280000}"/>
    <cellStyle name="Normal 14 6 2 3 3" xfId="25205" xr:uid="{00000000-0005-0000-0000-0000D3280000}"/>
    <cellStyle name="Normal 14 6 2 4" xfId="12789" xr:uid="{00000000-0005-0000-0000-0000D4280000}"/>
    <cellStyle name="Normal 14 6 2 4 2" xfId="29320" xr:uid="{00000000-0005-0000-0000-0000D5280000}"/>
    <cellStyle name="Normal 14 6 2 5" xfId="21277" xr:uid="{00000000-0005-0000-0000-0000D6280000}"/>
    <cellStyle name="Normal 14 6 3" xfId="3326" xr:uid="{00000000-0005-0000-0000-0000D7280000}"/>
    <cellStyle name="Normal 14 6 3 2" xfId="7500" xr:uid="{00000000-0005-0000-0000-0000D8280000}"/>
    <cellStyle name="Normal 14 6 3 2 2" xfId="16679" xr:uid="{00000000-0005-0000-0000-0000D9280000}"/>
    <cellStyle name="Normal 14 6 3 2 2 2" xfId="33253" xr:uid="{00000000-0005-0000-0000-0000DA280000}"/>
    <cellStyle name="Normal 14 6 3 2 3" xfId="25206" xr:uid="{00000000-0005-0000-0000-0000DB280000}"/>
    <cellStyle name="Normal 14 6 3 3" xfId="12791" xr:uid="{00000000-0005-0000-0000-0000DC280000}"/>
    <cellStyle name="Normal 14 6 3 3 2" xfId="29322" xr:uid="{00000000-0005-0000-0000-0000DD280000}"/>
    <cellStyle name="Normal 14 6 3 4" xfId="21279" xr:uid="{00000000-0005-0000-0000-0000DE280000}"/>
    <cellStyle name="Normal 14 6 4" xfId="7501" xr:uid="{00000000-0005-0000-0000-0000DF280000}"/>
    <cellStyle name="Normal 14 6 4 2" xfId="16680" xr:uid="{00000000-0005-0000-0000-0000E0280000}"/>
    <cellStyle name="Normal 14 6 4 2 2" xfId="33254" xr:uid="{00000000-0005-0000-0000-0000E1280000}"/>
    <cellStyle name="Normal 14 6 4 3" xfId="25207" xr:uid="{00000000-0005-0000-0000-0000E2280000}"/>
    <cellStyle name="Normal 14 6 5" xfId="12788" xr:uid="{00000000-0005-0000-0000-0000E3280000}"/>
    <cellStyle name="Normal 14 6 5 2" xfId="29319" xr:uid="{00000000-0005-0000-0000-0000E4280000}"/>
    <cellStyle name="Normal 14 6 6" xfId="21276" xr:uid="{00000000-0005-0000-0000-0000E5280000}"/>
    <cellStyle name="Normal 14 7" xfId="3327" xr:uid="{00000000-0005-0000-0000-0000E6280000}"/>
    <cellStyle name="Normal 14 7 2" xfId="3328" xr:uid="{00000000-0005-0000-0000-0000E7280000}"/>
    <cellStyle name="Normal 14 7 2 2" xfId="7502" xr:uid="{00000000-0005-0000-0000-0000E8280000}"/>
    <cellStyle name="Normal 14 7 2 2 2" xfId="16681" xr:uid="{00000000-0005-0000-0000-0000E9280000}"/>
    <cellStyle name="Normal 14 7 2 2 2 2" xfId="33255" xr:uid="{00000000-0005-0000-0000-0000EA280000}"/>
    <cellStyle name="Normal 14 7 2 2 3" xfId="25208" xr:uid="{00000000-0005-0000-0000-0000EB280000}"/>
    <cellStyle name="Normal 14 7 2 3" xfId="12793" xr:uid="{00000000-0005-0000-0000-0000EC280000}"/>
    <cellStyle name="Normal 14 7 2 3 2" xfId="29324" xr:uid="{00000000-0005-0000-0000-0000ED280000}"/>
    <cellStyle name="Normal 14 7 2 4" xfId="21281" xr:uid="{00000000-0005-0000-0000-0000EE280000}"/>
    <cellStyle name="Normal 14 7 3" xfId="7503" xr:uid="{00000000-0005-0000-0000-0000EF280000}"/>
    <cellStyle name="Normal 14 7 3 2" xfId="16682" xr:uid="{00000000-0005-0000-0000-0000F0280000}"/>
    <cellStyle name="Normal 14 7 3 2 2" xfId="33256" xr:uid="{00000000-0005-0000-0000-0000F1280000}"/>
    <cellStyle name="Normal 14 7 3 3" xfId="25209" xr:uid="{00000000-0005-0000-0000-0000F2280000}"/>
    <cellStyle name="Normal 14 7 4" xfId="12792" xr:uid="{00000000-0005-0000-0000-0000F3280000}"/>
    <cellStyle name="Normal 14 7 4 2" xfId="29323" xr:uid="{00000000-0005-0000-0000-0000F4280000}"/>
    <cellStyle name="Normal 14 7 5" xfId="21280" xr:uid="{00000000-0005-0000-0000-0000F5280000}"/>
    <cellStyle name="Normal 14 8" xfId="3329" xr:uid="{00000000-0005-0000-0000-0000F6280000}"/>
    <cellStyle name="Normal 14 8 2" xfId="7504" xr:uid="{00000000-0005-0000-0000-0000F7280000}"/>
    <cellStyle name="Normal 14 8 2 2" xfId="16683" xr:uid="{00000000-0005-0000-0000-0000F8280000}"/>
    <cellStyle name="Normal 14 8 2 2 2" xfId="33257" xr:uid="{00000000-0005-0000-0000-0000F9280000}"/>
    <cellStyle name="Normal 14 8 2 3" xfId="25210" xr:uid="{00000000-0005-0000-0000-0000FA280000}"/>
    <cellStyle name="Normal 14 8 3" xfId="12794" xr:uid="{00000000-0005-0000-0000-0000FB280000}"/>
    <cellStyle name="Normal 14 8 3 2" xfId="29325" xr:uid="{00000000-0005-0000-0000-0000FC280000}"/>
    <cellStyle name="Normal 14 8 4" xfId="21282" xr:uid="{00000000-0005-0000-0000-0000FD280000}"/>
    <cellStyle name="Normal 14 9" xfId="7505" xr:uid="{00000000-0005-0000-0000-0000FE280000}"/>
    <cellStyle name="Normal 14 9 2" xfId="16684" xr:uid="{00000000-0005-0000-0000-0000FF280000}"/>
    <cellStyle name="Normal 14 9 2 2" xfId="33258" xr:uid="{00000000-0005-0000-0000-000000290000}"/>
    <cellStyle name="Normal 14 9 3" xfId="25211" xr:uid="{00000000-0005-0000-0000-000001290000}"/>
    <cellStyle name="Normal 140" xfId="10437" xr:uid="{00000000-0005-0000-0000-000002290000}"/>
    <cellStyle name="Normal 141" xfId="10440" xr:uid="{00000000-0005-0000-0000-000003290000}"/>
    <cellStyle name="Normal 141 2" xfId="19645" xr:uid="{00000000-0005-0000-0000-000004290000}"/>
    <cellStyle name="Normal 142" xfId="10443" xr:uid="{00000000-0005-0000-0000-000005290000}"/>
    <cellStyle name="Normal 143" xfId="10446" xr:uid="{00000000-0005-0000-0000-000006290000}"/>
    <cellStyle name="Normal 144" xfId="10449" xr:uid="{00000000-0005-0000-0000-000007290000}"/>
    <cellStyle name="Normal 145" xfId="10452" xr:uid="{00000000-0005-0000-0000-000008290000}"/>
    <cellStyle name="Normal 146" xfId="10455" xr:uid="{00000000-0005-0000-0000-000009290000}"/>
    <cellStyle name="Normal 147" xfId="10458" xr:uid="{00000000-0005-0000-0000-00000A290000}"/>
    <cellStyle name="Normal 148" xfId="10461" xr:uid="{00000000-0005-0000-0000-00000B290000}"/>
    <cellStyle name="Normal 149" xfId="10464" xr:uid="{00000000-0005-0000-0000-00000C290000}"/>
    <cellStyle name="Normal 15" xfId="1633" xr:uid="{00000000-0005-0000-0000-00000D290000}"/>
    <cellStyle name="Normal 15 10" xfId="3330" xr:uid="{00000000-0005-0000-0000-00000E290000}"/>
    <cellStyle name="Normal 15 10 2" xfId="29326" xr:uid="{00000000-0005-0000-0000-00000F290000}"/>
    <cellStyle name="Normal 15 11" xfId="21283" xr:uid="{00000000-0005-0000-0000-000010290000}"/>
    <cellStyle name="Normal 15 2" xfId="1663" xr:uid="{00000000-0005-0000-0000-000011290000}"/>
    <cellStyle name="Normal 15 2 2" xfId="3332" xr:uid="{00000000-0005-0000-0000-000012290000}"/>
    <cellStyle name="Normal 15 2 3" xfId="3331" xr:uid="{00000000-0005-0000-0000-000013290000}"/>
    <cellStyle name="Normal 15 2 3 2" xfId="29327" xr:uid="{00000000-0005-0000-0000-000014290000}"/>
    <cellStyle name="Normal 15 2 4" xfId="21284" xr:uid="{00000000-0005-0000-0000-000015290000}"/>
    <cellStyle name="Normal 15 3" xfId="3333" xr:uid="{00000000-0005-0000-0000-000016290000}"/>
    <cellStyle name="Normal 15 3 2" xfId="3334" xr:uid="{00000000-0005-0000-0000-000017290000}"/>
    <cellStyle name="Normal 15 3 2 2" xfId="3335" xr:uid="{00000000-0005-0000-0000-000018290000}"/>
    <cellStyle name="Normal 15 3 2 2 2" xfId="3336" xr:uid="{00000000-0005-0000-0000-000019290000}"/>
    <cellStyle name="Normal 15 3 2 2 2 2" xfId="7506" xr:uid="{00000000-0005-0000-0000-00001A290000}"/>
    <cellStyle name="Normal 15 3 2 2 2 2 2" xfId="16685" xr:uid="{00000000-0005-0000-0000-00001B290000}"/>
    <cellStyle name="Normal 15 3 2 2 2 2 2 2" xfId="33259" xr:uid="{00000000-0005-0000-0000-00001C290000}"/>
    <cellStyle name="Normal 15 3 2 2 2 2 3" xfId="25212" xr:uid="{00000000-0005-0000-0000-00001D290000}"/>
    <cellStyle name="Normal 15 3 2 2 2 3" xfId="12797" xr:uid="{00000000-0005-0000-0000-00001E290000}"/>
    <cellStyle name="Normal 15 3 2 2 2 3 2" xfId="29330" xr:uid="{00000000-0005-0000-0000-00001F290000}"/>
    <cellStyle name="Normal 15 3 2 2 2 4" xfId="21287" xr:uid="{00000000-0005-0000-0000-000020290000}"/>
    <cellStyle name="Normal 15 3 2 2 3" xfId="7507" xr:uid="{00000000-0005-0000-0000-000021290000}"/>
    <cellStyle name="Normal 15 3 2 2 3 2" xfId="16686" xr:uid="{00000000-0005-0000-0000-000022290000}"/>
    <cellStyle name="Normal 15 3 2 2 3 2 2" xfId="33260" xr:uid="{00000000-0005-0000-0000-000023290000}"/>
    <cellStyle name="Normal 15 3 2 2 3 3" xfId="25213" xr:uid="{00000000-0005-0000-0000-000024290000}"/>
    <cellStyle name="Normal 15 3 2 2 4" xfId="12796" xr:uid="{00000000-0005-0000-0000-000025290000}"/>
    <cellStyle name="Normal 15 3 2 2 4 2" xfId="29329" xr:uid="{00000000-0005-0000-0000-000026290000}"/>
    <cellStyle name="Normal 15 3 2 2 5" xfId="21286" xr:uid="{00000000-0005-0000-0000-000027290000}"/>
    <cellStyle name="Normal 15 3 2 3" xfId="3337" xr:uid="{00000000-0005-0000-0000-000028290000}"/>
    <cellStyle name="Normal 15 3 2 3 2" xfId="7508" xr:uid="{00000000-0005-0000-0000-000029290000}"/>
    <cellStyle name="Normal 15 3 2 3 2 2" xfId="16687" xr:uid="{00000000-0005-0000-0000-00002A290000}"/>
    <cellStyle name="Normal 15 3 2 3 2 2 2" xfId="33261" xr:uid="{00000000-0005-0000-0000-00002B290000}"/>
    <cellStyle name="Normal 15 3 2 3 2 3" xfId="25214" xr:uid="{00000000-0005-0000-0000-00002C290000}"/>
    <cellStyle name="Normal 15 3 2 3 3" xfId="12798" xr:uid="{00000000-0005-0000-0000-00002D290000}"/>
    <cellStyle name="Normal 15 3 2 3 3 2" xfId="29331" xr:uid="{00000000-0005-0000-0000-00002E290000}"/>
    <cellStyle name="Normal 15 3 2 3 4" xfId="21288" xr:uid="{00000000-0005-0000-0000-00002F290000}"/>
    <cellStyle name="Normal 15 3 2 4" xfId="7509" xr:uid="{00000000-0005-0000-0000-000030290000}"/>
    <cellStyle name="Normal 15 3 2 4 2" xfId="16688" xr:uid="{00000000-0005-0000-0000-000031290000}"/>
    <cellStyle name="Normal 15 3 2 4 2 2" xfId="33262" xr:uid="{00000000-0005-0000-0000-000032290000}"/>
    <cellStyle name="Normal 15 3 2 4 3" xfId="25215" xr:uid="{00000000-0005-0000-0000-000033290000}"/>
    <cellStyle name="Normal 15 3 2 5" xfId="12795" xr:uid="{00000000-0005-0000-0000-000034290000}"/>
    <cellStyle name="Normal 15 3 2 5 2" xfId="29328" xr:uid="{00000000-0005-0000-0000-000035290000}"/>
    <cellStyle name="Normal 15 3 2 6" xfId="21285" xr:uid="{00000000-0005-0000-0000-000036290000}"/>
    <cellStyle name="Normal 15 3 3" xfId="3338" xr:uid="{00000000-0005-0000-0000-000037290000}"/>
    <cellStyle name="Normal 15 3 3 2" xfId="3339" xr:uid="{00000000-0005-0000-0000-000038290000}"/>
    <cellStyle name="Normal 15 3 3 2 2" xfId="7510" xr:uid="{00000000-0005-0000-0000-000039290000}"/>
    <cellStyle name="Normal 15 3 3 2 2 2" xfId="16689" xr:uid="{00000000-0005-0000-0000-00003A290000}"/>
    <cellStyle name="Normal 15 3 3 2 2 2 2" xfId="33263" xr:uid="{00000000-0005-0000-0000-00003B290000}"/>
    <cellStyle name="Normal 15 3 3 2 2 3" xfId="25216" xr:uid="{00000000-0005-0000-0000-00003C290000}"/>
    <cellStyle name="Normal 15 3 3 2 3" xfId="12800" xr:uid="{00000000-0005-0000-0000-00003D290000}"/>
    <cellStyle name="Normal 15 3 3 2 3 2" xfId="29333" xr:uid="{00000000-0005-0000-0000-00003E290000}"/>
    <cellStyle name="Normal 15 3 3 2 4" xfId="21290" xr:uid="{00000000-0005-0000-0000-00003F290000}"/>
    <cellStyle name="Normal 15 3 3 3" xfId="7511" xr:uid="{00000000-0005-0000-0000-000040290000}"/>
    <cellStyle name="Normal 15 3 3 3 2" xfId="16690" xr:uid="{00000000-0005-0000-0000-000041290000}"/>
    <cellStyle name="Normal 15 3 3 3 2 2" xfId="33264" xr:uid="{00000000-0005-0000-0000-000042290000}"/>
    <cellStyle name="Normal 15 3 3 3 3" xfId="25217" xr:uid="{00000000-0005-0000-0000-000043290000}"/>
    <cellStyle name="Normal 15 3 3 4" xfId="12799" xr:uid="{00000000-0005-0000-0000-000044290000}"/>
    <cellStyle name="Normal 15 3 3 4 2" xfId="29332" xr:uid="{00000000-0005-0000-0000-000045290000}"/>
    <cellStyle name="Normal 15 3 3 5" xfId="21289" xr:uid="{00000000-0005-0000-0000-000046290000}"/>
    <cellStyle name="Normal 15 3 4" xfId="3340" xr:uid="{00000000-0005-0000-0000-000047290000}"/>
    <cellStyle name="Normal 15 3 4 2" xfId="7512" xr:uid="{00000000-0005-0000-0000-000048290000}"/>
    <cellStyle name="Normal 15 3 4 2 2" xfId="16691" xr:uid="{00000000-0005-0000-0000-000049290000}"/>
    <cellStyle name="Normal 15 3 4 2 2 2" xfId="33265" xr:uid="{00000000-0005-0000-0000-00004A290000}"/>
    <cellStyle name="Normal 15 3 4 2 3" xfId="25218" xr:uid="{00000000-0005-0000-0000-00004B290000}"/>
    <cellStyle name="Normal 15 3 4 3" xfId="12801" xr:uid="{00000000-0005-0000-0000-00004C290000}"/>
    <cellStyle name="Normal 15 3 4 3 2" xfId="29334" xr:uid="{00000000-0005-0000-0000-00004D290000}"/>
    <cellStyle name="Normal 15 3 4 4" xfId="21291" xr:uid="{00000000-0005-0000-0000-00004E290000}"/>
    <cellStyle name="Normal 15 3 5" xfId="3341" xr:uid="{00000000-0005-0000-0000-00004F290000}"/>
    <cellStyle name="Normal 15 3 5 2" xfId="12802" xr:uid="{00000000-0005-0000-0000-000050290000}"/>
    <cellStyle name="Normal 15 3 5 2 2" xfId="29335" xr:uid="{00000000-0005-0000-0000-000051290000}"/>
    <cellStyle name="Normal 15 3 5 3" xfId="21292" xr:uid="{00000000-0005-0000-0000-000052290000}"/>
    <cellStyle name="Normal 15 4" xfId="3342" xr:uid="{00000000-0005-0000-0000-000053290000}"/>
    <cellStyle name="Normal 15 4 2" xfId="3343" xr:uid="{00000000-0005-0000-0000-000054290000}"/>
    <cellStyle name="Normal 15 4 2 2" xfId="3344" xr:uid="{00000000-0005-0000-0000-000055290000}"/>
    <cellStyle name="Normal 15 4 2 2 2" xfId="3345" xr:uid="{00000000-0005-0000-0000-000056290000}"/>
    <cellStyle name="Normal 15 4 2 2 2 2" xfId="7513" xr:uid="{00000000-0005-0000-0000-000057290000}"/>
    <cellStyle name="Normal 15 4 2 2 2 2 2" xfId="16692" xr:uid="{00000000-0005-0000-0000-000058290000}"/>
    <cellStyle name="Normal 15 4 2 2 2 2 2 2" xfId="33266" xr:uid="{00000000-0005-0000-0000-000059290000}"/>
    <cellStyle name="Normal 15 4 2 2 2 2 3" xfId="25219" xr:uid="{00000000-0005-0000-0000-00005A290000}"/>
    <cellStyle name="Normal 15 4 2 2 2 3" xfId="12806" xr:uid="{00000000-0005-0000-0000-00005B290000}"/>
    <cellStyle name="Normal 15 4 2 2 2 3 2" xfId="29339" xr:uid="{00000000-0005-0000-0000-00005C290000}"/>
    <cellStyle name="Normal 15 4 2 2 2 4" xfId="21296" xr:uid="{00000000-0005-0000-0000-00005D290000}"/>
    <cellStyle name="Normal 15 4 2 2 3" xfId="7514" xr:uid="{00000000-0005-0000-0000-00005E290000}"/>
    <cellStyle name="Normal 15 4 2 2 3 2" xfId="16693" xr:uid="{00000000-0005-0000-0000-00005F290000}"/>
    <cellStyle name="Normal 15 4 2 2 3 2 2" xfId="33267" xr:uid="{00000000-0005-0000-0000-000060290000}"/>
    <cellStyle name="Normal 15 4 2 2 3 3" xfId="25220" xr:uid="{00000000-0005-0000-0000-000061290000}"/>
    <cellStyle name="Normal 15 4 2 2 4" xfId="12805" xr:uid="{00000000-0005-0000-0000-000062290000}"/>
    <cellStyle name="Normal 15 4 2 2 4 2" xfId="29338" xr:uid="{00000000-0005-0000-0000-000063290000}"/>
    <cellStyle name="Normal 15 4 2 2 5" xfId="21295" xr:uid="{00000000-0005-0000-0000-000064290000}"/>
    <cellStyle name="Normal 15 4 2 3" xfId="3346" xr:uid="{00000000-0005-0000-0000-000065290000}"/>
    <cellStyle name="Normal 15 4 2 3 2" xfId="7515" xr:uid="{00000000-0005-0000-0000-000066290000}"/>
    <cellStyle name="Normal 15 4 2 3 2 2" xfId="16694" xr:uid="{00000000-0005-0000-0000-000067290000}"/>
    <cellStyle name="Normal 15 4 2 3 2 2 2" xfId="33268" xr:uid="{00000000-0005-0000-0000-000068290000}"/>
    <cellStyle name="Normal 15 4 2 3 2 3" xfId="25221" xr:uid="{00000000-0005-0000-0000-000069290000}"/>
    <cellStyle name="Normal 15 4 2 3 3" xfId="12807" xr:uid="{00000000-0005-0000-0000-00006A290000}"/>
    <cellStyle name="Normal 15 4 2 3 3 2" xfId="29340" xr:uid="{00000000-0005-0000-0000-00006B290000}"/>
    <cellStyle name="Normal 15 4 2 3 4" xfId="21297" xr:uid="{00000000-0005-0000-0000-00006C290000}"/>
    <cellStyle name="Normal 15 4 2 4" xfId="7516" xr:uid="{00000000-0005-0000-0000-00006D290000}"/>
    <cellStyle name="Normal 15 4 2 4 2" xfId="16695" xr:uid="{00000000-0005-0000-0000-00006E290000}"/>
    <cellStyle name="Normal 15 4 2 4 2 2" xfId="33269" xr:uid="{00000000-0005-0000-0000-00006F290000}"/>
    <cellStyle name="Normal 15 4 2 4 3" xfId="25222" xr:uid="{00000000-0005-0000-0000-000070290000}"/>
    <cellStyle name="Normal 15 4 2 5" xfId="12804" xr:uid="{00000000-0005-0000-0000-000071290000}"/>
    <cellStyle name="Normal 15 4 2 5 2" xfId="29337" xr:uid="{00000000-0005-0000-0000-000072290000}"/>
    <cellStyle name="Normal 15 4 2 6" xfId="21294" xr:uid="{00000000-0005-0000-0000-000073290000}"/>
    <cellStyle name="Normal 15 4 3" xfId="3347" xr:uid="{00000000-0005-0000-0000-000074290000}"/>
    <cellStyle name="Normal 15 4 3 2" xfId="3348" xr:uid="{00000000-0005-0000-0000-000075290000}"/>
    <cellStyle name="Normal 15 4 3 2 2" xfId="7517" xr:uid="{00000000-0005-0000-0000-000076290000}"/>
    <cellStyle name="Normal 15 4 3 2 2 2" xfId="16696" xr:uid="{00000000-0005-0000-0000-000077290000}"/>
    <cellStyle name="Normal 15 4 3 2 2 2 2" xfId="33270" xr:uid="{00000000-0005-0000-0000-000078290000}"/>
    <cellStyle name="Normal 15 4 3 2 2 3" xfId="25223" xr:uid="{00000000-0005-0000-0000-000079290000}"/>
    <cellStyle name="Normal 15 4 3 2 3" xfId="12809" xr:uid="{00000000-0005-0000-0000-00007A290000}"/>
    <cellStyle name="Normal 15 4 3 2 3 2" xfId="29342" xr:uid="{00000000-0005-0000-0000-00007B290000}"/>
    <cellStyle name="Normal 15 4 3 2 4" xfId="21299" xr:uid="{00000000-0005-0000-0000-00007C290000}"/>
    <cellStyle name="Normal 15 4 3 3" xfId="7518" xr:uid="{00000000-0005-0000-0000-00007D290000}"/>
    <cellStyle name="Normal 15 4 3 3 2" xfId="16697" xr:uid="{00000000-0005-0000-0000-00007E290000}"/>
    <cellStyle name="Normal 15 4 3 3 2 2" xfId="33271" xr:uid="{00000000-0005-0000-0000-00007F290000}"/>
    <cellStyle name="Normal 15 4 3 3 3" xfId="25224" xr:uid="{00000000-0005-0000-0000-000080290000}"/>
    <cellStyle name="Normal 15 4 3 4" xfId="12808" xr:uid="{00000000-0005-0000-0000-000081290000}"/>
    <cellStyle name="Normal 15 4 3 4 2" xfId="29341" xr:uid="{00000000-0005-0000-0000-000082290000}"/>
    <cellStyle name="Normal 15 4 3 5" xfId="21298" xr:uid="{00000000-0005-0000-0000-000083290000}"/>
    <cellStyle name="Normal 15 4 4" xfId="3349" xr:uid="{00000000-0005-0000-0000-000084290000}"/>
    <cellStyle name="Normal 15 4 4 2" xfId="7519" xr:uid="{00000000-0005-0000-0000-000085290000}"/>
    <cellStyle name="Normal 15 4 4 2 2" xfId="16698" xr:uid="{00000000-0005-0000-0000-000086290000}"/>
    <cellStyle name="Normal 15 4 4 2 2 2" xfId="33272" xr:uid="{00000000-0005-0000-0000-000087290000}"/>
    <cellStyle name="Normal 15 4 4 2 3" xfId="25225" xr:uid="{00000000-0005-0000-0000-000088290000}"/>
    <cellStyle name="Normal 15 4 4 3" xfId="12810" xr:uid="{00000000-0005-0000-0000-000089290000}"/>
    <cellStyle name="Normal 15 4 4 3 2" xfId="29343" xr:uid="{00000000-0005-0000-0000-00008A290000}"/>
    <cellStyle name="Normal 15 4 4 4" xfId="21300" xr:uid="{00000000-0005-0000-0000-00008B290000}"/>
    <cellStyle name="Normal 15 4 5" xfId="7520" xr:uid="{00000000-0005-0000-0000-00008C290000}"/>
    <cellStyle name="Normal 15 4 5 2" xfId="16699" xr:uid="{00000000-0005-0000-0000-00008D290000}"/>
    <cellStyle name="Normal 15 4 5 2 2" xfId="33273" xr:uid="{00000000-0005-0000-0000-00008E290000}"/>
    <cellStyle name="Normal 15 4 5 3" xfId="25226" xr:uid="{00000000-0005-0000-0000-00008F290000}"/>
    <cellStyle name="Normal 15 4 6" xfId="12803" xr:uid="{00000000-0005-0000-0000-000090290000}"/>
    <cellStyle name="Normal 15 4 6 2" xfId="29336" xr:uid="{00000000-0005-0000-0000-000091290000}"/>
    <cellStyle name="Normal 15 4 7" xfId="21293" xr:uid="{00000000-0005-0000-0000-000092290000}"/>
    <cellStyle name="Normal 15 5" xfId="3350" xr:uid="{00000000-0005-0000-0000-000093290000}"/>
    <cellStyle name="Normal 15 5 2" xfId="3351" xr:uid="{00000000-0005-0000-0000-000094290000}"/>
    <cellStyle name="Normal 15 5 2 2" xfId="3352" xr:uid="{00000000-0005-0000-0000-000095290000}"/>
    <cellStyle name="Normal 15 5 2 2 2" xfId="3353" xr:uid="{00000000-0005-0000-0000-000096290000}"/>
    <cellStyle name="Normal 15 5 2 2 2 2" xfId="7521" xr:uid="{00000000-0005-0000-0000-000097290000}"/>
    <cellStyle name="Normal 15 5 2 2 2 2 2" xfId="16700" xr:uid="{00000000-0005-0000-0000-000098290000}"/>
    <cellStyle name="Normal 15 5 2 2 2 2 2 2" xfId="33274" xr:uid="{00000000-0005-0000-0000-000099290000}"/>
    <cellStyle name="Normal 15 5 2 2 2 2 3" xfId="25227" xr:uid="{00000000-0005-0000-0000-00009A290000}"/>
    <cellStyle name="Normal 15 5 2 2 2 3" xfId="12814" xr:uid="{00000000-0005-0000-0000-00009B290000}"/>
    <cellStyle name="Normal 15 5 2 2 2 3 2" xfId="29347" xr:uid="{00000000-0005-0000-0000-00009C290000}"/>
    <cellStyle name="Normal 15 5 2 2 2 4" xfId="21304" xr:uid="{00000000-0005-0000-0000-00009D290000}"/>
    <cellStyle name="Normal 15 5 2 2 3" xfId="7522" xr:uid="{00000000-0005-0000-0000-00009E290000}"/>
    <cellStyle name="Normal 15 5 2 2 3 2" xfId="16701" xr:uid="{00000000-0005-0000-0000-00009F290000}"/>
    <cellStyle name="Normal 15 5 2 2 3 2 2" xfId="33275" xr:uid="{00000000-0005-0000-0000-0000A0290000}"/>
    <cellStyle name="Normal 15 5 2 2 3 3" xfId="25228" xr:uid="{00000000-0005-0000-0000-0000A1290000}"/>
    <cellStyle name="Normal 15 5 2 2 4" xfId="12813" xr:uid="{00000000-0005-0000-0000-0000A2290000}"/>
    <cellStyle name="Normal 15 5 2 2 4 2" xfId="29346" xr:uid="{00000000-0005-0000-0000-0000A3290000}"/>
    <cellStyle name="Normal 15 5 2 2 5" xfId="21303" xr:uid="{00000000-0005-0000-0000-0000A4290000}"/>
    <cellStyle name="Normal 15 5 2 3" xfId="3354" xr:uid="{00000000-0005-0000-0000-0000A5290000}"/>
    <cellStyle name="Normal 15 5 2 3 2" xfId="7523" xr:uid="{00000000-0005-0000-0000-0000A6290000}"/>
    <cellStyle name="Normal 15 5 2 3 2 2" xfId="16702" xr:uid="{00000000-0005-0000-0000-0000A7290000}"/>
    <cellStyle name="Normal 15 5 2 3 2 2 2" xfId="33276" xr:uid="{00000000-0005-0000-0000-0000A8290000}"/>
    <cellStyle name="Normal 15 5 2 3 2 3" xfId="25229" xr:uid="{00000000-0005-0000-0000-0000A9290000}"/>
    <cellStyle name="Normal 15 5 2 3 3" xfId="12815" xr:uid="{00000000-0005-0000-0000-0000AA290000}"/>
    <cellStyle name="Normal 15 5 2 3 3 2" xfId="29348" xr:uid="{00000000-0005-0000-0000-0000AB290000}"/>
    <cellStyle name="Normal 15 5 2 3 4" xfId="21305" xr:uid="{00000000-0005-0000-0000-0000AC290000}"/>
    <cellStyle name="Normal 15 5 2 4" xfId="7524" xr:uid="{00000000-0005-0000-0000-0000AD290000}"/>
    <cellStyle name="Normal 15 5 2 4 2" xfId="16703" xr:uid="{00000000-0005-0000-0000-0000AE290000}"/>
    <cellStyle name="Normal 15 5 2 4 2 2" xfId="33277" xr:uid="{00000000-0005-0000-0000-0000AF290000}"/>
    <cellStyle name="Normal 15 5 2 4 3" xfId="25230" xr:uid="{00000000-0005-0000-0000-0000B0290000}"/>
    <cellStyle name="Normal 15 5 2 5" xfId="12812" xr:uid="{00000000-0005-0000-0000-0000B1290000}"/>
    <cellStyle name="Normal 15 5 2 5 2" xfId="29345" xr:uid="{00000000-0005-0000-0000-0000B2290000}"/>
    <cellStyle name="Normal 15 5 2 6" xfId="21302" xr:uid="{00000000-0005-0000-0000-0000B3290000}"/>
    <cellStyle name="Normal 15 5 3" xfId="3355" xr:uid="{00000000-0005-0000-0000-0000B4290000}"/>
    <cellStyle name="Normal 15 5 3 2" xfId="3356" xr:uid="{00000000-0005-0000-0000-0000B5290000}"/>
    <cellStyle name="Normal 15 5 3 2 2" xfId="7525" xr:uid="{00000000-0005-0000-0000-0000B6290000}"/>
    <cellStyle name="Normal 15 5 3 2 2 2" xfId="16704" xr:uid="{00000000-0005-0000-0000-0000B7290000}"/>
    <cellStyle name="Normal 15 5 3 2 2 2 2" xfId="33278" xr:uid="{00000000-0005-0000-0000-0000B8290000}"/>
    <cellStyle name="Normal 15 5 3 2 2 3" xfId="25231" xr:uid="{00000000-0005-0000-0000-0000B9290000}"/>
    <cellStyle name="Normal 15 5 3 2 3" xfId="12817" xr:uid="{00000000-0005-0000-0000-0000BA290000}"/>
    <cellStyle name="Normal 15 5 3 2 3 2" xfId="29350" xr:uid="{00000000-0005-0000-0000-0000BB290000}"/>
    <cellStyle name="Normal 15 5 3 2 4" xfId="21307" xr:uid="{00000000-0005-0000-0000-0000BC290000}"/>
    <cellStyle name="Normal 15 5 3 3" xfId="7526" xr:uid="{00000000-0005-0000-0000-0000BD290000}"/>
    <cellStyle name="Normal 15 5 3 3 2" xfId="16705" xr:uid="{00000000-0005-0000-0000-0000BE290000}"/>
    <cellStyle name="Normal 15 5 3 3 2 2" xfId="33279" xr:uid="{00000000-0005-0000-0000-0000BF290000}"/>
    <cellStyle name="Normal 15 5 3 3 3" xfId="25232" xr:uid="{00000000-0005-0000-0000-0000C0290000}"/>
    <cellStyle name="Normal 15 5 3 4" xfId="12816" xr:uid="{00000000-0005-0000-0000-0000C1290000}"/>
    <cellStyle name="Normal 15 5 3 4 2" xfId="29349" xr:uid="{00000000-0005-0000-0000-0000C2290000}"/>
    <cellStyle name="Normal 15 5 3 5" xfId="21306" xr:uid="{00000000-0005-0000-0000-0000C3290000}"/>
    <cellStyle name="Normal 15 5 4" xfId="3357" xr:uid="{00000000-0005-0000-0000-0000C4290000}"/>
    <cellStyle name="Normal 15 5 4 2" xfId="7527" xr:uid="{00000000-0005-0000-0000-0000C5290000}"/>
    <cellStyle name="Normal 15 5 4 2 2" xfId="16706" xr:uid="{00000000-0005-0000-0000-0000C6290000}"/>
    <cellStyle name="Normal 15 5 4 2 2 2" xfId="33280" xr:uid="{00000000-0005-0000-0000-0000C7290000}"/>
    <cellStyle name="Normal 15 5 4 2 3" xfId="25233" xr:uid="{00000000-0005-0000-0000-0000C8290000}"/>
    <cellStyle name="Normal 15 5 4 3" xfId="12818" xr:uid="{00000000-0005-0000-0000-0000C9290000}"/>
    <cellStyle name="Normal 15 5 4 3 2" xfId="29351" xr:uid="{00000000-0005-0000-0000-0000CA290000}"/>
    <cellStyle name="Normal 15 5 4 4" xfId="21308" xr:uid="{00000000-0005-0000-0000-0000CB290000}"/>
    <cellStyle name="Normal 15 5 5" xfId="7528" xr:uid="{00000000-0005-0000-0000-0000CC290000}"/>
    <cellStyle name="Normal 15 5 5 2" xfId="16707" xr:uid="{00000000-0005-0000-0000-0000CD290000}"/>
    <cellStyle name="Normal 15 5 5 2 2" xfId="33281" xr:uid="{00000000-0005-0000-0000-0000CE290000}"/>
    <cellStyle name="Normal 15 5 5 3" xfId="25234" xr:uid="{00000000-0005-0000-0000-0000CF290000}"/>
    <cellStyle name="Normal 15 5 6" xfId="12811" xr:uid="{00000000-0005-0000-0000-0000D0290000}"/>
    <cellStyle name="Normal 15 5 6 2" xfId="29344" xr:uid="{00000000-0005-0000-0000-0000D1290000}"/>
    <cellStyle name="Normal 15 5 7" xfId="21301" xr:uid="{00000000-0005-0000-0000-0000D2290000}"/>
    <cellStyle name="Normal 15 6" xfId="3358" xr:uid="{00000000-0005-0000-0000-0000D3290000}"/>
    <cellStyle name="Normal 15 6 2" xfId="3359" xr:uid="{00000000-0005-0000-0000-0000D4290000}"/>
    <cellStyle name="Normal 15 6 2 2" xfId="3360" xr:uid="{00000000-0005-0000-0000-0000D5290000}"/>
    <cellStyle name="Normal 15 6 2 2 2" xfId="7529" xr:uid="{00000000-0005-0000-0000-0000D6290000}"/>
    <cellStyle name="Normal 15 6 2 2 2 2" xfId="16708" xr:uid="{00000000-0005-0000-0000-0000D7290000}"/>
    <cellStyle name="Normal 15 6 2 2 2 2 2" xfId="33282" xr:uid="{00000000-0005-0000-0000-0000D8290000}"/>
    <cellStyle name="Normal 15 6 2 2 2 3" xfId="25235" xr:uid="{00000000-0005-0000-0000-0000D9290000}"/>
    <cellStyle name="Normal 15 6 2 2 3" xfId="12821" xr:uid="{00000000-0005-0000-0000-0000DA290000}"/>
    <cellStyle name="Normal 15 6 2 2 3 2" xfId="29354" xr:uid="{00000000-0005-0000-0000-0000DB290000}"/>
    <cellStyle name="Normal 15 6 2 2 4" xfId="21311" xr:uid="{00000000-0005-0000-0000-0000DC290000}"/>
    <cellStyle name="Normal 15 6 2 3" xfId="7530" xr:uid="{00000000-0005-0000-0000-0000DD290000}"/>
    <cellStyle name="Normal 15 6 2 3 2" xfId="16709" xr:uid="{00000000-0005-0000-0000-0000DE290000}"/>
    <cellStyle name="Normal 15 6 2 3 2 2" xfId="33283" xr:uid="{00000000-0005-0000-0000-0000DF290000}"/>
    <cellStyle name="Normal 15 6 2 3 3" xfId="25236" xr:uid="{00000000-0005-0000-0000-0000E0290000}"/>
    <cellStyle name="Normal 15 6 2 4" xfId="12820" xr:uid="{00000000-0005-0000-0000-0000E1290000}"/>
    <cellStyle name="Normal 15 6 2 4 2" xfId="29353" xr:uid="{00000000-0005-0000-0000-0000E2290000}"/>
    <cellStyle name="Normal 15 6 2 5" xfId="21310" xr:uid="{00000000-0005-0000-0000-0000E3290000}"/>
    <cellStyle name="Normal 15 6 3" xfId="3361" xr:uid="{00000000-0005-0000-0000-0000E4290000}"/>
    <cellStyle name="Normal 15 6 3 2" xfId="7531" xr:uid="{00000000-0005-0000-0000-0000E5290000}"/>
    <cellStyle name="Normal 15 6 3 2 2" xfId="16710" xr:uid="{00000000-0005-0000-0000-0000E6290000}"/>
    <cellStyle name="Normal 15 6 3 2 2 2" xfId="33284" xr:uid="{00000000-0005-0000-0000-0000E7290000}"/>
    <cellStyle name="Normal 15 6 3 2 3" xfId="25237" xr:uid="{00000000-0005-0000-0000-0000E8290000}"/>
    <cellStyle name="Normal 15 6 3 3" xfId="12822" xr:uid="{00000000-0005-0000-0000-0000E9290000}"/>
    <cellStyle name="Normal 15 6 3 3 2" xfId="29355" xr:uid="{00000000-0005-0000-0000-0000EA290000}"/>
    <cellStyle name="Normal 15 6 3 4" xfId="21312" xr:uid="{00000000-0005-0000-0000-0000EB290000}"/>
    <cellStyle name="Normal 15 6 4" xfId="7532" xr:uid="{00000000-0005-0000-0000-0000EC290000}"/>
    <cellStyle name="Normal 15 6 4 2" xfId="16711" xr:uid="{00000000-0005-0000-0000-0000ED290000}"/>
    <cellStyle name="Normal 15 6 4 2 2" xfId="33285" xr:uid="{00000000-0005-0000-0000-0000EE290000}"/>
    <cellStyle name="Normal 15 6 4 3" xfId="25238" xr:uid="{00000000-0005-0000-0000-0000EF290000}"/>
    <cellStyle name="Normal 15 6 5" xfId="12819" xr:uid="{00000000-0005-0000-0000-0000F0290000}"/>
    <cellStyle name="Normal 15 6 5 2" xfId="29352" xr:uid="{00000000-0005-0000-0000-0000F1290000}"/>
    <cellStyle name="Normal 15 6 6" xfId="21309" xr:uid="{00000000-0005-0000-0000-0000F2290000}"/>
    <cellStyle name="Normal 15 7" xfId="3362" xr:uid="{00000000-0005-0000-0000-0000F3290000}"/>
    <cellStyle name="Normal 15 7 2" xfId="3363" xr:uid="{00000000-0005-0000-0000-0000F4290000}"/>
    <cellStyle name="Normal 15 7 2 2" xfId="7533" xr:uid="{00000000-0005-0000-0000-0000F5290000}"/>
    <cellStyle name="Normal 15 7 2 2 2" xfId="16712" xr:uid="{00000000-0005-0000-0000-0000F6290000}"/>
    <cellStyle name="Normal 15 7 2 2 2 2" xfId="33286" xr:uid="{00000000-0005-0000-0000-0000F7290000}"/>
    <cellStyle name="Normal 15 7 2 2 3" xfId="25239" xr:uid="{00000000-0005-0000-0000-0000F8290000}"/>
    <cellStyle name="Normal 15 7 2 3" xfId="12824" xr:uid="{00000000-0005-0000-0000-0000F9290000}"/>
    <cellStyle name="Normal 15 7 2 3 2" xfId="29357" xr:uid="{00000000-0005-0000-0000-0000FA290000}"/>
    <cellStyle name="Normal 15 7 2 4" xfId="21314" xr:uid="{00000000-0005-0000-0000-0000FB290000}"/>
    <cellStyle name="Normal 15 7 3" xfId="7534" xr:uid="{00000000-0005-0000-0000-0000FC290000}"/>
    <cellStyle name="Normal 15 7 3 2" xfId="16713" xr:uid="{00000000-0005-0000-0000-0000FD290000}"/>
    <cellStyle name="Normal 15 7 3 2 2" xfId="33287" xr:uid="{00000000-0005-0000-0000-0000FE290000}"/>
    <cellStyle name="Normal 15 7 3 3" xfId="25240" xr:uid="{00000000-0005-0000-0000-0000FF290000}"/>
    <cellStyle name="Normal 15 7 4" xfId="12823" xr:uid="{00000000-0005-0000-0000-0000002A0000}"/>
    <cellStyle name="Normal 15 7 4 2" xfId="29356" xr:uid="{00000000-0005-0000-0000-0000012A0000}"/>
    <cellStyle name="Normal 15 7 5" xfId="21313" xr:uid="{00000000-0005-0000-0000-0000022A0000}"/>
    <cellStyle name="Normal 15 8" xfId="3364" xr:uid="{00000000-0005-0000-0000-0000032A0000}"/>
    <cellStyle name="Normal 15 8 2" xfId="7535" xr:uid="{00000000-0005-0000-0000-0000042A0000}"/>
    <cellStyle name="Normal 15 8 2 2" xfId="16714" xr:uid="{00000000-0005-0000-0000-0000052A0000}"/>
    <cellStyle name="Normal 15 8 2 2 2" xfId="33288" xr:uid="{00000000-0005-0000-0000-0000062A0000}"/>
    <cellStyle name="Normal 15 8 2 3" xfId="25241" xr:uid="{00000000-0005-0000-0000-0000072A0000}"/>
    <cellStyle name="Normal 15 8 3" xfId="12825" xr:uid="{00000000-0005-0000-0000-0000082A0000}"/>
    <cellStyle name="Normal 15 8 3 2" xfId="29358" xr:uid="{00000000-0005-0000-0000-0000092A0000}"/>
    <cellStyle name="Normal 15 8 4" xfId="21315" xr:uid="{00000000-0005-0000-0000-00000A2A0000}"/>
    <cellStyle name="Normal 15 9" xfId="7536" xr:uid="{00000000-0005-0000-0000-00000B2A0000}"/>
    <cellStyle name="Normal 15 9 2" xfId="16715" xr:uid="{00000000-0005-0000-0000-00000C2A0000}"/>
    <cellStyle name="Normal 15 9 2 2" xfId="33289" xr:uid="{00000000-0005-0000-0000-00000D2A0000}"/>
    <cellStyle name="Normal 15 9 3" xfId="25242" xr:uid="{00000000-0005-0000-0000-00000E2A0000}"/>
    <cellStyle name="Normal 150" xfId="10467" xr:uid="{00000000-0005-0000-0000-00000F2A0000}"/>
    <cellStyle name="Normal 151" xfId="10470" xr:uid="{00000000-0005-0000-0000-0000102A0000}"/>
    <cellStyle name="Normal 152" xfId="10473" xr:uid="{00000000-0005-0000-0000-0000112A0000}"/>
    <cellStyle name="Normal 153" xfId="10476" xr:uid="{00000000-0005-0000-0000-0000122A0000}"/>
    <cellStyle name="Normal 154" xfId="10479" xr:uid="{00000000-0005-0000-0000-0000132A0000}"/>
    <cellStyle name="Normal 155" xfId="10482" xr:uid="{00000000-0005-0000-0000-0000142A0000}"/>
    <cellStyle name="Normal 156" xfId="10485" xr:uid="{00000000-0005-0000-0000-0000152A0000}"/>
    <cellStyle name="Normal 157" xfId="10488" xr:uid="{00000000-0005-0000-0000-0000162A0000}"/>
    <cellStyle name="Normal 158" xfId="10491" xr:uid="{00000000-0005-0000-0000-0000172A0000}"/>
    <cellStyle name="Normal 159" xfId="10494" xr:uid="{00000000-0005-0000-0000-0000182A0000}"/>
    <cellStyle name="Normal 16" xfId="1723" xr:uid="{00000000-0005-0000-0000-0000192A0000}"/>
    <cellStyle name="Normal 16 10" xfId="3365" xr:uid="{00000000-0005-0000-0000-00001A2A0000}"/>
    <cellStyle name="Normal 16 10 2" xfId="29359" xr:uid="{00000000-0005-0000-0000-00001B2A0000}"/>
    <cellStyle name="Normal 16 11" xfId="21316" xr:uid="{00000000-0005-0000-0000-00001C2A0000}"/>
    <cellStyle name="Normal 16 2" xfId="3366" xr:uid="{00000000-0005-0000-0000-00001D2A0000}"/>
    <cellStyle name="Normal 16 2 2" xfId="3367" xr:uid="{00000000-0005-0000-0000-00001E2A0000}"/>
    <cellStyle name="Normal 16 2 3" xfId="12826" xr:uid="{00000000-0005-0000-0000-00001F2A0000}"/>
    <cellStyle name="Normal 16 2 3 2" xfId="29360" xr:uid="{00000000-0005-0000-0000-0000202A0000}"/>
    <cellStyle name="Normal 16 2 4" xfId="21317" xr:uid="{00000000-0005-0000-0000-0000212A0000}"/>
    <cellStyle name="Normal 16 3" xfId="3368" xr:uid="{00000000-0005-0000-0000-0000222A0000}"/>
    <cellStyle name="Normal 16 3 2" xfId="3369" xr:uid="{00000000-0005-0000-0000-0000232A0000}"/>
    <cellStyle name="Normal 16 3 2 2" xfId="3370" xr:uid="{00000000-0005-0000-0000-0000242A0000}"/>
    <cellStyle name="Normal 16 3 2 2 2" xfId="3371" xr:uid="{00000000-0005-0000-0000-0000252A0000}"/>
    <cellStyle name="Normal 16 3 2 2 2 2" xfId="7537" xr:uid="{00000000-0005-0000-0000-0000262A0000}"/>
    <cellStyle name="Normal 16 3 2 2 2 2 2" xfId="16716" xr:uid="{00000000-0005-0000-0000-0000272A0000}"/>
    <cellStyle name="Normal 16 3 2 2 2 2 2 2" xfId="33290" xr:uid="{00000000-0005-0000-0000-0000282A0000}"/>
    <cellStyle name="Normal 16 3 2 2 2 2 3" xfId="25243" xr:uid="{00000000-0005-0000-0000-0000292A0000}"/>
    <cellStyle name="Normal 16 3 2 2 2 3" xfId="12829" xr:uid="{00000000-0005-0000-0000-00002A2A0000}"/>
    <cellStyle name="Normal 16 3 2 2 2 3 2" xfId="29363" xr:uid="{00000000-0005-0000-0000-00002B2A0000}"/>
    <cellStyle name="Normal 16 3 2 2 2 4" xfId="21320" xr:uid="{00000000-0005-0000-0000-00002C2A0000}"/>
    <cellStyle name="Normal 16 3 2 2 3" xfId="7538" xr:uid="{00000000-0005-0000-0000-00002D2A0000}"/>
    <cellStyle name="Normal 16 3 2 2 3 2" xfId="16717" xr:uid="{00000000-0005-0000-0000-00002E2A0000}"/>
    <cellStyle name="Normal 16 3 2 2 3 2 2" xfId="33291" xr:uid="{00000000-0005-0000-0000-00002F2A0000}"/>
    <cellStyle name="Normal 16 3 2 2 3 3" xfId="25244" xr:uid="{00000000-0005-0000-0000-0000302A0000}"/>
    <cellStyle name="Normal 16 3 2 2 4" xfId="12828" xr:uid="{00000000-0005-0000-0000-0000312A0000}"/>
    <cellStyle name="Normal 16 3 2 2 4 2" xfId="29362" xr:uid="{00000000-0005-0000-0000-0000322A0000}"/>
    <cellStyle name="Normal 16 3 2 2 5" xfId="21319" xr:uid="{00000000-0005-0000-0000-0000332A0000}"/>
    <cellStyle name="Normal 16 3 2 3" xfId="3372" xr:uid="{00000000-0005-0000-0000-0000342A0000}"/>
    <cellStyle name="Normal 16 3 2 3 2" xfId="7539" xr:uid="{00000000-0005-0000-0000-0000352A0000}"/>
    <cellStyle name="Normal 16 3 2 3 2 2" xfId="16718" xr:uid="{00000000-0005-0000-0000-0000362A0000}"/>
    <cellStyle name="Normal 16 3 2 3 2 2 2" xfId="33292" xr:uid="{00000000-0005-0000-0000-0000372A0000}"/>
    <cellStyle name="Normal 16 3 2 3 2 3" xfId="25245" xr:uid="{00000000-0005-0000-0000-0000382A0000}"/>
    <cellStyle name="Normal 16 3 2 3 3" xfId="12830" xr:uid="{00000000-0005-0000-0000-0000392A0000}"/>
    <cellStyle name="Normal 16 3 2 3 3 2" xfId="29364" xr:uid="{00000000-0005-0000-0000-00003A2A0000}"/>
    <cellStyle name="Normal 16 3 2 3 4" xfId="21321" xr:uid="{00000000-0005-0000-0000-00003B2A0000}"/>
    <cellStyle name="Normal 16 3 2 4" xfId="7540" xr:uid="{00000000-0005-0000-0000-00003C2A0000}"/>
    <cellStyle name="Normal 16 3 2 4 2" xfId="16719" xr:uid="{00000000-0005-0000-0000-00003D2A0000}"/>
    <cellStyle name="Normal 16 3 2 4 2 2" xfId="33293" xr:uid="{00000000-0005-0000-0000-00003E2A0000}"/>
    <cellStyle name="Normal 16 3 2 4 3" xfId="25246" xr:uid="{00000000-0005-0000-0000-00003F2A0000}"/>
    <cellStyle name="Normal 16 3 2 5" xfId="12827" xr:uid="{00000000-0005-0000-0000-0000402A0000}"/>
    <cellStyle name="Normal 16 3 2 5 2" xfId="29361" xr:uid="{00000000-0005-0000-0000-0000412A0000}"/>
    <cellStyle name="Normal 16 3 2 6" xfId="21318" xr:uid="{00000000-0005-0000-0000-0000422A0000}"/>
    <cellStyle name="Normal 16 3 3" xfId="3373" xr:uid="{00000000-0005-0000-0000-0000432A0000}"/>
    <cellStyle name="Normal 16 3 3 2" xfId="3374" xr:uid="{00000000-0005-0000-0000-0000442A0000}"/>
    <cellStyle name="Normal 16 3 3 2 2" xfId="7541" xr:uid="{00000000-0005-0000-0000-0000452A0000}"/>
    <cellStyle name="Normal 16 3 3 2 2 2" xfId="16720" xr:uid="{00000000-0005-0000-0000-0000462A0000}"/>
    <cellStyle name="Normal 16 3 3 2 2 2 2" xfId="33294" xr:uid="{00000000-0005-0000-0000-0000472A0000}"/>
    <cellStyle name="Normal 16 3 3 2 2 3" xfId="25247" xr:uid="{00000000-0005-0000-0000-0000482A0000}"/>
    <cellStyle name="Normal 16 3 3 2 3" xfId="12832" xr:uid="{00000000-0005-0000-0000-0000492A0000}"/>
    <cellStyle name="Normal 16 3 3 2 3 2" xfId="29366" xr:uid="{00000000-0005-0000-0000-00004A2A0000}"/>
    <cellStyle name="Normal 16 3 3 2 4" xfId="21323" xr:uid="{00000000-0005-0000-0000-00004B2A0000}"/>
    <cellStyle name="Normal 16 3 3 3" xfId="7542" xr:uid="{00000000-0005-0000-0000-00004C2A0000}"/>
    <cellStyle name="Normal 16 3 3 3 2" xfId="16721" xr:uid="{00000000-0005-0000-0000-00004D2A0000}"/>
    <cellStyle name="Normal 16 3 3 3 2 2" xfId="33295" xr:uid="{00000000-0005-0000-0000-00004E2A0000}"/>
    <cellStyle name="Normal 16 3 3 3 3" xfId="25248" xr:uid="{00000000-0005-0000-0000-00004F2A0000}"/>
    <cellStyle name="Normal 16 3 3 4" xfId="12831" xr:uid="{00000000-0005-0000-0000-0000502A0000}"/>
    <cellStyle name="Normal 16 3 3 4 2" xfId="29365" xr:uid="{00000000-0005-0000-0000-0000512A0000}"/>
    <cellStyle name="Normal 16 3 3 5" xfId="21322" xr:uid="{00000000-0005-0000-0000-0000522A0000}"/>
    <cellStyle name="Normal 16 3 4" xfId="3375" xr:uid="{00000000-0005-0000-0000-0000532A0000}"/>
    <cellStyle name="Normal 16 3 4 2" xfId="7543" xr:uid="{00000000-0005-0000-0000-0000542A0000}"/>
    <cellStyle name="Normal 16 3 4 2 2" xfId="16722" xr:uid="{00000000-0005-0000-0000-0000552A0000}"/>
    <cellStyle name="Normal 16 3 4 2 2 2" xfId="33296" xr:uid="{00000000-0005-0000-0000-0000562A0000}"/>
    <cellStyle name="Normal 16 3 4 2 3" xfId="25249" xr:uid="{00000000-0005-0000-0000-0000572A0000}"/>
    <cellStyle name="Normal 16 3 4 3" xfId="12833" xr:uid="{00000000-0005-0000-0000-0000582A0000}"/>
    <cellStyle name="Normal 16 3 4 3 2" xfId="29367" xr:uid="{00000000-0005-0000-0000-0000592A0000}"/>
    <cellStyle name="Normal 16 3 4 4" xfId="21324" xr:uid="{00000000-0005-0000-0000-00005A2A0000}"/>
    <cellStyle name="Normal 16 3 5" xfId="3376" xr:uid="{00000000-0005-0000-0000-00005B2A0000}"/>
    <cellStyle name="Normal 16 3 5 2" xfId="12834" xr:uid="{00000000-0005-0000-0000-00005C2A0000}"/>
    <cellStyle name="Normal 16 3 5 2 2" xfId="29368" xr:uid="{00000000-0005-0000-0000-00005D2A0000}"/>
    <cellStyle name="Normal 16 3 5 3" xfId="21325" xr:uid="{00000000-0005-0000-0000-00005E2A0000}"/>
    <cellStyle name="Normal 16 4" xfId="3377" xr:uid="{00000000-0005-0000-0000-00005F2A0000}"/>
    <cellStyle name="Normal 16 4 2" xfId="3378" xr:uid="{00000000-0005-0000-0000-0000602A0000}"/>
    <cellStyle name="Normal 16 4 2 2" xfId="3379" xr:uid="{00000000-0005-0000-0000-0000612A0000}"/>
    <cellStyle name="Normal 16 4 2 2 2" xfId="3380" xr:uid="{00000000-0005-0000-0000-0000622A0000}"/>
    <cellStyle name="Normal 16 4 2 2 2 2" xfId="7544" xr:uid="{00000000-0005-0000-0000-0000632A0000}"/>
    <cellStyle name="Normal 16 4 2 2 2 2 2" xfId="16723" xr:uid="{00000000-0005-0000-0000-0000642A0000}"/>
    <cellStyle name="Normal 16 4 2 2 2 2 2 2" xfId="33297" xr:uid="{00000000-0005-0000-0000-0000652A0000}"/>
    <cellStyle name="Normal 16 4 2 2 2 2 3" xfId="25250" xr:uid="{00000000-0005-0000-0000-0000662A0000}"/>
    <cellStyle name="Normal 16 4 2 2 2 3" xfId="12838" xr:uid="{00000000-0005-0000-0000-0000672A0000}"/>
    <cellStyle name="Normal 16 4 2 2 2 3 2" xfId="29372" xr:uid="{00000000-0005-0000-0000-0000682A0000}"/>
    <cellStyle name="Normal 16 4 2 2 2 4" xfId="21329" xr:uid="{00000000-0005-0000-0000-0000692A0000}"/>
    <cellStyle name="Normal 16 4 2 2 3" xfId="7545" xr:uid="{00000000-0005-0000-0000-00006A2A0000}"/>
    <cellStyle name="Normal 16 4 2 2 3 2" xfId="16724" xr:uid="{00000000-0005-0000-0000-00006B2A0000}"/>
    <cellStyle name="Normal 16 4 2 2 3 2 2" xfId="33298" xr:uid="{00000000-0005-0000-0000-00006C2A0000}"/>
    <cellStyle name="Normal 16 4 2 2 3 3" xfId="25251" xr:uid="{00000000-0005-0000-0000-00006D2A0000}"/>
    <cellStyle name="Normal 16 4 2 2 4" xfId="12837" xr:uid="{00000000-0005-0000-0000-00006E2A0000}"/>
    <cellStyle name="Normal 16 4 2 2 4 2" xfId="29371" xr:uid="{00000000-0005-0000-0000-00006F2A0000}"/>
    <cellStyle name="Normal 16 4 2 2 5" xfId="21328" xr:uid="{00000000-0005-0000-0000-0000702A0000}"/>
    <cellStyle name="Normal 16 4 2 3" xfId="3381" xr:uid="{00000000-0005-0000-0000-0000712A0000}"/>
    <cellStyle name="Normal 16 4 2 3 2" xfId="7546" xr:uid="{00000000-0005-0000-0000-0000722A0000}"/>
    <cellStyle name="Normal 16 4 2 3 2 2" xfId="16725" xr:uid="{00000000-0005-0000-0000-0000732A0000}"/>
    <cellStyle name="Normal 16 4 2 3 2 2 2" xfId="33299" xr:uid="{00000000-0005-0000-0000-0000742A0000}"/>
    <cellStyle name="Normal 16 4 2 3 2 3" xfId="25252" xr:uid="{00000000-0005-0000-0000-0000752A0000}"/>
    <cellStyle name="Normal 16 4 2 3 3" xfId="12839" xr:uid="{00000000-0005-0000-0000-0000762A0000}"/>
    <cellStyle name="Normal 16 4 2 3 3 2" xfId="29373" xr:uid="{00000000-0005-0000-0000-0000772A0000}"/>
    <cellStyle name="Normal 16 4 2 3 4" xfId="21330" xr:uid="{00000000-0005-0000-0000-0000782A0000}"/>
    <cellStyle name="Normal 16 4 2 4" xfId="7547" xr:uid="{00000000-0005-0000-0000-0000792A0000}"/>
    <cellStyle name="Normal 16 4 2 4 2" xfId="16726" xr:uid="{00000000-0005-0000-0000-00007A2A0000}"/>
    <cellStyle name="Normal 16 4 2 4 2 2" xfId="33300" xr:uid="{00000000-0005-0000-0000-00007B2A0000}"/>
    <cellStyle name="Normal 16 4 2 4 3" xfId="25253" xr:uid="{00000000-0005-0000-0000-00007C2A0000}"/>
    <cellStyle name="Normal 16 4 2 5" xfId="12836" xr:uid="{00000000-0005-0000-0000-00007D2A0000}"/>
    <cellStyle name="Normal 16 4 2 5 2" xfId="29370" xr:uid="{00000000-0005-0000-0000-00007E2A0000}"/>
    <cellStyle name="Normal 16 4 2 6" xfId="21327" xr:uid="{00000000-0005-0000-0000-00007F2A0000}"/>
    <cellStyle name="Normal 16 4 3" xfId="3382" xr:uid="{00000000-0005-0000-0000-0000802A0000}"/>
    <cellStyle name="Normal 16 4 3 2" xfId="3383" xr:uid="{00000000-0005-0000-0000-0000812A0000}"/>
    <cellStyle name="Normal 16 4 3 2 2" xfId="7548" xr:uid="{00000000-0005-0000-0000-0000822A0000}"/>
    <cellStyle name="Normal 16 4 3 2 2 2" xfId="16727" xr:uid="{00000000-0005-0000-0000-0000832A0000}"/>
    <cellStyle name="Normal 16 4 3 2 2 2 2" xfId="33301" xr:uid="{00000000-0005-0000-0000-0000842A0000}"/>
    <cellStyle name="Normal 16 4 3 2 2 3" xfId="25254" xr:uid="{00000000-0005-0000-0000-0000852A0000}"/>
    <cellStyle name="Normal 16 4 3 2 3" xfId="12841" xr:uid="{00000000-0005-0000-0000-0000862A0000}"/>
    <cellStyle name="Normal 16 4 3 2 3 2" xfId="29375" xr:uid="{00000000-0005-0000-0000-0000872A0000}"/>
    <cellStyle name="Normal 16 4 3 2 4" xfId="21332" xr:uid="{00000000-0005-0000-0000-0000882A0000}"/>
    <cellStyle name="Normal 16 4 3 3" xfId="7549" xr:uid="{00000000-0005-0000-0000-0000892A0000}"/>
    <cellStyle name="Normal 16 4 3 3 2" xfId="16728" xr:uid="{00000000-0005-0000-0000-00008A2A0000}"/>
    <cellStyle name="Normal 16 4 3 3 2 2" xfId="33302" xr:uid="{00000000-0005-0000-0000-00008B2A0000}"/>
    <cellStyle name="Normal 16 4 3 3 3" xfId="25255" xr:uid="{00000000-0005-0000-0000-00008C2A0000}"/>
    <cellStyle name="Normal 16 4 3 4" xfId="12840" xr:uid="{00000000-0005-0000-0000-00008D2A0000}"/>
    <cellStyle name="Normal 16 4 3 4 2" xfId="29374" xr:uid="{00000000-0005-0000-0000-00008E2A0000}"/>
    <cellStyle name="Normal 16 4 3 5" xfId="21331" xr:uid="{00000000-0005-0000-0000-00008F2A0000}"/>
    <cellStyle name="Normal 16 4 4" xfId="3384" xr:uid="{00000000-0005-0000-0000-0000902A0000}"/>
    <cellStyle name="Normal 16 4 4 2" xfId="7550" xr:uid="{00000000-0005-0000-0000-0000912A0000}"/>
    <cellStyle name="Normal 16 4 4 2 2" xfId="16729" xr:uid="{00000000-0005-0000-0000-0000922A0000}"/>
    <cellStyle name="Normal 16 4 4 2 2 2" xfId="33303" xr:uid="{00000000-0005-0000-0000-0000932A0000}"/>
    <cellStyle name="Normal 16 4 4 2 3" xfId="25256" xr:uid="{00000000-0005-0000-0000-0000942A0000}"/>
    <cellStyle name="Normal 16 4 4 3" xfId="12842" xr:uid="{00000000-0005-0000-0000-0000952A0000}"/>
    <cellStyle name="Normal 16 4 4 3 2" xfId="29376" xr:uid="{00000000-0005-0000-0000-0000962A0000}"/>
    <cellStyle name="Normal 16 4 4 4" xfId="21333" xr:uid="{00000000-0005-0000-0000-0000972A0000}"/>
    <cellStyle name="Normal 16 4 5" xfId="7551" xr:uid="{00000000-0005-0000-0000-0000982A0000}"/>
    <cellStyle name="Normal 16 4 5 2" xfId="16730" xr:uid="{00000000-0005-0000-0000-0000992A0000}"/>
    <cellStyle name="Normal 16 4 5 2 2" xfId="33304" xr:uid="{00000000-0005-0000-0000-00009A2A0000}"/>
    <cellStyle name="Normal 16 4 5 3" xfId="25257" xr:uid="{00000000-0005-0000-0000-00009B2A0000}"/>
    <cellStyle name="Normal 16 4 6" xfId="12835" xr:uid="{00000000-0005-0000-0000-00009C2A0000}"/>
    <cellStyle name="Normal 16 4 6 2" xfId="29369" xr:uid="{00000000-0005-0000-0000-00009D2A0000}"/>
    <cellStyle name="Normal 16 4 7" xfId="21326" xr:uid="{00000000-0005-0000-0000-00009E2A0000}"/>
    <cellStyle name="Normal 16 5" xfId="3385" xr:uid="{00000000-0005-0000-0000-00009F2A0000}"/>
    <cellStyle name="Normal 16 5 2" xfId="3386" xr:uid="{00000000-0005-0000-0000-0000A02A0000}"/>
    <cellStyle name="Normal 16 5 2 2" xfId="3387" xr:uid="{00000000-0005-0000-0000-0000A12A0000}"/>
    <cellStyle name="Normal 16 5 2 2 2" xfId="3388" xr:uid="{00000000-0005-0000-0000-0000A22A0000}"/>
    <cellStyle name="Normal 16 5 2 2 2 2" xfId="7552" xr:uid="{00000000-0005-0000-0000-0000A32A0000}"/>
    <cellStyle name="Normal 16 5 2 2 2 2 2" xfId="16731" xr:uid="{00000000-0005-0000-0000-0000A42A0000}"/>
    <cellStyle name="Normal 16 5 2 2 2 2 2 2" xfId="33305" xr:uid="{00000000-0005-0000-0000-0000A52A0000}"/>
    <cellStyle name="Normal 16 5 2 2 2 2 3" xfId="25258" xr:uid="{00000000-0005-0000-0000-0000A62A0000}"/>
    <cellStyle name="Normal 16 5 2 2 2 3" xfId="12846" xr:uid="{00000000-0005-0000-0000-0000A72A0000}"/>
    <cellStyle name="Normal 16 5 2 2 2 3 2" xfId="29380" xr:uid="{00000000-0005-0000-0000-0000A82A0000}"/>
    <cellStyle name="Normal 16 5 2 2 2 4" xfId="21337" xr:uid="{00000000-0005-0000-0000-0000A92A0000}"/>
    <cellStyle name="Normal 16 5 2 2 3" xfId="7553" xr:uid="{00000000-0005-0000-0000-0000AA2A0000}"/>
    <cellStyle name="Normal 16 5 2 2 3 2" xfId="16732" xr:uid="{00000000-0005-0000-0000-0000AB2A0000}"/>
    <cellStyle name="Normal 16 5 2 2 3 2 2" xfId="33306" xr:uid="{00000000-0005-0000-0000-0000AC2A0000}"/>
    <cellStyle name="Normal 16 5 2 2 3 3" xfId="25259" xr:uid="{00000000-0005-0000-0000-0000AD2A0000}"/>
    <cellStyle name="Normal 16 5 2 2 4" xfId="12845" xr:uid="{00000000-0005-0000-0000-0000AE2A0000}"/>
    <cellStyle name="Normal 16 5 2 2 4 2" xfId="29379" xr:uid="{00000000-0005-0000-0000-0000AF2A0000}"/>
    <cellStyle name="Normal 16 5 2 2 5" xfId="21336" xr:uid="{00000000-0005-0000-0000-0000B02A0000}"/>
    <cellStyle name="Normal 16 5 2 3" xfId="3389" xr:uid="{00000000-0005-0000-0000-0000B12A0000}"/>
    <cellStyle name="Normal 16 5 2 3 2" xfId="7554" xr:uid="{00000000-0005-0000-0000-0000B22A0000}"/>
    <cellStyle name="Normal 16 5 2 3 2 2" xfId="16733" xr:uid="{00000000-0005-0000-0000-0000B32A0000}"/>
    <cellStyle name="Normal 16 5 2 3 2 2 2" xfId="33307" xr:uid="{00000000-0005-0000-0000-0000B42A0000}"/>
    <cellStyle name="Normal 16 5 2 3 2 3" xfId="25260" xr:uid="{00000000-0005-0000-0000-0000B52A0000}"/>
    <cellStyle name="Normal 16 5 2 3 3" xfId="12847" xr:uid="{00000000-0005-0000-0000-0000B62A0000}"/>
    <cellStyle name="Normal 16 5 2 3 3 2" xfId="29381" xr:uid="{00000000-0005-0000-0000-0000B72A0000}"/>
    <cellStyle name="Normal 16 5 2 3 4" xfId="21338" xr:uid="{00000000-0005-0000-0000-0000B82A0000}"/>
    <cellStyle name="Normal 16 5 2 4" xfId="7555" xr:uid="{00000000-0005-0000-0000-0000B92A0000}"/>
    <cellStyle name="Normal 16 5 2 4 2" xfId="16734" xr:uid="{00000000-0005-0000-0000-0000BA2A0000}"/>
    <cellStyle name="Normal 16 5 2 4 2 2" xfId="33308" xr:uid="{00000000-0005-0000-0000-0000BB2A0000}"/>
    <cellStyle name="Normal 16 5 2 4 3" xfId="25261" xr:uid="{00000000-0005-0000-0000-0000BC2A0000}"/>
    <cellStyle name="Normal 16 5 2 5" xfId="12844" xr:uid="{00000000-0005-0000-0000-0000BD2A0000}"/>
    <cellStyle name="Normal 16 5 2 5 2" xfId="29378" xr:uid="{00000000-0005-0000-0000-0000BE2A0000}"/>
    <cellStyle name="Normal 16 5 2 6" xfId="21335" xr:uid="{00000000-0005-0000-0000-0000BF2A0000}"/>
    <cellStyle name="Normal 16 5 3" xfId="3390" xr:uid="{00000000-0005-0000-0000-0000C02A0000}"/>
    <cellStyle name="Normal 16 5 3 2" xfId="3391" xr:uid="{00000000-0005-0000-0000-0000C12A0000}"/>
    <cellStyle name="Normal 16 5 3 2 2" xfId="7556" xr:uid="{00000000-0005-0000-0000-0000C22A0000}"/>
    <cellStyle name="Normal 16 5 3 2 2 2" xfId="16735" xr:uid="{00000000-0005-0000-0000-0000C32A0000}"/>
    <cellStyle name="Normal 16 5 3 2 2 2 2" xfId="33309" xr:uid="{00000000-0005-0000-0000-0000C42A0000}"/>
    <cellStyle name="Normal 16 5 3 2 2 3" xfId="25262" xr:uid="{00000000-0005-0000-0000-0000C52A0000}"/>
    <cellStyle name="Normal 16 5 3 2 3" xfId="12849" xr:uid="{00000000-0005-0000-0000-0000C62A0000}"/>
    <cellStyle name="Normal 16 5 3 2 3 2" xfId="29383" xr:uid="{00000000-0005-0000-0000-0000C72A0000}"/>
    <cellStyle name="Normal 16 5 3 2 4" xfId="21340" xr:uid="{00000000-0005-0000-0000-0000C82A0000}"/>
    <cellStyle name="Normal 16 5 3 3" xfId="7557" xr:uid="{00000000-0005-0000-0000-0000C92A0000}"/>
    <cellStyle name="Normal 16 5 3 3 2" xfId="16736" xr:uid="{00000000-0005-0000-0000-0000CA2A0000}"/>
    <cellStyle name="Normal 16 5 3 3 2 2" xfId="33310" xr:uid="{00000000-0005-0000-0000-0000CB2A0000}"/>
    <cellStyle name="Normal 16 5 3 3 3" xfId="25263" xr:uid="{00000000-0005-0000-0000-0000CC2A0000}"/>
    <cellStyle name="Normal 16 5 3 4" xfId="12848" xr:uid="{00000000-0005-0000-0000-0000CD2A0000}"/>
    <cellStyle name="Normal 16 5 3 4 2" xfId="29382" xr:uid="{00000000-0005-0000-0000-0000CE2A0000}"/>
    <cellStyle name="Normal 16 5 3 5" xfId="21339" xr:uid="{00000000-0005-0000-0000-0000CF2A0000}"/>
    <cellStyle name="Normal 16 5 4" xfId="3392" xr:uid="{00000000-0005-0000-0000-0000D02A0000}"/>
    <cellStyle name="Normal 16 5 4 2" xfId="7558" xr:uid="{00000000-0005-0000-0000-0000D12A0000}"/>
    <cellStyle name="Normal 16 5 4 2 2" xfId="16737" xr:uid="{00000000-0005-0000-0000-0000D22A0000}"/>
    <cellStyle name="Normal 16 5 4 2 2 2" xfId="33311" xr:uid="{00000000-0005-0000-0000-0000D32A0000}"/>
    <cellStyle name="Normal 16 5 4 2 3" xfId="25264" xr:uid="{00000000-0005-0000-0000-0000D42A0000}"/>
    <cellStyle name="Normal 16 5 4 3" xfId="12850" xr:uid="{00000000-0005-0000-0000-0000D52A0000}"/>
    <cellStyle name="Normal 16 5 4 3 2" xfId="29384" xr:uid="{00000000-0005-0000-0000-0000D62A0000}"/>
    <cellStyle name="Normal 16 5 4 4" xfId="21341" xr:uid="{00000000-0005-0000-0000-0000D72A0000}"/>
    <cellStyle name="Normal 16 5 5" xfId="7559" xr:uid="{00000000-0005-0000-0000-0000D82A0000}"/>
    <cellStyle name="Normal 16 5 5 2" xfId="16738" xr:uid="{00000000-0005-0000-0000-0000D92A0000}"/>
    <cellStyle name="Normal 16 5 5 2 2" xfId="33312" xr:uid="{00000000-0005-0000-0000-0000DA2A0000}"/>
    <cellStyle name="Normal 16 5 5 3" xfId="25265" xr:uid="{00000000-0005-0000-0000-0000DB2A0000}"/>
    <cellStyle name="Normal 16 5 6" xfId="12843" xr:uid="{00000000-0005-0000-0000-0000DC2A0000}"/>
    <cellStyle name="Normal 16 5 6 2" xfId="29377" xr:uid="{00000000-0005-0000-0000-0000DD2A0000}"/>
    <cellStyle name="Normal 16 5 7" xfId="21334" xr:uid="{00000000-0005-0000-0000-0000DE2A0000}"/>
    <cellStyle name="Normal 16 6" xfId="3393" xr:uid="{00000000-0005-0000-0000-0000DF2A0000}"/>
    <cellStyle name="Normal 16 6 2" xfId="3394" xr:uid="{00000000-0005-0000-0000-0000E02A0000}"/>
    <cellStyle name="Normal 16 6 2 2" xfId="3395" xr:uid="{00000000-0005-0000-0000-0000E12A0000}"/>
    <cellStyle name="Normal 16 6 2 2 2" xfId="7560" xr:uid="{00000000-0005-0000-0000-0000E22A0000}"/>
    <cellStyle name="Normal 16 6 2 2 2 2" xfId="16739" xr:uid="{00000000-0005-0000-0000-0000E32A0000}"/>
    <cellStyle name="Normal 16 6 2 2 2 2 2" xfId="33313" xr:uid="{00000000-0005-0000-0000-0000E42A0000}"/>
    <cellStyle name="Normal 16 6 2 2 2 3" xfId="25266" xr:uid="{00000000-0005-0000-0000-0000E52A0000}"/>
    <cellStyle name="Normal 16 6 2 2 3" xfId="12853" xr:uid="{00000000-0005-0000-0000-0000E62A0000}"/>
    <cellStyle name="Normal 16 6 2 2 3 2" xfId="29387" xr:uid="{00000000-0005-0000-0000-0000E72A0000}"/>
    <cellStyle name="Normal 16 6 2 2 4" xfId="21344" xr:uid="{00000000-0005-0000-0000-0000E82A0000}"/>
    <cellStyle name="Normal 16 6 2 3" xfId="7561" xr:uid="{00000000-0005-0000-0000-0000E92A0000}"/>
    <cellStyle name="Normal 16 6 2 3 2" xfId="16740" xr:uid="{00000000-0005-0000-0000-0000EA2A0000}"/>
    <cellStyle name="Normal 16 6 2 3 2 2" xfId="33314" xr:uid="{00000000-0005-0000-0000-0000EB2A0000}"/>
    <cellStyle name="Normal 16 6 2 3 3" xfId="25267" xr:uid="{00000000-0005-0000-0000-0000EC2A0000}"/>
    <cellStyle name="Normal 16 6 2 4" xfId="12852" xr:uid="{00000000-0005-0000-0000-0000ED2A0000}"/>
    <cellStyle name="Normal 16 6 2 4 2" xfId="29386" xr:uid="{00000000-0005-0000-0000-0000EE2A0000}"/>
    <cellStyle name="Normal 16 6 2 5" xfId="21343" xr:uid="{00000000-0005-0000-0000-0000EF2A0000}"/>
    <cellStyle name="Normal 16 6 3" xfId="3396" xr:uid="{00000000-0005-0000-0000-0000F02A0000}"/>
    <cellStyle name="Normal 16 6 3 2" xfId="7562" xr:uid="{00000000-0005-0000-0000-0000F12A0000}"/>
    <cellStyle name="Normal 16 6 3 2 2" xfId="16741" xr:uid="{00000000-0005-0000-0000-0000F22A0000}"/>
    <cellStyle name="Normal 16 6 3 2 2 2" xfId="33315" xr:uid="{00000000-0005-0000-0000-0000F32A0000}"/>
    <cellStyle name="Normal 16 6 3 2 3" xfId="25268" xr:uid="{00000000-0005-0000-0000-0000F42A0000}"/>
    <cellStyle name="Normal 16 6 3 3" xfId="12854" xr:uid="{00000000-0005-0000-0000-0000F52A0000}"/>
    <cellStyle name="Normal 16 6 3 3 2" xfId="29388" xr:uid="{00000000-0005-0000-0000-0000F62A0000}"/>
    <cellStyle name="Normal 16 6 3 4" xfId="21345" xr:uid="{00000000-0005-0000-0000-0000F72A0000}"/>
    <cellStyle name="Normal 16 6 4" xfId="7563" xr:uid="{00000000-0005-0000-0000-0000F82A0000}"/>
    <cellStyle name="Normal 16 6 4 2" xfId="16742" xr:uid="{00000000-0005-0000-0000-0000F92A0000}"/>
    <cellStyle name="Normal 16 6 4 2 2" xfId="33316" xr:uid="{00000000-0005-0000-0000-0000FA2A0000}"/>
    <cellStyle name="Normal 16 6 4 3" xfId="25269" xr:uid="{00000000-0005-0000-0000-0000FB2A0000}"/>
    <cellStyle name="Normal 16 6 5" xfId="12851" xr:uid="{00000000-0005-0000-0000-0000FC2A0000}"/>
    <cellStyle name="Normal 16 6 5 2" xfId="29385" xr:uid="{00000000-0005-0000-0000-0000FD2A0000}"/>
    <cellStyle name="Normal 16 6 6" xfId="21342" xr:uid="{00000000-0005-0000-0000-0000FE2A0000}"/>
    <cellStyle name="Normal 16 7" xfId="3397" xr:uid="{00000000-0005-0000-0000-0000FF2A0000}"/>
    <cellStyle name="Normal 16 7 2" xfId="3398" xr:uid="{00000000-0005-0000-0000-0000002B0000}"/>
    <cellStyle name="Normal 16 7 2 2" xfId="7564" xr:uid="{00000000-0005-0000-0000-0000012B0000}"/>
    <cellStyle name="Normal 16 7 2 2 2" xfId="16743" xr:uid="{00000000-0005-0000-0000-0000022B0000}"/>
    <cellStyle name="Normal 16 7 2 2 2 2" xfId="33317" xr:uid="{00000000-0005-0000-0000-0000032B0000}"/>
    <cellStyle name="Normal 16 7 2 2 3" xfId="25270" xr:uid="{00000000-0005-0000-0000-0000042B0000}"/>
    <cellStyle name="Normal 16 7 2 3" xfId="12856" xr:uid="{00000000-0005-0000-0000-0000052B0000}"/>
    <cellStyle name="Normal 16 7 2 3 2" xfId="29390" xr:uid="{00000000-0005-0000-0000-0000062B0000}"/>
    <cellStyle name="Normal 16 7 2 4" xfId="21347" xr:uid="{00000000-0005-0000-0000-0000072B0000}"/>
    <cellStyle name="Normal 16 7 3" xfId="7565" xr:uid="{00000000-0005-0000-0000-0000082B0000}"/>
    <cellStyle name="Normal 16 7 3 2" xfId="16744" xr:uid="{00000000-0005-0000-0000-0000092B0000}"/>
    <cellStyle name="Normal 16 7 3 2 2" xfId="33318" xr:uid="{00000000-0005-0000-0000-00000A2B0000}"/>
    <cellStyle name="Normal 16 7 3 3" xfId="25271" xr:uid="{00000000-0005-0000-0000-00000B2B0000}"/>
    <cellStyle name="Normal 16 7 4" xfId="12855" xr:uid="{00000000-0005-0000-0000-00000C2B0000}"/>
    <cellStyle name="Normal 16 7 4 2" xfId="29389" xr:uid="{00000000-0005-0000-0000-00000D2B0000}"/>
    <cellStyle name="Normal 16 7 5" xfId="21346" xr:uid="{00000000-0005-0000-0000-00000E2B0000}"/>
    <cellStyle name="Normal 16 8" xfId="3399" xr:uid="{00000000-0005-0000-0000-00000F2B0000}"/>
    <cellStyle name="Normal 16 8 2" xfId="7566" xr:uid="{00000000-0005-0000-0000-0000102B0000}"/>
    <cellStyle name="Normal 16 8 2 2" xfId="16745" xr:uid="{00000000-0005-0000-0000-0000112B0000}"/>
    <cellStyle name="Normal 16 8 2 2 2" xfId="33319" xr:uid="{00000000-0005-0000-0000-0000122B0000}"/>
    <cellStyle name="Normal 16 8 2 3" xfId="25272" xr:uid="{00000000-0005-0000-0000-0000132B0000}"/>
    <cellStyle name="Normal 16 8 3" xfId="12857" xr:uid="{00000000-0005-0000-0000-0000142B0000}"/>
    <cellStyle name="Normal 16 8 3 2" xfId="29391" xr:uid="{00000000-0005-0000-0000-0000152B0000}"/>
    <cellStyle name="Normal 16 8 4" xfId="21348" xr:uid="{00000000-0005-0000-0000-0000162B0000}"/>
    <cellStyle name="Normal 16 9" xfId="7567" xr:uid="{00000000-0005-0000-0000-0000172B0000}"/>
    <cellStyle name="Normal 16 9 2" xfId="16746" xr:uid="{00000000-0005-0000-0000-0000182B0000}"/>
    <cellStyle name="Normal 16 9 2 2" xfId="33320" xr:uid="{00000000-0005-0000-0000-0000192B0000}"/>
    <cellStyle name="Normal 16 9 3" xfId="25273" xr:uid="{00000000-0005-0000-0000-00001A2B0000}"/>
    <cellStyle name="Normal 160" xfId="10497" xr:uid="{00000000-0005-0000-0000-00001B2B0000}"/>
    <cellStyle name="Normal 161" xfId="10500" xr:uid="{00000000-0005-0000-0000-00001C2B0000}"/>
    <cellStyle name="Normal 162" xfId="10503" xr:uid="{00000000-0005-0000-0000-00001D2B0000}"/>
    <cellStyle name="Normal 163" xfId="10506" xr:uid="{00000000-0005-0000-0000-00001E2B0000}"/>
    <cellStyle name="Normal 164" xfId="10509" xr:uid="{00000000-0005-0000-0000-00001F2B0000}"/>
    <cellStyle name="Normal 165" xfId="10512" xr:uid="{00000000-0005-0000-0000-0000202B0000}"/>
    <cellStyle name="Normal 166" xfId="10515" xr:uid="{00000000-0005-0000-0000-0000212B0000}"/>
    <cellStyle name="Normal 167" xfId="10518" xr:uid="{00000000-0005-0000-0000-0000222B0000}"/>
    <cellStyle name="Normal 168" xfId="10521" xr:uid="{00000000-0005-0000-0000-0000232B0000}"/>
    <cellStyle name="Normal 169" xfId="10524" xr:uid="{00000000-0005-0000-0000-0000242B0000}"/>
    <cellStyle name="Normal 17" xfId="1747" xr:uid="{00000000-0005-0000-0000-0000252B0000}"/>
    <cellStyle name="Normal 17 10" xfId="3400" xr:uid="{00000000-0005-0000-0000-0000262B0000}"/>
    <cellStyle name="Normal 17 10 2" xfId="29392" xr:uid="{00000000-0005-0000-0000-0000272B0000}"/>
    <cellStyle name="Normal 17 11" xfId="21349" xr:uid="{00000000-0005-0000-0000-0000282B0000}"/>
    <cellStyle name="Normal 17 2" xfId="3401" xr:uid="{00000000-0005-0000-0000-0000292B0000}"/>
    <cellStyle name="Normal 17 2 2" xfId="3402" xr:uid="{00000000-0005-0000-0000-00002A2B0000}"/>
    <cellStyle name="Normal 17 2 3" xfId="12858" xr:uid="{00000000-0005-0000-0000-00002B2B0000}"/>
    <cellStyle name="Normal 17 2 3 2" xfId="29393" xr:uid="{00000000-0005-0000-0000-00002C2B0000}"/>
    <cellStyle name="Normal 17 2 4" xfId="21350" xr:uid="{00000000-0005-0000-0000-00002D2B0000}"/>
    <cellStyle name="Normal 17 3" xfId="3403" xr:uid="{00000000-0005-0000-0000-00002E2B0000}"/>
    <cellStyle name="Normal 17 3 2" xfId="3404" xr:uid="{00000000-0005-0000-0000-00002F2B0000}"/>
    <cellStyle name="Normal 17 3 2 2" xfId="3405" xr:uid="{00000000-0005-0000-0000-0000302B0000}"/>
    <cellStyle name="Normal 17 3 2 2 2" xfId="3406" xr:uid="{00000000-0005-0000-0000-0000312B0000}"/>
    <cellStyle name="Normal 17 3 2 2 2 2" xfId="7568" xr:uid="{00000000-0005-0000-0000-0000322B0000}"/>
    <cellStyle name="Normal 17 3 2 2 2 2 2" xfId="16747" xr:uid="{00000000-0005-0000-0000-0000332B0000}"/>
    <cellStyle name="Normal 17 3 2 2 2 2 2 2" xfId="33321" xr:uid="{00000000-0005-0000-0000-0000342B0000}"/>
    <cellStyle name="Normal 17 3 2 2 2 2 3" xfId="25274" xr:uid="{00000000-0005-0000-0000-0000352B0000}"/>
    <cellStyle name="Normal 17 3 2 2 2 3" xfId="12861" xr:uid="{00000000-0005-0000-0000-0000362B0000}"/>
    <cellStyle name="Normal 17 3 2 2 2 3 2" xfId="29396" xr:uid="{00000000-0005-0000-0000-0000372B0000}"/>
    <cellStyle name="Normal 17 3 2 2 2 4" xfId="21353" xr:uid="{00000000-0005-0000-0000-0000382B0000}"/>
    <cellStyle name="Normal 17 3 2 2 3" xfId="7569" xr:uid="{00000000-0005-0000-0000-0000392B0000}"/>
    <cellStyle name="Normal 17 3 2 2 3 2" xfId="16748" xr:uid="{00000000-0005-0000-0000-00003A2B0000}"/>
    <cellStyle name="Normal 17 3 2 2 3 2 2" xfId="33322" xr:uid="{00000000-0005-0000-0000-00003B2B0000}"/>
    <cellStyle name="Normal 17 3 2 2 3 3" xfId="25275" xr:uid="{00000000-0005-0000-0000-00003C2B0000}"/>
    <cellStyle name="Normal 17 3 2 2 4" xfId="12860" xr:uid="{00000000-0005-0000-0000-00003D2B0000}"/>
    <cellStyle name="Normal 17 3 2 2 4 2" xfId="29395" xr:uid="{00000000-0005-0000-0000-00003E2B0000}"/>
    <cellStyle name="Normal 17 3 2 2 5" xfId="21352" xr:uid="{00000000-0005-0000-0000-00003F2B0000}"/>
    <cellStyle name="Normal 17 3 2 3" xfId="3407" xr:uid="{00000000-0005-0000-0000-0000402B0000}"/>
    <cellStyle name="Normal 17 3 2 3 2" xfId="7570" xr:uid="{00000000-0005-0000-0000-0000412B0000}"/>
    <cellStyle name="Normal 17 3 2 3 2 2" xfId="16749" xr:uid="{00000000-0005-0000-0000-0000422B0000}"/>
    <cellStyle name="Normal 17 3 2 3 2 2 2" xfId="33323" xr:uid="{00000000-0005-0000-0000-0000432B0000}"/>
    <cellStyle name="Normal 17 3 2 3 2 3" xfId="25276" xr:uid="{00000000-0005-0000-0000-0000442B0000}"/>
    <cellStyle name="Normal 17 3 2 3 3" xfId="12862" xr:uid="{00000000-0005-0000-0000-0000452B0000}"/>
    <cellStyle name="Normal 17 3 2 3 3 2" xfId="29397" xr:uid="{00000000-0005-0000-0000-0000462B0000}"/>
    <cellStyle name="Normal 17 3 2 3 4" xfId="21354" xr:uid="{00000000-0005-0000-0000-0000472B0000}"/>
    <cellStyle name="Normal 17 3 2 4" xfId="7571" xr:uid="{00000000-0005-0000-0000-0000482B0000}"/>
    <cellStyle name="Normal 17 3 2 4 2" xfId="16750" xr:uid="{00000000-0005-0000-0000-0000492B0000}"/>
    <cellStyle name="Normal 17 3 2 4 2 2" xfId="33324" xr:uid="{00000000-0005-0000-0000-00004A2B0000}"/>
    <cellStyle name="Normal 17 3 2 4 3" xfId="25277" xr:uid="{00000000-0005-0000-0000-00004B2B0000}"/>
    <cellStyle name="Normal 17 3 2 5" xfId="12859" xr:uid="{00000000-0005-0000-0000-00004C2B0000}"/>
    <cellStyle name="Normal 17 3 2 5 2" xfId="29394" xr:uid="{00000000-0005-0000-0000-00004D2B0000}"/>
    <cellStyle name="Normal 17 3 2 6" xfId="21351" xr:uid="{00000000-0005-0000-0000-00004E2B0000}"/>
    <cellStyle name="Normal 17 3 3" xfId="3408" xr:uid="{00000000-0005-0000-0000-00004F2B0000}"/>
    <cellStyle name="Normal 17 3 3 2" xfId="3409" xr:uid="{00000000-0005-0000-0000-0000502B0000}"/>
    <cellStyle name="Normal 17 3 3 2 2" xfId="7572" xr:uid="{00000000-0005-0000-0000-0000512B0000}"/>
    <cellStyle name="Normal 17 3 3 2 2 2" xfId="16751" xr:uid="{00000000-0005-0000-0000-0000522B0000}"/>
    <cellStyle name="Normal 17 3 3 2 2 2 2" xfId="33325" xr:uid="{00000000-0005-0000-0000-0000532B0000}"/>
    <cellStyle name="Normal 17 3 3 2 2 3" xfId="25278" xr:uid="{00000000-0005-0000-0000-0000542B0000}"/>
    <cellStyle name="Normal 17 3 3 2 3" xfId="12864" xr:uid="{00000000-0005-0000-0000-0000552B0000}"/>
    <cellStyle name="Normal 17 3 3 2 3 2" xfId="29399" xr:uid="{00000000-0005-0000-0000-0000562B0000}"/>
    <cellStyle name="Normal 17 3 3 2 4" xfId="21356" xr:uid="{00000000-0005-0000-0000-0000572B0000}"/>
    <cellStyle name="Normal 17 3 3 3" xfId="7573" xr:uid="{00000000-0005-0000-0000-0000582B0000}"/>
    <cellStyle name="Normal 17 3 3 3 2" xfId="16752" xr:uid="{00000000-0005-0000-0000-0000592B0000}"/>
    <cellStyle name="Normal 17 3 3 3 2 2" xfId="33326" xr:uid="{00000000-0005-0000-0000-00005A2B0000}"/>
    <cellStyle name="Normal 17 3 3 3 3" xfId="25279" xr:uid="{00000000-0005-0000-0000-00005B2B0000}"/>
    <cellStyle name="Normal 17 3 3 4" xfId="12863" xr:uid="{00000000-0005-0000-0000-00005C2B0000}"/>
    <cellStyle name="Normal 17 3 3 4 2" xfId="29398" xr:uid="{00000000-0005-0000-0000-00005D2B0000}"/>
    <cellStyle name="Normal 17 3 3 5" xfId="21355" xr:uid="{00000000-0005-0000-0000-00005E2B0000}"/>
    <cellStyle name="Normal 17 3 4" xfId="3410" xr:uid="{00000000-0005-0000-0000-00005F2B0000}"/>
    <cellStyle name="Normal 17 3 4 2" xfId="7574" xr:uid="{00000000-0005-0000-0000-0000602B0000}"/>
    <cellStyle name="Normal 17 3 4 2 2" xfId="16753" xr:uid="{00000000-0005-0000-0000-0000612B0000}"/>
    <cellStyle name="Normal 17 3 4 2 2 2" xfId="33327" xr:uid="{00000000-0005-0000-0000-0000622B0000}"/>
    <cellStyle name="Normal 17 3 4 2 3" xfId="25280" xr:uid="{00000000-0005-0000-0000-0000632B0000}"/>
    <cellStyle name="Normal 17 3 4 3" xfId="12865" xr:uid="{00000000-0005-0000-0000-0000642B0000}"/>
    <cellStyle name="Normal 17 3 4 3 2" xfId="29400" xr:uid="{00000000-0005-0000-0000-0000652B0000}"/>
    <cellStyle name="Normal 17 3 4 4" xfId="21357" xr:uid="{00000000-0005-0000-0000-0000662B0000}"/>
    <cellStyle name="Normal 17 3 5" xfId="3411" xr:uid="{00000000-0005-0000-0000-0000672B0000}"/>
    <cellStyle name="Normal 17 3 5 2" xfId="12866" xr:uid="{00000000-0005-0000-0000-0000682B0000}"/>
    <cellStyle name="Normal 17 3 5 2 2" xfId="29401" xr:uid="{00000000-0005-0000-0000-0000692B0000}"/>
    <cellStyle name="Normal 17 3 5 3" xfId="21358" xr:uid="{00000000-0005-0000-0000-00006A2B0000}"/>
    <cellStyle name="Normal 17 4" xfId="3412" xr:uid="{00000000-0005-0000-0000-00006B2B0000}"/>
    <cellStyle name="Normal 17 4 2" xfId="3413" xr:uid="{00000000-0005-0000-0000-00006C2B0000}"/>
    <cellStyle name="Normal 17 4 2 2" xfId="3414" xr:uid="{00000000-0005-0000-0000-00006D2B0000}"/>
    <cellStyle name="Normal 17 4 2 2 2" xfId="3415" xr:uid="{00000000-0005-0000-0000-00006E2B0000}"/>
    <cellStyle name="Normal 17 4 2 2 2 2" xfId="7575" xr:uid="{00000000-0005-0000-0000-00006F2B0000}"/>
    <cellStyle name="Normal 17 4 2 2 2 2 2" xfId="16754" xr:uid="{00000000-0005-0000-0000-0000702B0000}"/>
    <cellStyle name="Normal 17 4 2 2 2 2 2 2" xfId="33328" xr:uid="{00000000-0005-0000-0000-0000712B0000}"/>
    <cellStyle name="Normal 17 4 2 2 2 2 3" xfId="25281" xr:uid="{00000000-0005-0000-0000-0000722B0000}"/>
    <cellStyle name="Normal 17 4 2 2 2 3" xfId="12870" xr:uid="{00000000-0005-0000-0000-0000732B0000}"/>
    <cellStyle name="Normal 17 4 2 2 2 3 2" xfId="29405" xr:uid="{00000000-0005-0000-0000-0000742B0000}"/>
    <cellStyle name="Normal 17 4 2 2 2 4" xfId="21362" xr:uid="{00000000-0005-0000-0000-0000752B0000}"/>
    <cellStyle name="Normal 17 4 2 2 3" xfId="7576" xr:uid="{00000000-0005-0000-0000-0000762B0000}"/>
    <cellStyle name="Normal 17 4 2 2 3 2" xfId="16755" xr:uid="{00000000-0005-0000-0000-0000772B0000}"/>
    <cellStyle name="Normal 17 4 2 2 3 2 2" xfId="33329" xr:uid="{00000000-0005-0000-0000-0000782B0000}"/>
    <cellStyle name="Normal 17 4 2 2 3 3" xfId="25282" xr:uid="{00000000-0005-0000-0000-0000792B0000}"/>
    <cellStyle name="Normal 17 4 2 2 4" xfId="12869" xr:uid="{00000000-0005-0000-0000-00007A2B0000}"/>
    <cellStyle name="Normal 17 4 2 2 4 2" xfId="29404" xr:uid="{00000000-0005-0000-0000-00007B2B0000}"/>
    <cellStyle name="Normal 17 4 2 2 5" xfId="21361" xr:uid="{00000000-0005-0000-0000-00007C2B0000}"/>
    <cellStyle name="Normal 17 4 2 3" xfId="3416" xr:uid="{00000000-0005-0000-0000-00007D2B0000}"/>
    <cellStyle name="Normal 17 4 2 3 2" xfId="7577" xr:uid="{00000000-0005-0000-0000-00007E2B0000}"/>
    <cellStyle name="Normal 17 4 2 3 2 2" xfId="16756" xr:uid="{00000000-0005-0000-0000-00007F2B0000}"/>
    <cellStyle name="Normal 17 4 2 3 2 2 2" xfId="33330" xr:uid="{00000000-0005-0000-0000-0000802B0000}"/>
    <cellStyle name="Normal 17 4 2 3 2 3" xfId="25283" xr:uid="{00000000-0005-0000-0000-0000812B0000}"/>
    <cellStyle name="Normal 17 4 2 3 3" xfId="12871" xr:uid="{00000000-0005-0000-0000-0000822B0000}"/>
    <cellStyle name="Normal 17 4 2 3 3 2" xfId="29406" xr:uid="{00000000-0005-0000-0000-0000832B0000}"/>
    <cellStyle name="Normal 17 4 2 3 4" xfId="21363" xr:uid="{00000000-0005-0000-0000-0000842B0000}"/>
    <cellStyle name="Normal 17 4 2 4" xfId="7578" xr:uid="{00000000-0005-0000-0000-0000852B0000}"/>
    <cellStyle name="Normal 17 4 2 4 2" xfId="16757" xr:uid="{00000000-0005-0000-0000-0000862B0000}"/>
    <cellStyle name="Normal 17 4 2 4 2 2" xfId="33331" xr:uid="{00000000-0005-0000-0000-0000872B0000}"/>
    <cellStyle name="Normal 17 4 2 4 3" xfId="25284" xr:uid="{00000000-0005-0000-0000-0000882B0000}"/>
    <cellStyle name="Normal 17 4 2 5" xfId="12868" xr:uid="{00000000-0005-0000-0000-0000892B0000}"/>
    <cellStyle name="Normal 17 4 2 5 2" xfId="29403" xr:uid="{00000000-0005-0000-0000-00008A2B0000}"/>
    <cellStyle name="Normal 17 4 2 6" xfId="21360" xr:uid="{00000000-0005-0000-0000-00008B2B0000}"/>
    <cellStyle name="Normal 17 4 3" xfId="3417" xr:uid="{00000000-0005-0000-0000-00008C2B0000}"/>
    <cellStyle name="Normal 17 4 3 2" xfId="3418" xr:uid="{00000000-0005-0000-0000-00008D2B0000}"/>
    <cellStyle name="Normal 17 4 3 2 2" xfId="7579" xr:uid="{00000000-0005-0000-0000-00008E2B0000}"/>
    <cellStyle name="Normal 17 4 3 2 2 2" xfId="16758" xr:uid="{00000000-0005-0000-0000-00008F2B0000}"/>
    <cellStyle name="Normal 17 4 3 2 2 2 2" xfId="33332" xr:uid="{00000000-0005-0000-0000-0000902B0000}"/>
    <cellStyle name="Normal 17 4 3 2 2 3" xfId="25285" xr:uid="{00000000-0005-0000-0000-0000912B0000}"/>
    <cellStyle name="Normal 17 4 3 2 3" xfId="12873" xr:uid="{00000000-0005-0000-0000-0000922B0000}"/>
    <cellStyle name="Normal 17 4 3 2 3 2" xfId="29408" xr:uid="{00000000-0005-0000-0000-0000932B0000}"/>
    <cellStyle name="Normal 17 4 3 2 4" xfId="21365" xr:uid="{00000000-0005-0000-0000-0000942B0000}"/>
    <cellStyle name="Normal 17 4 3 3" xfId="7580" xr:uid="{00000000-0005-0000-0000-0000952B0000}"/>
    <cellStyle name="Normal 17 4 3 3 2" xfId="16759" xr:uid="{00000000-0005-0000-0000-0000962B0000}"/>
    <cellStyle name="Normal 17 4 3 3 2 2" xfId="33333" xr:uid="{00000000-0005-0000-0000-0000972B0000}"/>
    <cellStyle name="Normal 17 4 3 3 3" xfId="25286" xr:uid="{00000000-0005-0000-0000-0000982B0000}"/>
    <cellStyle name="Normal 17 4 3 4" xfId="12872" xr:uid="{00000000-0005-0000-0000-0000992B0000}"/>
    <cellStyle name="Normal 17 4 3 4 2" xfId="29407" xr:uid="{00000000-0005-0000-0000-00009A2B0000}"/>
    <cellStyle name="Normal 17 4 3 5" xfId="21364" xr:uid="{00000000-0005-0000-0000-00009B2B0000}"/>
    <cellStyle name="Normal 17 4 4" xfId="3419" xr:uid="{00000000-0005-0000-0000-00009C2B0000}"/>
    <cellStyle name="Normal 17 4 4 2" xfId="7581" xr:uid="{00000000-0005-0000-0000-00009D2B0000}"/>
    <cellStyle name="Normal 17 4 4 2 2" xfId="16760" xr:uid="{00000000-0005-0000-0000-00009E2B0000}"/>
    <cellStyle name="Normal 17 4 4 2 2 2" xfId="33334" xr:uid="{00000000-0005-0000-0000-00009F2B0000}"/>
    <cellStyle name="Normal 17 4 4 2 3" xfId="25287" xr:uid="{00000000-0005-0000-0000-0000A02B0000}"/>
    <cellStyle name="Normal 17 4 4 3" xfId="12874" xr:uid="{00000000-0005-0000-0000-0000A12B0000}"/>
    <cellStyle name="Normal 17 4 4 3 2" xfId="29409" xr:uid="{00000000-0005-0000-0000-0000A22B0000}"/>
    <cellStyle name="Normal 17 4 4 4" xfId="21366" xr:uid="{00000000-0005-0000-0000-0000A32B0000}"/>
    <cellStyle name="Normal 17 4 5" xfId="7582" xr:uid="{00000000-0005-0000-0000-0000A42B0000}"/>
    <cellStyle name="Normal 17 4 5 2" xfId="16761" xr:uid="{00000000-0005-0000-0000-0000A52B0000}"/>
    <cellStyle name="Normal 17 4 5 2 2" xfId="33335" xr:uid="{00000000-0005-0000-0000-0000A62B0000}"/>
    <cellStyle name="Normal 17 4 5 3" xfId="25288" xr:uid="{00000000-0005-0000-0000-0000A72B0000}"/>
    <cellStyle name="Normal 17 4 6" xfId="12867" xr:uid="{00000000-0005-0000-0000-0000A82B0000}"/>
    <cellStyle name="Normal 17 4 6 2" xfId="29402" xr:uid="{00000000-0005-0000-0000-0000A92B0000}"/>
    <cellStyle name="Normal 17 4 7" xfId="21359" xr:uid="{00000000-0005-0000-0000-0000AA2B0000}"/>
    <cellStyle name="Normal 17 5" xfId="3420" xr:uid="{00000000-0005-0000-0000-0000AB2B0000}"/>
    <cellStyle name="Normal 17 5 2" xfId="3421" xr:uid="{00000000-0005-0000-0000-0000AC2B0000}"/>
    <cellStyle name="Normal 17 5 2 2" xfId="3422" xr:uid="{00000000-0005-0000-0000-0000AD2B0000}"/>
    <cellStyle name="Normal 17 5 2 2 2" xfId="3423" xr:uid="{00000000-0005-0000-0000-0000AE2B0000}"/>
    <cellStyle name="Normal 17 5 2 2 2 2" xfId="7583" xr:uid="{00000000-0005-0000-0000-0000AF2B0000}"/>
    <cellStyle name="Normal 17 5 2 2 2 2 2" xfId="16762" xr:uid="{00000000-0005-0000-0000-0000B02B0000}"/>
    <cellStyle name="Normal 17 5 2 2 2 2 2 2" xfId="33336" xr:uid="{00000000-0005-0000-0000-0000B12B0000}"/>
    <cellStyle name="Normal 17 5 2 2 2 2 3" xfId="25289" xr:uid="{00000000-0005-0000-0000-0000B22B0000}"/>
    <cellStyle name="Normal 17 5 2 2 2 3" xfId="12878" xr:uid="{00000000-0005-0000-0000-0000B32B0000}"/>
    <cellStyle name="Normal 17 5 2 2 2 3 2" xfId="29413" xr:uid="{00000000-0005-0000-0000-0000B42B0000}"/>
    <cellStyle name="Normal 17 5 2 2 2 4" xfId="21370" xr:uid="{00000000-0005-0000-0000-0000B52B0000}"/>
    <cellStyle name="Normal 17 5 2 2 3" xfId="7584" xr:uid="{00000000-0005-0000-0000-0000B62B0000}"/>
    <cellStyle name="Normal 17 5 2 2 3 2" xfId="16763" xr:uid="{00000000-0005-0000-0000-0000B72B0000}"/>
    <cellStyle name="Normal 17 5 2 2 3 2 2" xfId="33337" xr:uid="{00000000-0005-0000-0000-0000B82B0000}"/>
    <cellStyle name="Normal 17 5 2 2 3 3" xfId="25290" xr:uid="{00000000-0005-0000-0000-0000B92B0000}"/>
    <cellStyle name="Normal 17 5 2 2 4" xfId="12877" xr:uid="{00000000-0005-0000-0000-0000BA2B0000}"/>
    <cellStyle name="Normal 17 5 2 2 4 2" xfId="29412" xr:uid="{00000000-0005-0000-0000-0000BB2B0000}"/>
    <cellStyle name="Normal 17 5 2 2 5" xfId="21369" xr:uid="{00000000-0005-0000-0000-0000BC2B0000}"/>
    <cellStyle name="Normal 17 5 2 3" xfId="3424" xr:uid="{00000000-0005-0000-0000-0000BD2B0000}"/>
    <cellStyle name="Normal 17 5 2 3 2" xfId="7585" xr:uid="{00000000-0005-0000-0000-0000BE2B0000}"/>
    <cellStyle name="Normal 17 5 2 3 2 2" xfId="16764" xr:uid="{00000000-0005-0000-0000-0000BF2B0000}"/>
    <cellStyle name="Normal 17 5 2 3 2 2 2" xfId="33338" xr:uid="{00000000-0005-0000-0000-0000C02B0000}"/>
    <cellStyle name="Normal 17 5 2 3 2 3" xfId="25291" xr:uid="{00000000-0005-0000-0000-0000C12B0000}"/>
    <cellStyle name="Normal 17 5 2 3 3" xfId="12879" xr:uid="{00000000-0005-0000-0000-0000C22B0000}"/>
    <cellStyle name="Normal 17 5 2 3 3 2" xfId="29414" xr:uid="{00000000-0005-0000-0000-0000C32B0000}"/>
    <cellStyle name="Normal 17 5 2 3 4" xfId="21371" xr:uid="{00000000-0005-0000-0000-0000C42B0000}"/>
    <cellStyle name="Normal 17 5 2 4" xfId="7586" xr:uid="{00000000-0005-0000-0000-0000C52B0000}"/>
    <cellStyle name="Normal 17 5 2 4 2" xfId="16765" xr:uid="{00000000-0005-0000-0000-0000C62B0000}"/>
    <cellStyle name="Normal 17 5 2 4 2 2" xfId="33339" xr:uid="{00000000-0005-0000-0000-0000C72B0000}"/>
    <cellStyle name="Normal 17 5 2 4 3" xfId="25292" xr:uid="{00000000-0005-0000-0000-0000C82B0000}"/>
    <cellStyle name="Normal 17 5 2 5" xfId="12876" xr:uid="{00000000-0005-0000-0000-0000C92B0000}"/>
    <cellStyle name="Normal 17 5 2 5 2" xfId="29411" xr:uid="{00000000-0005-0000-0000-0000CA2B0000}"/>
    <cellStyle name="Normal 17 5 2 6" xfId="21368" xr:uid="{00000000-0005-0000-0000-0000CB2B0000}"/>
    <cellStyle name="Normal 17 5 3" xfId="3425" xr:uid="{00000000-0005-0000-0000-0000CC2B0000}"/>
    <cellStyle name="Normal 17 5 3 2" xfId="3426" xr:uid="{00000000-0005-0000-0000-0000CD2B0000}"/>
    <cellStyle name="Normal 17 5 3 2 2" xfId="7587" xr:uid="{00000000-0005-0000-0000-0000CE2B0000}"/>
    <cellStyle name="Normal 17 5 3 2 2 2" xfId="16766" xr:uid="{00000000-0005-0000-0000-0000CF2B0000}"/>
    <cellStyle name="Normal 17 5 3 2 2 2 2" xfId="33340" xr:uid="{00000000-0005-0000-0000-0000D02B0000}"/>
    <cellStyle name="Normal 17 5 3 2 2 3" xfId="25293" xr:uid="{00000000-0005-0000-0000-0000D12B0000}"/>
    <cellStyle name="Normal 17 5 3 2 3" xfId="12881" xr:uid="{00000000-0005-0000-0000-0000D22B0000}"/>
    <cellStyle name="Normal 17 5 3 2 3 2" xfId="29416" xr:uid="{00000000-0005-0000-0000-0000D32B0000}"/>
    <cellStyle name="Normal 17 5 3 2 4" xfId="21373" xr:uid="{00000000-0005-0000-0000-0000D42B0000}"/>
    <cellStyle name="Normal 17 5 3 3" xfId="7588" xr:uid="{00000000-0005-0000-0000-0000D52B0000}"/>
    <cellStyle name="Normal 17 5 3 3 2" xfId="16767" xr:uid="{00000000-0005-0000-0000-0000D62B0000}"/>
    <cellStyle name="Normal 17 5 3 3 2 2" xfId="33341" xr:uid="{00000000-0005-0000-0000-0000D72B0000}"/>
    <cellStyle name="Normal 17 5 3 3 3" xfId="25294" xr:uid="{00000000-0005-0000-0000-0000D82B0000}"/>
    <cellStyle name="Normal 17 5 3 4" xfId="12880" xr:uid="{00000000-0005-0000-0000-0000D92B0000}"/>
    <cellStyle name="Normal 17 5 3 4 2" xfId="29415" xr:uid="{00000000-0005-0000-0000-0000DA2B0000}"/>
    <cellStyle name="Normal 17 5 3 5" xfId="21372" xr:uid="{00000000-0005-0000-0000-0000DB2B0000}"/>
    <cellStyle name="Normal 17 5 4" xfId="3427" xr:uid="{00000000-0005-0000-0000-0000DC2B0000}"/>
    <cellStyle name="Normal 17 5 4 2" xfId="7589" xr:uid="{00000000-0005-0000-0000-0000DD2B0000}"/>
    <cellStyle name="Normal 17 5 4 2 2" xfId="16768" xr:uid="{00000000-0005-0000-0000-0000DE2B0000}"/>
    <cellStyle name="Normal 17 5 4 2 2 2" xfId="33342" xr:uid="{00000000-0005-0000-0000-0000DF2B0000}"/>
    <cellStyle name="Normal 17 5 4 2 3" xfId="25295" xr:uid="{00000000-0005-0000-0000-0000E02B0000}"/>
    <cellStyle name="Normal 17 5 4 3" xfId="12882" xr:uid="{00000000-0005-0000-0000-0000E12B0000}"/>
    <cellStyle name="Normal 17 5 4 3 2" xfId="29417" xr:uid="{00000000-0005-0000-0000-0000E22B0000}"/>
    <cellStyle name="Normal 17 5 4 4" xfId="21374" xr:uid="{00000000-0005-0000-0000-0000E32B0000}"/>
    <cellStyle name="Normal 17 5 5" xfId="7590" xr:uid="{00000000-0005-0000-0000-0000E42B0000}"/>
    <cellStyle name="Normal 17 5 5 2" xfId="16769" xr:uid="{00000000-0005-0000-0000-0000E52B0000}"/>
    <cellStyle name="Normal 17 5 5 2 2" xfId="33343" xr:uid="{00000000-0005-0000-0000-0000E62B0000}"/>
    <cellStyle name="Normal 17 5 5 3" xfId="25296" xr:uid="{00000000-0005-0000-0000-0000E72B0000}"/>
    <cellStyle name="Normal 17 5 6" xfId="12875" xr:uid="{00000000-0005-0000-0000-0000E82B0000}"/>
    <cellStyle name="Normal 17 5 6 2" xfId="29410" xr:uid="{00000000-0005-0000-0000-0000E92B0000}"/>
    <cellStyle name="Normal 17 5 7" xfId="21367" xr:uid="{00000000-0005-0000-0000-0000EA2B0000}"/>
    <cellStyle name="Normal 17 6" xfId="3428" xr:uid="{00000000-0005-0000-0000-0000EB2B0000}"/>
    <cellStyle name="Normal 17 6 2" xfId="3429" xr:uid="{00000000-0005-0000-0000-0000EC2B0000}"/>
    <cellStyle name="Normal 17 6 2 2" xfId="3430" xr:uid="{00000000-0005-0000-0000-0000ED2B0000}"/>
    <cellStyle name="Normal 17 6 2 2 2" xfId="7591" xr:uid="{00000000-0005-0000-0000-0000EE2B0000}"/>
    <cellStyle name="Normal 17 6 2 2 2 2" xfId="16770" xr:uid="{00000000-0005-0000-0000-0000EF2B0000}"/>
    <cellStyle name="Normal 17 6 2 2 2 2 2" xfId="33344" xr:uid="{00000000-0005-0000-0000-0000F02B0000}"/>
    <cellStyle name="Normal 17 6 2 2 2 3" xfId="25297" xr:uid="{00000000-0005-0000-0000-0000F12B0000}"/>
    <cellStyle name="Normal 17 6 2 2 3" xfId="12885" xr:uid="{00000000-0005-0000-0000-0000F22B0000}"/>
    <cellStyle name="Normal 17 6 2 2 3 2" xfId="29420" xr:uid="{00000000-0005-0000-0000-0000F32B0000}"/>
    <cellStyle name="Normal 17 6 2 2 4" xfId="21377" xr:uid="{00000000-0005-0000-0000-0000F42B0000}"/>
    <cellStyle name="Normal 17 6 2 3" xfId="7592" xr:uid="{00000000-0005-0000-0000-0000F52B0000}"/>
    <cellStyle name="Normal 17 6 2 3 2" xfId="16771" xr:uid="{00000000-0005-0000-0000-0000F62B0000}"/>
    <cellStyle name="Normal 17 6 2 3 2 2" xfId="33345" xr:uid="{00000000-0005-0000-0000-0000F72B0000}"/>
    <cellStyle name="Normal 17 6 2 3 3" xfId="25298" xr:uid="{00000000-0005-0000-0000-0000F82B0000}"/>
    <cellStyle name="Normal 17 6 2 4" xfId="12884" xr:uid="{00000000-0005-0000-0000-0000F92B0000}"/>
    <cellStyle name="Normal 17 6 2 4 2" xfId="29419" xr:uid="{00000000-0005-0000-0000-0000FA2B0000}"/>
    <cellStyle name="Normal 17 6 2 5" xfId="21376" xr:uid="{00000000-0005-0000-0000-0000FB2B0000}"/>
    <cellStyle name="Normal 17 6 3" xfId="3431" xr:uid="{00000000-0005-0000-0000-0000FC2B0000}"/>
    <cellStyle name="Normal 17 6 3 2" xfId="7593" xr:uid="{00000000-0005-0000-0000-0000FD2B0000}"/>
    <cellStyle name="Normal 17 6 3 2 2" xfId="16772" xr:uid="{00000000-0005-0000-0000-0000FE2B0000}"/>
    <cellStyle name="Normal 17 6 3 2 2 2" xfId="33346" xr:uid="{00000000-0005-0000-0000-0000FF2B0000}"/>
    <cellStyle name="Normal 17 6 3 2 3" xfId="25299" xr:uid="{00000000-0005-0000-0000-0000002C0000}"/>
    <cellStyle name="Normal 17 6 3 3" xfId="12886" xr:uid="{00000000-0005-0000-0000-0000012C0000}"/>
    <cellStyle name="Normal 17 6 3 3 2" xfId="29421" xr:uid="{00000000-0005-0000-0000-0000022C0000}"/>
    <cellStyle name="Normal 17 6 3 4" xfId="21378" xr:uid="{00000000-0005-0000-0000-0000032C0000}"/>
    <cellStyle name="Normal 17 6 4" xfId="7594" xr:uid="{00000000-0005-0000-0000-0000042C0000}"/>
    <cellStyle name="Normal 17 6 4 2" xfId="16773" xr:uid="{00000000-0005-0000-0000-0000052C0000}"/>
    <cellStyle name="Normal 17 6 4 2 2" xfId="33347" xr:uid="{00000000-0005-0000-0000-0000062C0000}"/>
    <cellStyle name="Normal 17 6 4 3" xfId="25300" xr:uid="{00000000-0005-0000-0000-0000072C0000}"/>
    <cellStyle name="Normal 17 6 5" xfId="12883" xr:uid="{00000000-0005-0000-0000-0000082C0000}"/>
    <cellStyle name="Normal 17 6 5 2" xfId="29418" xr:uid="{00000000-0005-0000-0000-0000092C0000}"/>
    <cellStyle name="Normal 17 6 6" xfId="21375" xr:uid="{00000000-0005-0000-0000-00000A2C0000}"/>
    <cellStyle name="Normal 17 7" xfId="3432" xr:uid="{00000000-0005-0000-0000-00000B2C0000}"/>
    <cellStyle name="Normal 17 7 2" xfId="3433" xr:uid="{00000000-0005-0000-0000-00000C2C0000}"/>
    <cellStyle name="Normal 17 7 2 2" xfId="7595" xr:uid="{00000000-0005-0000-0000-00000D2C0000}"/>
    <cellStyle name="Normal 17 7 2 2 2" xfId="16774" xr:uid="{00000000-0005-0000-0000-00000E2C0000}"/>
    <cellStyle name="Normal 17 7 2 2 2 2" xfId="33348" xr:uid="{00000000-0005-0000-0000-00000F2C0000}"/>
    <cellStyle name="Normal 17 7 2 2 3" xfId="25301" xr:uid="{00000000-0005-0000-0000-0000102C0000}"/>
    <cellStyle name="Normal 17 7 2 3" xfId="12888" xr:uid="{00000000-0005-0000-0000-0000112C0000}"/>
    <cellStyle name="Normal 17 7 2 3 2" xfId="29423" xr:uid="{00000000-0005-0000-0000-0000122C0000}"/>
    <cellStyle name="Normal 17 7 2 4" xfId="21380" xr:uid="{00000000-0005-0000-0000-0000132C0000}"/>
    <cellStyle name="Normal 17 7 3" xfId="7596" xr:uid="{00000000-0005-0000-0000-0000142C0000}"/>
    <cellStyle name="Normal 17 7 3 2" xfId="16775" xr:uid="{00000000-0005-0000-0000-0000152C0000}"/>
    <cellStyle name="Normal 17 7 3 2 2" xfId="33349" xr:uid="{00000000-0005-0000-0000-0000162C0000}"/>
    <cellStyle name="Normal 17 7 3 3" xfId="25302" xr:uid="{00000000-0005-0000-0000-0000172C0000}"/>
    <cellStyle name="Normal 17 7 4" xfId="12887" xr:uid="{00000000-0005-0000-0000-0000182C0000}"/>
    <cellStyle name="Normal 17 7 4 2" xfId="29422" xr:uid="{00000000-0005-0000-0000-0000192C0000}"/>
    <cellStyle name="Normal 17 7 5" xfId="21379" xr:uid="{00000000-0005-0000-0000-00001A2C0000}"/>
    <cellStyle name="Normal 17 8" xfId="3434" xr:uid="{00000000-0005-0000-0000-00001B2C0000}"/>
    <cellStyle name="Normal 17 8 2" xfId="7597" xr:uid="{00000000-0005-0000-0000-00001C2C0000}"/>
    <cellStyle name="Normal 17 8 2 2" xfId="16776" xr:uid="{00000000-0005-0000-0000-00001D2C0000}"/>
    <cellStyle name="Normal 17 8 2 2 2" xfId="33350" xr:uid="{00000000-0005-0000-0000-00001E2C0000}"/>
    <cellStyle name="Normal 17 8 2 3" xfId="25303" xr:uid="{00000000-0005-0000-0000-00001F2C0000}"/>
    <cellStyle name="Normal 17 8 3" xfId="12889" xr:uid="{00000000-0005-0000-0000-0000202C0000}"/>
    <cellStyle name="Normal 17 8 3 2" xfId="29424" xr:uid="{00000000-0005-0000-0000-0000212C0000}"/>
    <cellStyle name="Normal 17 8 4" xfId="21381" xr:uid="{00000000-0005-0000-0000-0000222C0000}"/>
    <cellStyle name="Normal 17 9" xfId="7598" xr:uid="{00000000-0005-0000-0000-0000232C0000}"/>
    <cellStyle name="Normal 17 9 2" xfId="16777" xr:uid="{00000000-0005-0000-0000-0000242C0000}"/>
    <cellStyle name="Normal 17 9 2 2" xfId="33351" xr:uid="{00000000-0005-0000-0000-0000252C0000}"/>
    <cellStyle name="Normal 17 9 3" xfId="25304" xr:uid="{00000000-0005-0000-0000-0000262C0000}"/>
    <cellStyle name="Normal 170" xfId="10527" xr:uid="{00000000-0005-0000-0000-0000272C0000}"/>
    <cellStyle name="Normal 171" xfId="10530" xr:uid="{00000000-0005-0000-0000-0000282C0000}"/>
    <cellStyle name="Normal 172" xfId="10533" xr:uid="{00000000-0005-0000-0000-0000292C0000}"/>
    <cellStyle name="Normal 173" xfId="10536" xr:uid="{00000000-0005-0000-0000-00002A2C0000}"/>
    <cellStyle name="Normal 174" xfId="10539" xr:uid="{00000000-0005-0000-0000-00002B2C0000}"/>
    <cellStyle name="Normal 175" xfId="10542" xr:uid="{00000000-0005-0000-0000-00002C2C0000}"/>
    <cellStyle name="Normal 176" xfId="10545" xr:uid="{00000000-0005-0000-0000-00002D2C0000}"/>
    <cellStyle name="Normal 177" xfId="10548" xr:uid="{00000000-0005-0000-0000-00002E2C0000}"/>
    <cellStyle name="Normal 178" xfId="10551" xr:uid="{00000000-0005-0000-0000-00002F2C0000}"/>
    <cellStyle name="Normal 179" xfId="10554" xr:uid="{00000000-0005-0000-0000-0000302C0000}"/>
    <cellStyle name="Normal 18" xfId="1787" xr:uid="{00000000-0005-0000-0000-0000312C0000}"/>
    <cellStyle name="Normal 18 10" xfId="3435" xr:uid="{00000000-0005-0000-0000-0000322C0000}"/>
    <cellStyle name="Normal 18 10 2" xfId="29425" xr:uid="{00000000-0005-0000-0000-0000332C0000}"/>
    <cellStyle name="Normal 18 11" xfId="21382" xr:uid="{00000000-0005-0000-0000-0000342C0000}"/>
    <cellStyle name="Normal 18 2" xfId="3436" xr:uid="{00000000-0005-0000-0000-0000352C0000}"/>
    <cellStyle name="Normal 18 2 2" xfId="3437" xr:uid="{00000000-0005-0000-0000-0000362C0000}"/>
    <cellStyle name="Normal 18 2 3" xfId="12890" xr:uid="{00000000-0005-0000-0000-0000372C0000}"/>
    <cellStyle name="Normal 18 2 3 2" xfId="29426" xr:uid="{00000000-0005-0000-0000-0000382C0000}"/>
    <cellStyle name="Normal 18 2 4" xfId="21383" xr:uid="{00000000-0005-0000-0000-0000392C0000}"/>
    <cellStyle name="Normal 18 3" xfId="3438" xr:uid="{00000000-0005-0000-0000-00003A2C0000}"/>
    <cellStyle name="Normal 18 3 2" xfId="3439" xr:uid="{00000000-0005-0000-0000-00003B2C0000}"/>
    <cellStyle name="Normal 18 3 2 2" xfId="3440" xr:uid="{00000000-0005-0000-0000-00003C2C0000}"/>
    <cellStyle name="Normal 18 3 2 2 2" xfId="3441" xr:uid="{00000000-0005-0000-0000-00003D2C0000}"/>
    <cellStyle name="Normal 18 3 2 2 2 2" xfId="7599" xr:uid="{00000000-0005-0000-0000-00003E2C0000}"/>
    <cellStyle name="Normal 18 3 2 2 2 2 2" xfId="16778" xr:uid="{00000000-0005-0000-0000-00003F2C0000}"/>
    <cellStyle name="Normal 18 3 2 2 2 2 2 2" xfId="33352" xr:uid="{00000000-0005-0000-0000-0000402C0000}"/>
    <cellStyle name="Normal 18 3 2 2 2 2 3" xfId="25305" xr:uid="{00000000-0005-0000-0000-0000412C0000}"/>
    <cellStyle name="Normal 18 3 2 2 2 3" xfId="12893" xr:uid="{00000000-0005-0000-0000-0000422C0000}"/>
    <cellStyle name="Normal 18 3 2 2 2 3 2" xfId="29429" xr:uid="{00000000-0005-0000-0000-0000432C0000}"/>
    <cellStyle name="Normal 18 3 2 2 2 4" xfId="21386" xr:uid="{00000000-0005-0000-0000-0000442C0000}"/>
    <cellStyle name="Normal 18 3 2 2 3" xfId="7600" xr:uid="{00000000-0005-0000-0000-0000452C0000}"/>
    <cellStyle name="Normal 18 3 2 2 3 2" xfId="16779" xr:uid="{00000000-0005-0000-0000-0000462C0000}"/>
    <cellStyle name="Normal 18 3 2 2 3 2 2" xfId="33353" xr:uid="{00000000-0005-0000-0000-0000472C0000}"/>
    <cellStyle name="Normal 18 3 2 2 3 3" xfId="25306" xr:uid="{00000000-0005-0000-0000-0000482C0000}"/>
    <cellStyle name="Normal 18 3 2 2 4" xfId="12892" xr:uid="{00000000-0005-0000-0000-0000492C0000}"/>
    <cellStyle name="Normal 18 3 2 2 4 2" xfId="29428" xr:uid="{00000000-0005-0000-0000-00004A2C0000}"/>
    <cellStyle name="Normal 18 3 2 2 5" xfId="21385" xr:uid="{00000000-0005-0000-0000-00004B2C0000}"/>
    <cellStyle name="Normal 18 3 2 3" xfId="3442" xr:uid="{00000000-0005-0000-0000-00004C2C0000}"/>
    <cellStyle name="Normal 18 3 2 3 2" xfId="7601" xr:uid="{00000000-0005-0000-0000-00004D2C0000}"/>
    <cellStyle name="Normal 18 3 2 3 2 2" xfId="16780" xr:uid="{00000000-0005-0000-0000-00004E2C0000}"/>
    <cellStyle name="Normal 18 3 2 3 2 2 2" xfId="33354" xr:uid="{00000000-0005-0000-0000-00004F2C0000}"/>
    <cellStyle name="Normal 18 3 2 3 2 3" xfId="25307" xr:uid="{00000000-0005-0000-0000-0000502C0000}"/>
    <cellStyle name="Normal 18 3 2 3 3" xfId="12894" xr:uid="{00000000-0005-0000-0000-0000512C0000}"/>
    <cellStyle name="Normal 18 3 2 3 3 2" xfId="29430" xr:uid="{00000000-0005-0000-0000-0000522C0000}"/>
    <cellStyle name="Normal 18 3 2 3 4" xfId="21387" xr:uid="{00000000-0005-0000-0000-0000532C0000}"/>
    <cellStyle name="Normal 18 3 2 4" xfId="7602" xr:uid="{00000000-0005-0000-0000-0000542C0000}"/>
    <cellStyle name="Normal 18 3 2 4 2" xfId="16781" xr:uid="{00000000-0005-0000-0000-0000552C0000}"/>
    <cellStyle name="Normal 18 3 2 4 2 2" xfId="33355" xr:uid="{00000000-0005-0000-0000-0000562C0000}"/>
    <cellStyle name="Normal 18 3 2 4 3" xfId="25308" xr:uid="{00000000-0005-0000-0000-0000572C0000}"/>
    <cellStyle name="Normal 18 3 2 5" xfId="12891" xr:uid="{00000000-0005-0000-0000-0000582C0000}"/>
    <cellStyle name="Normal 18 3 2 5 2" xfId="29427" xr:uid="{00000000-0005-0000-0000-0000592C0000}"/>
    <cellStyle name="Normal 18 3 2 6" xfId="21384" xr:uid="{00000000-0005-0000-0000-00005A2C0000}"/>
    <cellStyle name="Normal 18 3 3" xfId="3443" xr:uid="{00000000-0005-0000-0000-00005B2C0000}"/>
    <cellStyle name="Normal 18 3 3 2" xfId="3444" xr:uid="{00000000-0005-0000-0000-00005C2C0000}"/>
    <cellStyle name="Normal 18 3 3 2 2" xfId="7603" xr:uid="{00000000-0005-0000-0000-00005D2C0000}"/>
    <cellStyle name="Normal 18 3 3 2 2 2" xfId="16782" xr:uid="{00000000-0005-0000-0000-00005E2C0000}"/>
    <cellStyle name="Normal 18 3 3 2 2 2 2" xfId="33356" xr:uid="{00000000-0005-0000-0000-00005F2C0000}"/>
    <cellStyle name="Normal 18 3 3 2 2 3" xfId="25309" xr:uid="{00000000-0005-0000-0000-0000602C0000}"/>
    <cellStyle name="Normal 18 3 3 2 3" xfId="12896" xr:uid="{00000000-0005-0000-0000-0000612C0000}"/>
    <cellStyle name="Normal 18 3 3 2 3 2" xfId="29432" xr:uid="{00000000-0005-0000-0000-0000622C0000}"/>
    <cellStyle name="Normal 18 3 3 2 4" xfId="21389" xr:uid="{00000000-0005-0000-0000-0000632C0000}"/>
    <cellStyle name="Normal 18 3 3 3" xfId="7604" xr:uid="{00000000-0005-0000-0000-0000642C0000}"/>
    <cellStyle name="Normal 18 3 3 3 2" xfId="16783" xr:uid="{00000000-0005-0000-0000-0000652C0000}"/>
    <cellStyle name="Normal 18 3 3 3 2 2" xfId="33357" xr:uid="{00000000-0005-0000-0000-0000662C0000}"/>
    <cellStyle name="Normal 18 3 3 3 3" xfId="25310" xr:uid="{00000000-0005-0000-0000-0000672C0000}"/>
    <cellStyle name="Normal 18 3 3 4" xfId="12895" xr:uid="{00000000-0005-0000-0000-0000682C0000}"/>
    <cellStyle name="Normal 18 3 3 4 2" xfId="29431" xr:uid="{00000000-0005-0000-0000-0000692C0000}"/>
    <cellStyle name="Normal 18 3 3 5" xfId="21388" xr:uid="{00000000-0005-0000-0000-00006A2C0000}"/>
    <cellStyle name="Normal 18 3 4" xfId="3445" xr:uid="{00000000-0005-0000-0000-00006B2C0000}"/>
    <cellStyle name="Normal 18 3 4 2" xfId="7605" xr:uid="{00000000-0005-0000-0000-00006C2C0000}"/>
    <cellStyle name="Normal 18 3 4 2 2" xfId="16784" xr:uid="{00000000-0005-0000-0000-00006D2C0000}"/>
    <cellStyle name="Normal 18 3 4 2 2 2" xfId="33358" xr:uid="{00000000-0005-0000-0000-00006E2C0000}"/>
    <cellStyle name="Normal 18 3 4 2 3" xfId="25311" xr:uid="{00000000-0005-0000-0000-00006F2C0000}"/>
    <cellStyle name="Normal 18 3 4 3" xfId="12897" xr:uid="{00000000-0005-0000-0000-0000702C0000}"/>
    <cellStyle name="Normal 18 3 4 3 2" xfId="29433" xr:uid="{00000000-0005-0000-0000-0000712C0000}"/>
    <cellStyle name="Normal 18 3 4 4" xfId="21390" xr:uid="{00000000-0005-0000-0000-0000722C0000}"/>
    <cellStyle name="Normal 18 3 5" xfId="3446" xr:uid="{00000000-0005-0000-0000-0000732C0000}"/>
    <cellStyle name="Normal 18 3 5 2" xfId="12898" xr:uid="{00000000-0005-0000-0000-0000742C0000}"/>
    <cellStyle name="Normal 18 3 5 2 2" xfId="29434" xr:uid="{00000000-0005-0000-0000-0000752C0000}"/>
    <cellStyle name="Normal 18 3 5 3" xfId="21391" xr:uid="{00000000-0005-0000-0000-0000762C0000}"/>
    <cellStyle name="Normal 18 4" xfId="3447" xr:uid="{00000000-0005-0000-0000-0000772C0000}"/>
    <cellStyle name="Normal 18 4 2" xfId="3448" xr:uid="{00000000-0005-0000-0000-0000782C0000}"/>
    <cellStyle name="Normal 18 4 2 2" xfId="3449" xr:uid="{00000000-0005-0000-0000-0000792C0000}"/>
    <cellStyle name="Normal 18 4 2 2 2" xfId="3450" xr:uid="{00000000-0005-0000-0000-00007A2C0000}"/>
    <cellStyle name="Normal 18 4 2 2 2 2" xfId="7606" xr:uid="{00000000-0005-0000-0000-00007B2C0000}"/>
    <cellStyle name="Normal 18 4 2 2 2 2 2" xfId="16785" xr:uid="{00000000-0005-0000-0000-00007C2C0000}"/>
    <cellStyle name="Normal 18 4 2 2 2 2 2 2" xfId="33359" xr:uid="{00000000-0005-0000-0000-00007D2C0000}"/>
    <cellStyle name="Normal 18 4 2 2 2 2 3" xfId="25312" xr:uid="{00000000-0005-0000-0000-00007E2C0000}"/>
    <cellStyle name="Normal 18 4 2 2 2 3" xfId="12902" xr:uid="{00000000-0005-0000-0000-00007F2C0000}"/>
    <cellStyle name="Normal 18 4 2 2 2 3 2" xfId="29438" xr:uid="{00000000-0005-0000-0000-0000802C0000}"/>
    <cellStyle name="Normal 18 4 2 2 2 4" xfId="21395" xr:uid="{00000000-0005-0000-0000-0000812C0000}"/>
    <cellStyle name="Normal 18 4 2 2 3" xfId="7607" xr:uid="{00000000-0005-0000-0000-0000822C0000}"/>
    <cellStyle name="Normal 18 4 2 2 3 2" xfId="16786" xr:uid="{00000000-0005-0000-0000-0000832C0000}"/>
    <cellStyle name="Normal 18 4 2 2 3 2 2" xfId="33360" xr:uid="{00000000-0005-0000-0000-0000842C0000}"/>
    <cellStyle name="Normal 18 4 2 2 3 3" xfId="25313" xr:uid="{00000000-0005-0000-0000-0000852C0000}"/>
    <cellStyle name="Normal 18 4 2 2 4" xfId="12901" xr:uid="{00000000-0005-0000-0000-0000862C0000}"/>
    <cellStyle name="Normal 18 4 2 2 4 2" xfId="29437" xr:uid="{00000000-0005-0000-0000-0000872C0000}"/>
    <cellStyle name="Normal 18 4 2 2 5" xfId="21394" xr:uid="{00000000-0005-0000-0000-0000882C0000}"/>
    <cellStyle name="Normal 18 4 2 3" xfId="3451" xr:uid="{00000000-0005-0000-0000-0000892C0000}"/>
    <cellStyle name="Normal 18 4 2 3 2" xfId="7608" xr:uid="{00000000-0005-0000-0000-00008A2C0000}"/>
    <cellStyle name="Normal 18 4 2 3 2 2" xfId="16787" xr:uid="{00000000-0005-0000-0000-00008B2C0000}"/>
    <cellStyle name="Normal 18 4 2 3 2 2 2" xfId="33361" xr:uid="{00000000-0005-0000-0000-00008C2C0000}"/>
    <cellStyle name="Normal 18 4 2 3 2 3" xfId="25314" xr:uid="{00000000-0005-0000-0000-00008D2C0000}"/>
    <cellStyle name="Normal 18 4 2 3 3" xfId="12903" xr:uid="{00000000-0005-0000-0000-00008E2C0000}"/>
    <cellStyle name="Normal 18 4 2 3 3 2" xfId="29439" xr:uid="{00000000-0005-0000-0000-00008F2C0000}"/>
    <cellStyle name="Normal 18 4 2 3 4" xfId="21396" xr:uid="{00000000-0005-0000-0000-0000902C0000}"/>
    <cellStyle name="Normal 18 4 2 4" xfId="7609" xr:uid="{00000000-0005-0000-0000-0000912C0000}"/>
    <cellStyle name="Normal 18 4 2 4 2" xfId="16788" xr:uid="{00000000-0005-0000-0000-0000922C0000}"/>
    <cellStyle name="Normal 18 4 2 4 2 2" xfId="33362" xr:uid="{00000000-0005-0000-0000-0000932C0000}"/>
    <cellStyle name="Normal 18 4 2 4 3" xfId="25315" xr:uid="{00000000-0005-0000-0000-0000942C0000}"/>
    <cellStyle name="Normal 18 4 2 5" xfId="12900" xr:uid="{00000000-0005-0000-0000-0000952C0000}"/>
    <cellStyle name="Normal 18 4 2 5 2" xfId="29436" xr:uid="{00000000-0005-0000-0000-0000962C0000}"/>
    <cellStyle name="Normal 18 4 2 6" xfId="21393" xr:uid="{00000000-0005-0000-0000-0000972C0000}"/>
    <cellStyle name="Normal 18 4 3" xfId="3452" xr:uid="{00000000-0005-0000-0000-0000982C0000}"/>
    <cellStyle name="Normal 18 4 3 2" xfId="3453" xr:uid="{00000000-0005-0000-0000-0000992C0000}"/>
    <cellStyle name="Normal 18 4 3 2 2" xfId="7610" xr:uid="{00000000-0005-0000-0000-00009A2C0000}"/>
    <cellStyle name="Normal 18 4 3 2 2 2" xfId="16789" xr:uid="{00000000-0005-0000-0000-00009B2C0000}"/>
    <cellStyle name="Normal 18 4 3 2 2 2 2" xfId="33363" xr:uid="{00000000-0005-0000-0000-00009C2C0000}"/>
    <cellStyle name="Normal 18 4 3 2 2 3" xfId="25316" xr:uid="{00000000-0005-0000-0000-00009D2C0000}"/>
    <cellStyle name="Normal 18 4 3 2 3" xfId="12905" xr:uid="{00000000-0005-0000-0000-00009E2C0000}"/>
    <cellStyle name="Normal 18 4 3 2 3 2" xfId="29441" xr:uid="{00000000-0005-0000-0000-00009F2C0000}"/>
    <cellStyle name="Normal 18 4 3 2 4" xfId="21398" xr:uid="{00000000-0005-0000-0000-0000A02C0000}"/>
    <cellStyle name="Normal 18 4 3 3" xfId="7611" xr:uid="{00000000-0005-0000-0000-0000A12C0000}"/>
    <cellStyle name="Normal 18 4 3 3 2" xfId="16790" xr:uid="{00000000-0005-0000-0000-0000A22C0000}"/>
    <cellStyle name="Normal 18 4 3 3 2 2" xfId="33364" xr:uid="{00000000-0005-0000-0000-0000A32C0000}"/>
    <cellStyle name="Normal 18 4 3 3 3" xfId="25317" xr:uid="{00000000-0005-0000-0000-0000A42C0000}"/>
    <cellStyle name="Normal 18 4 3 4" xfId="12904" xr:uid="{00000000-0005-0000-0000-0000A52C0000}"/>
    <cellStyle name="Normal 18 4 3 4 2" xfId="29440" xr:uid="{00000000-0005-0000-0000-0000A62C0000}"/>
    <cellStyle name="Normal 18 4 3 5" xfId="21397" xr:uid="{00000000-0005-0000-0000-0000A72C0000}"/>
    <cellStyle name="Normal 18 4 4" xfId="3454" xr:uid="{00000000-0005-0000-0000-0000A82C0000}"/>
    <cellStyle name="Normal 18 4 4 2" xfId="7612" xr:uid="{00000000-0005-0000-0000-0000A92C0000}"/>
    <cellStyle name="Normal 18 4 4 2 2" xfId="16791" xr:uid="{00000000-0005-0000-0000-0000AA2C0000}"/>
    <cellStyle name="Normal 18 4 4 2 2 2" xfId="33365" xr:uid="{00000000-0005-0000-0000-0000AB2C0000}"/>
    <cellStyle name="Normal 18 4 4 2 3" xfId="25318" xr:uid="{00000000-0005-0000-0000-0000AC2C0000}"/>
    <cellStyle name="Normal 18 4 4 3" xfId="12906" xr:uid="{00000000-0005-0000-0000-0000AD2C0000}"/>
    <cellStyle name="Normal 18 4 4 3 2" xfId="29442" xr:uid="{00000000-0005-0000-0000-0000AE2C0000}"/>
    <cellStyle name="Normal 18 4 4 4" xfId="21399" xr:uid="{00000000-0005-0000-0000-0000AF2C0000}"/>
    <cellStyle name="Normal 18 4 5" xfId="7613" xr:uid="{00000000-0005-0000-0000-0000B02C0000}"/>
    <cellStyle name="Normal 18 4 5 2" xfId="16792" xr:uid="{00000000-0005-0000-0000-0000B12C0000}"/>
    <cellStyle name="Normal 18 4 5 2 2" xfId="33366" xr:uid="{00000000-0005-0000-0000-0000B22C0000}"/>
    <cellStyle name="Normal 18 4 5 3" xfId="25319" xr:uid="{00000000-0005-0000-0000-0000B32C0000}"/>
    <cellStyle name="Normal 18 4 6" xfId="12899" xr:uid="{00000000-0005-0000-0000-0000B42C0000}"/>
    <cellStyle name="Normal 18 4 6 2" xfId="29435" xr:uid="{00000000-0005-0000-0000-0000B52C0000}"/>
    <cellStyle name="Normal 18 4 7" xfId="21392" xr:uid="{00000000-0005-0000-0000-0000B62C0000}"/>
    <cellStyle name="Normal 18 5" xfId="3455" xr:uid="{00000000-0005-0000-0000-0000B72C0000}"/>
    <cellStyle name="Normal 18 5 2" xfId="3456" xr:uid="{00000000-0005-0000-0000-0000B82C0000}"/>
    <cellStyle name="Normal 18 5 2 2" xfId="3457" xr:uid="{00000000-0005-0000-0000-0000B92C0000}"/>
    <cellStyle name="Normal 18 5 2 2 2" xfId="3458" xr:uid="{00000000-0005-0000-0000-0000BA2C0000}"/>
    <cellStyle name="Normal 18 5 2 2 2 2" xfId="7614" xr:uid="{00000000-0005-0000-0000-0000BB2C0000}"/>
    <cellStyle name="Normal 18 5 2 2 2 2 2" xfId="16793" xr:uid="{00000000-0005-0000-0000-0000BC2C0000}"/>
    <cellStyle name="Normal 18 5 2 2 2 2 2 2" xfId="33367" xr:uid="{00000000-0005-0000-0000-0000BD2C0000}"/>
    <cellStyle name="Normal 18 5 2 2 2 2 3" xfId="25320" xr:uid="{00000000-0005-0000-0000-0000BE2C0000}"/>
    <cellStyle name="Normal 18 5 2 2 2 3" xfId="12910" xr:uid="{00000000-0005-0000-0000-0000BF2C0000}"/>
    <cellStyle name="Normal 18 5 2 2 2 3 2" xfId="29446" xr:uid="{00000000-0005-0000-0000-0000C02C0000}"/>
    <cellStyle name="Normal 18 5 2 2 2 4" xfId="21403" xr:uid="{00000000-0005-0000-0000-0000C12C0000}"/>
    <cellStyle name="Normal 18 5 2 2 3" xfId="7615" xr:uid="{00000000-0005-0000-0000-0000C22C0000}"/>
    <cellStyle name="Normal 18 5 2 2 3 2" xfId="16794" xr:uid="{00000000-0005-0000-0000-0000C32C0000}"/>
    <cellStyle name="Normal 18 5 2 2 3 2 2" xfId="33368" xr:uid="{00000000-0005-0000-0000-0000C42C0000}"/>
    <cellStyle name="Normal 18 5 2 2 3 3" xfId="25321" xr:uid="{00000000-0005-0000-0000-0000C52C0000}"/>
    <cellStyle name="Normal 18 5 2 2 4" xfId="12909" xr:uid="{00000000-0005-0000-0000-0000C62C0000}"/>
    <cellStyle name="Normal 18 5 2 2 4 2" xfId="29445" xr:uid="{00000000-0005-0000-0000-0000C72C0000}"/>
    <cellStyle name="Normal 18 5 2 2 5" xfId="21402" xr:uid="{00000000-0005-0000-0000-0000C82C0000}"/>
    <cellStyle name="Normal 18 5 2 3" xfId="3459" xr:uid="{00000000-0005-0000-0000-0000C92C0000}"/>
    <cellStyle name="Normal 18 5 2 3 2" xfId="7616" xr:uid="{00000000-0005-0000-0000-0000CA2C0000}"/>
    <cellStyle name="Normal 18 5 2 3 2 2" xfId="16795" xr:uid="{00000000-0005-0000-0000-0000CB2C0000}"/>
    <cellStyle name="Normal 18 5 2 3 2 2 2" xfId="33369" xr:uid="{00000000-0005-0000-0000-0000CC2C0000}"/>
    <cellStyle name="Normal 18 5 2 3 2 3" xfId="25322" xr:uid="{00000000-0005-0000-0000-0000CD2C0000}"/>
    <cellStyle name="Normal 18 5 2 3 3" xfId="12911" xr:uid="{00000000-0005-0000-0000-0000CE2C0000}"/>
    <cellStyle name="Normal 18 5 2 3 3 2" xfId="29447" xr:uid="{00000000-0005-0000-0000-0000CF2C0000}"/>
    <cellStyle name="Normal 18 5 2 3 4" xfId="21404" xr:uid="{00000000-0005-0000-0000-0000D02C0000}"/>
    <cellStyle name="Normal 18 5 2 4" xfId="7617" xr:uid="{00000000-0005-0000-0000-0000D12C0000}"/>
    <cellStyle name="Normal 18 5 2 4 2" xfId="16796" xr:uid="{00000000-0005-0000-0000-0000D22C0000}"/>
    <cellStyle name="Normal 18 5 2 4 2 2" xfId="33370" xr:uid="{00000000-0005-0000-0000-0000D32C0000}"/>
    <cellStyle name="Normal 18 5 2 4 3" xfId="25323" xr:uid="{00000000-0005-0000-0000-0000D42C0000}"/>
    <cellStyle name="Normal 18 5 2 5" xfId="12908" xr:uid="{00000000-0005-0000-0000-0000D52C0000}"/>
    <cellStyle name="Normal 18 5 2 5 2" xfId="29444" xr:uid="{00000000-0005-0000-0000-0000D62C0000}"/>
    <cellStyle name="Normal 18 5 2 6" xfId="21401" xr:uid="{00000000-0005-0000-0000-0000D72C0000}"/>
    <cellStyle name="Normal 18 5 3" xfId="3460" xr:uid="{00000000-0005-0000-0000-0000D82C0000}"/>
    <cellStyle name="Normal 18 5 3 2" xfId="3461" xr:uid="{00000000-0005-0000-0000-0000D92C0000}"/>
    <cellStyle name="Normal 18 5 3 2 2" xfId="7618" xr:uid="{00000000-0005-0000-0000-0000DA2C0000}"/>
    <cellStyle name="Normal 18 5 3 2 2 2" xfId="16797" xr:uid="{00000000-0005-0000-0000-0000DB2C0000}"/>
    <cellStyle name="Normal 18 5 3 2 2 2 2" xfId="33371" xr:uid="{00000000-0005-0000-0000-0000DC2C0000}"/>
    <cellStyle name="Normal 18 5 3 2 2 3" xfId="25324" xr:uid="{00000000-0005-0000-0000-0000DD2C0000}"/>
    <cellStyle name="Normal 18 5 3 2 3" xfId="12913" xr:uid="{00000000-0005-0000-0000-0000DE2C0000}"/>
    <cellStyle name="Normal 18 5 3 2 3 2" xfId="29449" xr:uid="{00000000-0005-0000-0000-0000DF2C0000}"/>
    <cellStyle name="Normal 18 5 3 2 4" xfId="21406" xr:uid="{00000000-0005-0000-0000-0000E02C0000}"/>
    <cellStyle name="Normal 18 5 3 3" xfId="7619" xr:uid="{00000000-0005-0000-0000-0000E12C0000}"/>
    <cellStyle name="Normal 18 5 3 3 2" xfId="16798" xr:uid="{00000000-0005-0000-0000-0000E22C0000}"/>
    <cellStyle name="Normal 18 5 3 3 2 2" xfId="33372" xr:uid="{00000000-0005-0000-0000-0000E32C0000}"/>
    <cellStyle name="Normal 18 5 3 3 3" xfId="25325" xr:uid="{00000000-0005-0000-0000-0000E42C0000}"/>
    <cellStyle name="Normal 18 5 3 4" xfId="12912" xr:uid="{00000000-0005-0000-0000-0000E52C0000}"/>
    <cellStyle name="Normal 18 5 3 4 2" xfId="29448" xr:uid="{00000000-0005-0000-0000-0000E62C0000}"/>
    <cellStyle name="Normal 18 5 3 5" xfId="21405" xr:uid="{00000000-0005-0000-0000-0000E72C0000}"/>
    <cellStyle name="Normal 18 5 4" xfId="3462" xr:uid="{00000000-0005-0000-0000-0000E82C0000}"/>
    <cellStyle name="Normal 18 5 4 2" xfId="7620" xr:uid="{00000000-0005-0000-0000-0000E92C0000}"/>
    <cellStyle name="Normal 18 5 4 2 2" xfId="16799" xr:uid="{00000000-0005-0000-0000-0000EA2C0000}"/>
    <cellStyle name="Normal 18 5 4 2 2 2" xfId="33373" xr:uid="{00000000-0005-0000-0000-0000EB2C0000}"/>
    <cellStyle name="Normal 18 5 4 2 3" xfId="25326" xr:uid="{00000000-0005-0000-0000-0000EC2C0000}"/>
    <cellStyle name="Normal 18 5 4 3" xfId="12914" xr:uid="{00000000-0005-0000-0000-0000ED2C0000}"/>
    <cellStyle name="Normal 18 5 4 3 2" xfId="29450" xr:uid="{00000000-0005-0000-0000-0000EE2C0000}"/>
    <cellStyle name="Normal 18 5 4 4" xfId="21407" xr:uid="{00000000-0005-0000-0000-0000EF2C0000}"/>
    <cellStyle name="Normal 18 5 5" xfId="7621" xr:uid="{00000000-0005-0000-0000-0000F02C0000}"/>
    <cellStyle name="Normal 18 5 5 2" xfId="16800" xr:uid="{00000000-0005-0000-0000-0000F12C0000}"/>
    <cellStyle name="Normal 18 5 5 2 2" xfId="33374" xr:uid="{00000000-0005-0000-0000-0000F22C0000}"/>
    <cellStyle name="Normal 18 5 5 3" xfId="25327" xr:uid="{00000000-0005-0000-0000-0000F32C0000}"/>
    <cellStyle name="Normal 18 5 6" xfId="12907" xr:uid="{00000000-0005-0000-0000-0000F42C0000}"/>
    <cellStyle name="Normal 18 5 6 2" xfId="29443" xr:uid="{00000000-0005-0000-0000-0000F52C0000}"/>
    <cellStyle name="Normal 18 5 7" xfId="21400" xr:uid="{00000000-0005-0000-0000-0000F62C0000}"/>
    <cellStyle name="Normal 18 6" xfId="3463" xr:uid="{00000000-0005-0000-0000-0000F72C0000}"/>
    <cellStyle name="Normal 18 6 2" xfId="3464" xr:uid="{00000000-0005-0000-0000-0000F82C0000}"/>
    <cellStyle name="Normal 18 6 2 2" xfId="3465" xr:uid="{00000000-0005-0000-0000-0000F92C0000}"/>
    <cellStyle name="Normal 18 6 2 2 2" xfId="7622" xr:uid="{00000000-0005-0000-0000-0000FA2C0000}"/>
    <cellStyle name="Normal 18 6 2 2 2 2" xfId="16801" xr:uid="{00000000-0005-0000-0000-0000FB2C0000}"/>
    <cellStyle name="Normal 18 6 2 2 2 2 2" xfId="33375" xr:uid="{00000000-0005-0000-0000-0000FC2C0000}"/>
    <cellStyle name="Normal 18 6 2 2 2 3" xfId="25328" xr:uid="{00000000-0005-0000-0000-0000FD2C0000}"/>
    <cellStyle name="Normal 18 6 2 2 3" xfId="12917" xr:uid="{00000000-0005-0000-0000-0000FE2C0000}"/>
    <cellStyle name="Normal 18 6 2 2 3 2" xfId="29453" xr:uid="{00000000-0005-0000-0000-0000FF2C0000}"/>
    <cellStyle name="Normal 18 6 2 2 4" xfId="21410" xr:uid="{00000000-0005-0000-0000-0000002D0000}"/>
    <cellStyle name="Normal 18 6 2 3" xfId="7623" xr:uid="{00000000-0005-0000-0000-0000012D0000}"/>
    <cellStyle name="Normal 18 6 2 3 2" xfId="16802" xr:uid="{00000000-0005-0000-0000-0000022D0000}"/>
    <cellStyle name="Normal 18 6 2 3 2 2" xfId="33376" xr:uid="{00000000-0005-0000-0000-0000032D0000}"/>
    <cellStyle name="Normal 18 6 2 3 3" xfId="25329" xr:uid="{00000000-0005-0000-0000-0000042D0000}"/>
    <cellStyle name="Normal 18 6 2 4" xfId="12916" xr:uid="{00000000-0005-0000-0000-0000052D0000}"/>
    <cellStyle name="Normal 18 6 2 4 2" xfId="29452" xr:uid="{00000000-0005-0000-0000-0000062D0000}"/>
    <cellStyle name="Normal 18 6 2 5" xfId="21409" xr:uid="{00000000-0005-0000-0000-0000072D0000}"/>
    <cellStyle name="Normal 18 6 3" xfId="3466" xr:uid="{00000000-0005-0000-0000-0000082D0000}"/>
    <cellStyle name="Normal 18 6 3 2" xfId="7624" xr:uid="{00000000-0005-0000-0000-0000092D0000}"/>
    <cellStyle name="Normal 18 6 3 2 2" xfId="16803" xr:uid="{00000000-0005-0000-0000-00000A2D0000}"/>
    <cellStyle name="Normal 18 6 3 2 2 2" xfId="33377" xr:uid="{00000000-0005-0000-0000-00000B2D0000}"/>
    <cellStyle name="Normal 18 6 3 2 3" xfId="25330" xr:uid="{00000000-0005-0000-0000-00000C2D0000}"/>
    <cellStyle name="Normal 18 6 3 3" xfId="12918" xr:uid="{00000000-0005-0000-0000-00000D2D0000}"/>
    <cellStyle name="Normal 18 6 3 3 2" xfId="29454" xr:uid="{00000000-0005-0000-0000-00000E2D0000}"/>
    <cellStyle name="Normal 18 6 3 4" xfId="21411" xr:uid="{00000000-0005-0000-0000-00000F2D0000}"/>
    <cellStyle name="Normal 18 6 4" xfId="7625" xr:uid="{00000000-0005-0000-0000-0000102D0000}"/>
    <cellStyle name="Normal 18 6 4 2" xfId="16804" xr:uid="{00000000-0005-0000-0000-0000112D0000}"/>
    <cellStyle name="Normal 18 6 4 2 2" xfId="33378" xr:uid="{00000000-0005-0000-0000-0000122D0000}"/>
    <cellStyle name="Normal 18 6 4 3" xfId="25331" xr:uid="{00000000-0005-0000-0000-0000132D0000}"/>
    <cellStyle name="Normal 18 6 5" xfId="12915" xr:uid="{00000000-0005-0000-0000-0000142D0000}"/>
    <cellStyle name="Normal 18 6 5 2" xfId="29451" xr:uid="{00000000-0005-0000-0000-0000152D0000}"/>
    <cellStyle name="Normal 18 6 6" xfId="21408" xr:uid="{00000000-0005-0000-0000-0000162D0000}"/>
    <cellStyle name="Normal 18 7" xfId="3467" xr:uid="{00000000-0005-0000-0000-0000172D0000}"/>
    <cellStyle name="Normal 18 7 2" xfId="3468" xr:uid="{00000000-0005-0000-0000-0000182D0000}"/>
    <cellStyle name="Normal 18 7 2 2" xfId="7626" xr:uid="{00000000-0005-0000-0000-0000192D0000}"/>
    <cellStyle name="Normal 18 7 2 2 2" xfId="16805" xr:uid="{00000000-0005-0000-0000-00001A2D0000}"/>
    <cellStyle name="Normal 18 7 2 2 2 2" xfId="33379" xr:uid="{00000000-0005-0000-0000-00001B2D0000}"/>
    <cellStyle name="Normal 18 7 2 2 3" xfId="25332" xr:uid="{00000000-0005-0000-0000-00001C2D0000}"/>
    <cellStyle name="Normal 18 7 2 3" xfId="12920" xr:uid="{00000000-0005-0000-0000-00001D2D0000}"/>
    <cellStyle name="Normal 18 7 2 3 2" xfId="29456" xr:uid="{00000000-0005-0000-0000-00001E2D0000}"/>
    <cellStyle name="Normal 18 7 2 4" xfId="21413" xr:uid="{00000000-0005-0000-0000-00001F2D0000}"/>
    <cellStyle name="Normal 18 7 3" xfId="7627" xr:uid="{00000000-0005-0000-0000-0000202D0000}"/>
    <cellStyle name="Normal 18 7 3 2" xfId="16806" xr:uid="{00000000-0005-0000-0000-0000212D0000}"/>
    <cellStyle name="Normal 18 7 3 2 2" xfId="33380" xr:uid="{00000000-0005-0000-0000-0000222D0000}"/>
    <cellStyle name="Normal 18 7 3 3" xfId="25333" xr:uid="{00000000-0005-0000-0000-0000232D0000}"/>
    <cellStyle name="Normal 18 7 4" xfId="12919" xr:uid="{00000000-0005-0000-0000-0000242D0000}"/>
    <cellStyle name="Normal 18 7 4 2" xfId="29455" xr:uid="{00000000-0005-0000-0000-0000252D0000}"/>
    <cellStyle name="Normal 18 7 5" xfId="21412" xr:uid="{00000000-0005-0000-0000-0000262D0000}"/>
    <cellStyle name="Normal 18 8" xfId="3469" xr:uid="{00000000-0005-0000-0000-0000272D0000}"/>
    <cellStyle name="Normal 18 8 2" xfId="7628" xr:uid="{00000000-0005-0000-0000-0000282D0000}"/>
    <cellStyle name="Normal 18 8 2 2" xfId="16807" xr:uid="{00000000-0005-0000-0000-0000292D0000}"/>
    <cellStyle name="Normal 18 8 2 2 2" xfId="33381" xr:uid="{00000000-0005-0000-0000-00002A2D0000}"/>
    <cellStyle name="Normal 18 8 2 3" xfId="25334" xr:uid="{00000000-0005-0000-0000-00002B2D0000}"/>
    <cellStyle name="Normal 18 8 3" xfId="12921" xr:uid="{00000000-0005-0000-0000-00002C2D0000}"/>
    <cellStyle name="Normal 18 8 3 2" xfId="29457" xr:uid="{00000000-0005-0000-0000-00002D2D0000}"/>
    <cellStyle name="Normal 18 8 4" xfId="21414" xr:uid="{00000000-0005-0000-0000-00002E2D0000}"/>
    <cellStyle name="Normal 18 9" xfId="7629" xr:uid="{00000000-0005-0000-0000-00002F2D0000}"/>
    <cellStyle name="Normal 18 9 2" xfId="16808" xr:uid="{00000000-0005-0000-0000-0000302D0000}"/>
    <cellStyle name="Normal 18 9 2 2" xfId="33382" xr:uid="{00000000-0005-0000-0000-0000312D0000}"/>
    <cellStyle name="Normal 18 9 3" xfId="25335" xr:uid="{00000000-0005-0000-0000-0000322D0000}"/>
    <cellStyle name="Normal 180" xfId="10557" xr:uid="{00000000-0005-0000-0000-0000332D0000}"/>
    <cellStyle name="Normal 181" xfId="10560" xr:uid="{00000000-0005-0000-0000-0000342D0000}"/>
    <cellStyle name="Normal 182" xfId="10563" xr:uid="{00000000-0005-0000-0000-0000352D0000}"/>
    <cellStyle name="Normal 183" xfId="10566" xr:uid="{00000000-0005-0000-0000-0000362D0000}"/>
    <cellStyle name="Normal 184" xfId="10569" xr:uid="{00000000-0005-0000-0000-0000372D0000}"/>
    <cellStyle name="Normal 185" xfId="10572" xr:uid="{00000000-0005-0000-0000-0000382D0000}"/>
    <cellStyle name="Normal 186" xfId="10575" xr:uid="{00000000-0005-0000-0000-0000392D0000}"/>
    <cellStyle name="Normal 187" xfId="10578" xr:uid="{00000000-0005-0000-0000-00003A2D0000}"/>
    <cellStyle name="Normal 188" xfId="10581" xr:uid="{00000000-0005-0000-0000-00003B2D0000}"/>
    <cellStyle name="Normal 189" xfId="10584" xr:uid="{00000000-0005-0000-0000-00003C2D0000}"/>
    <cellStyle name="Normal 19" xfId="3470" xr:uid="{00000000-0005-0000-0000-00003D2D0000}"/>
    <cellStyle name="Normal 19 10" xfId="12922" xr:uid="{00000000-0005-0000-0000-00003E2D0000}"/>
    <cellStyle name="Normal 19 10 2" xfId="29458" xr:uid="{00000000-0005-0000-0000-00003F2D0000}"/>
    <cellStyle name="Normal 19 11" xfId="21415" xr:uid="{00000000-0005-0000-0000-0000402D0000}"/>
    <cellStyle name="Normal 19 2" xfId="3471" xr:uid="{00000000-0005-0000-0000-0000412D0000}"/>
    <cellStyle name="Normal 19 2 2" xfId="3472" xr:uid="{00000000-0005-0000-0000-0000422D0000}"/>
    <cellStyle name="Normal 19 2 3" xfId="12923" xr:uid="{00000000-0005-0000-0000-0000432D0000}"/>
    <cellStyle name="Normal 19 2 3 2" xfId="29459" xr:uid="{00000000-0005-0000-0000-0000442D0000}"/>
    <cellStyle name="Normal 19 2 4" xfId="21416" xr:uid="{00000000-0005-0000-0000-0000452D0000}"/>
    <cellStyle name="Normal 19 3" xfId="3473" xr:uid="{00000000-0005-0000-0000-0000462D0000}"/>
    <cellStyle name="Normal 19 3 2" xfId="3474" xr:uid="{00000000-0005-0000-0000-0000472D0000}"/>
    <cellStyle name="Normal 19 3 2 2" xfId="3475" xr:uid="{00000000-0005-0000-0000-0000482D0000}"/>
    <cellStyle name="Normal 19 3 2 2 2" xfId="3476" xr:uid="{00000000-0005-0000-0000-0000492D0000}"/>
    <cellStyle name="Normal 19 3 2 2 2 2" xfId="7630" xr:uid="{00000000-0005-0000-0000-00004A2D0000}"/>
    <cellStyle name="Normal 19 3 2 2 2 2 2" xfId="16809" xr:uid="{00000000-0005-0000-0000-00004B2D0000}"/>
    <cellStyle name="Normal 19 3 2 2 2 2 2 2" xfId="33383" xr:uid="{00000000-0005-0000-0000-00004C2D0000}"/>
    <cellStyle name="Normal 19 3 2 2 2 2 3" xfId="25336" xr:uid="{00000000-0005-0000-0000-00004D2D0000}"/>
    <cellStyle name="Normal 19 3 2 2 2 3" xfId="12926" xr:uid="{00000000-0005-0000-0000-00004E2D0000}"/>
    <cellStyle name="Normal 19 3 2 2 2 3 2" xfId="29462" xr:uid="{00000000-0005-0000-0000-00004F2D0000}"/>
    <cellStyle name="Normal 19 3 2 2 2 4" xfId="21419" xr:uid="{00000000-0005-0000-0000-0000502D0000}"/>
    <cellStyle name="Normal 19 3 2 2 3" xfId="7631" xr:uid="{00000000-0005-0000-0000-0000512D0000}"/>
    <cellStyle name="Normal 19 3 2 2 3 2" xfId="16810" xr:uid="{00000000-0005-0000-0000-0000522D0000}"/>
    <cellStyle name="Normal 19 3 2 2 3 2 2" xfId="33384" xr:uid="{00000000-0005-0000-0000-0000532D0000}"/>
    <cellStyle name="Normal 19 3 2 2 3 3" xfId="25337" xr:uid="{00000000-0005-0000-0000-0000542D0000}"/>
    <cellStyle name="Normal 19 3 2 2 4" xfId="12925" xr:uid="{00000000-0005-0000-0000-0000552D0000}"/>
    <cellStyle name="Normal 19 3 2 2 4 2" xfId="29461" xr:uid="{00000000-0005-0000-0000-0000562D0000}"/>
    <cellStyle name="Normal 19 3 2 2 5" xfId="21418" xr:uid="{00000000-0005-0000-0000-0000572D0000}"/>
    <cellStyle name="Normal 19 3 2 3" xfId="3477" xr:uid="{00000000-0005-0000-0000-0000582D0000}"/>
    <cellStyle name="Normal 19 3 2 3 2" xfId="7632" xr:uid="{00000000-0005-0000-0000-0000592D0000}"/>
    <cellStyle name="Normal 19 3 2 3 2 2" xfId="16811" xr:uid="{00000000-0005-0000-0000-00005A2D0000}"/>
    <cellStyle name="Normal 19 3 2 3 2 2 2" xfId="33385" xr:uid="{00000000-0005-0000-0000-00005B2D0000}"/>
    <cellStyle name="Normal 19 3 2 3 2 3" xfId="25338" xr:uid="{00000000-0005-0000-0000-00005C2D0000}"/>
    <cellStyle name="Normal 19 3 2 3 3" xfId="12927" xr:uid="{00000000-0005-0000-0000-00005D2D0000}"/>
    <cellStyle name="Normal 19 3 2 3 3 2" xfId="29463" xr:uid="{00000000-0005-0000-0000-00005E2D0000}"/>
    <cellStyle name="Normal 19 3 2 3 4" xfId="21420" xr:uid="{00000000-0005-0000-0000-00005F2D0000}"/>
    <cellStyle name="Normal 19 3 2 4" xfId="7633" xr:uid="{00000000-0005-0000-0000-0000602D0000}"/>
    <cellStyle name="Normal 19 3 2 4 2" xfId="16812" xr:uid="{00000000-0005-0000-0000-0000612D0000}"/>
    <cellStyle name="Normal 19 3 2 4 2 2" xfId="33386" xr:uid="{00000000-0005-0000-0000-0000622D0000}"/>
    <cellStyle name="Normal 19 3 2 4 3" xfId="25339" xr:uid="{00000000-0005-0000-0000-0000632D0000}"/>
    <cellStyle name="Normal 19 3 2 5" xfId="12924" xr:uid="{00000000-0005-0000-0000-0000642D0000}"/>
    <cellStyle name="Normal 19 3 2 5 2" xfId="29460" xr:uid="{00000000-0005-0000-0000-0000652D0000}"/>
    <cellStyle name="Normal 19 3 2 6" xfId="21417" xr:uid="{00000000-0005-0000-0000-0000662D0000}"/>
    <cellStyle name="Normal 19 3 3" xfId="3478" xr:uid="{00000000-0005-0000-0000-0000672D0000}"/>
    <cellStyle name="Normal 19 3 3 2" xfId="3479" xr:uid="{00000000-0005-0000-0000-0000682D0000}"/>
    <cellStyle name="Normal 19 3 3 2 2" xfId="7634" xr:uid="{00000000-0005-0000-0000-0000692D0000}"/>
    <cellStyle name="Normal 19 3 3 2 2 2" xfId="16813" xr:uid="{00000000-0005-0000-0000-00006A2D0000}"/>
    <cellStyle name="Normal 19 3 3 2 2 2 2" xfId="33387" xr:uid="{00000000-0005-0000-0000-00006B2D0000}"/>
    <cellStyle name="Normal 19 3 3 2 2 3" xfId="25340" xr:uid="{00000000-0005-0000-0000-00006C2D0000}"/>
    <cellStyle name="Normal 19 3 3 2 3" xfId="12929" xr:uid="{00000000-0005-0000-0000-00006D2D0000}"/>
    <cellStyle name="Normal 19 3 3 2 3 2" xfId="29465" xr:uid="{00000000-0005-0000-0000-00006E2D0000}"/>
    <cellStyle name="Normal 19 3 3 2 4" xfId="21422" xr:uid="{00000000-0005-0000-0000-00006F2D0000}"/>
    <cellStyle name="Normal 19 3 3 3" xfId="7635" xr:uid="{00000000-0005-0000-0000-0000702D0000}"/>
    <cellStyle name="Normal 19 3 3 3 2" xfId="16814" xr:uid="{00000000-0005-0000-0000-0000712D0000}"/>
    <cellStyle name="Normal 19 3 3 3 2 2" xfId="33388" xr:uid="{00000000-0005-0000-0000-0000722D0000}"/>
    <cellStyle name="Normal 19 3 3 3 3" xfId="25341" xr:uid="{00000000-0005-0000-0000-0000732D0000}"/>
    <cellStyle name="Normal 19 3 3 4" xfId="12928" xr:uid="{00000000-0005-0000-0000-0000742D0000}"/>
    <cellStyle name="Normal 19 3 3 4 2" xfId="29464" xr:uid="{00000000-0005-0000-0000-0000752D0000}"/>
    <cellStyle name="Normal 19 3 3 5" xfId="21421" xr:uid="{00000000-0005-0000-0000-0000762D0000}"/>
    <cellStyle name="Normal 19 3 4" xfId="3480" xr:uid="{00000000-0005-0000-0000-0000772D0000}"/>
    <cellStyle name="Normal 19 3 4 2" xfId="7636" xr:uid="{00000000-0005-0000-0000-0000782D0000}"/>
    <cellStyle name="Normal 19 3 4 2 2" xfId="16815" xr:uid="{00000000-0005-0000-0000-0000792D0000}"/>
    <cellStyle name="Normal 19 3 4 2 2 2" xfId="33389" xr:uid="{00000000-0005-0000-0000-00007A2D0000}"/>
    <cellStyle name="Normal 19 3 4 2 3" xfId="25342" xr:uid="{00000000-0005-0000-0000-00007B2D0000}"/>
    <cellStyle name="Normal 19 3 4 3" xfId="12930" xr:uid="{00000000-0005-0000-0000-00007C2D0000}"/>
    <cellStyle name="Normal 19 3 4 3 2" xfId="29466" xr:uid="{00000000-0005-0000-0000-00007D2D0000}"/>
    <cellStyle name="Normal 19 3 4 4" xfId="21423" xr:uid="{00000000-0005-0000-0000-00007E2D0000}"/>
    <cellStyle name="Normal 19 3 5" xfId="3481" xr:uid="{00000000-0005-0000-0000-00007F2D0000}"/>
    <cellStyle name="Normal 19 3 5 2" xfId="12931" xr:uid="{00000000-0005-0000-0000-0000802D0000}"/>
    <cellStyle name="Normal 19 3 5 2 2" xfId="29467" xr:uid="{00000000-0005-0000-0000-0000812D0000}"/>
    <cellStyle name="Normal 19 3 5 3" xfId="21424" xr:uid="{00000000-0005-0000-0000-0000822D0000}"/>
    <cellStyle name="Normal 19 4" xfId="3482" xr:uid="{00000000-0005-0000-0000-0000832D0000}"/>
    <cellStyle name="Normal 19 4 2" xfId="3483" xr:uid="{00000000-0005-0000-0000-0000842D0000}"/>
    <cellStyle name="Normal 19 4 2 2" xfId="3484" xr:uid="{00000000-0005-0000-0000-0000852D0000}"/>
    <cellStyle name="Normal 19 4 2 2 2" xfId="3485" xr:uid="{00000000-0005-0000-0000-0000862D0000}"/>
    <cellStyle name="Normal 19 4 2 2 2 2" xfId="7637" xr:uid="{00000000-0005-0000-0000-0000872D0000}"/>
    <cellStyle name="Normal 19 4 2 2 2 2 2" xfId="16816" xr:uid="{00000000-0005-0000-0000-0000882D0000}"/>
    <cellStyle name="Normal 19 4 2 2 2 2 2 2" xfId="33390" xr:uid="{00000000-0005-0000-0000-0000892D0000}"/>
    <cellStyle name="Normal 19 4 2 2 2 2 3" xfId="25343" xr:uid="{00000000-0005-0000-0000-00008A2D0000}"/>
    <cellStyle name="Normal 19 4 2 2 2 3" xfId="12935" xr:uid="{00000000-0005-0000-0000-00008B2D0000}"/>
    <cellStyle name="Normal 19 4 2 2 2 3 2" xfId="29471" xr:uid="{00000000-0005-0000-0000-00008C2D0000}"/>
    <cellStyle name="Normal 19 4 2 2 2 4" xfId="21428" xr:uid="{00000000-0005-0000-0000-00008D2D0000}"/>
    <cellStyle name="Normal 19 4 2 2 3" xfId="7638" xr:uid="{00000000-0005-0000-0000-00008E2D0000}"/>
    <cellStyle name="Normal 19 4 2 2 3 2" xfId="16817" xr:uid="{00000000-0005-0000-0000-00008F2D0000}"/>
    <cellStyle name="Normal 19 4 2 2 3 2 2" xfId="33391" xr:uid="{00000000-0005-0000-0000-0000902D0000}"/>
    <cellStyle name="Normal 19 4 2 2 3 3" xfId="25344" xr:uid="{00000000-0005-0000-0000-0000912D0000}"/>
    <cellStyle name="Normal 19 4 2 2 4" xfId="12934" xr:uid="{00000000-0005-0000-0000-0000922D0000}"/>
    <cellStyle name="Normal 19 4 2 2 4 2" xfId="29470" xr:uid="{00000000-0005-0000-0000-0000932D0000}"/>
    <cellStyle name="Normal 19 4 2 2 5" xfId="21427" xr:uid="{00000000-0005-0000-0000-0000942D0000}"/>
    <cellStyle name="Normal 19 4 2 3" xfId="3486" xr:uid="{00000000-0005-0000-0000-0000952D0000}"/>
    <cellStyle name="Normal 19 4 2 3 2" xfId="7639" xr:uid="{00000000-0005-0000-0000-0000962D0000}"/>
    <cellStyle name="Normal 19 4 2 3 2 2" xfId="16818" xr:uid="{00000000-0005-0000-0000-0000972D0000}"/>
    <cellStyle name="Normal 19 4 2 3 2 2 2" xfId="33392" xr:uid="{00000000-0005-0000-0000-0000982D0000}"/>
    <cellStyle name="Normal 19 4 2 3 2 3" xfId="25345" xr:uid="{00000000-0005-0000-0000-0000992D0000}"/>
    <cellStyle name="Normal 19 4 2 3 3" xfId="12936" xr:uid="{00000000-0005-0000-0000-00009A2D0000}"/>
    <cellStyle name="Normal 19 4 2 3 3 2" xfId="29472" xr:uid="{00000000-0005-0000-0000-00009B2D0000}"/>
    <cellStyle name="Normal 19 4 2 3 4" xfId="21429" xr:uid="{00000000-0005-0000-0000-00009C2D0000}"/>
    <cellStyle name="Normal 19 4 2 4" xfId="7640" xr:uid="{00000000-0005-0000-0000-00009D2D0000}"/>
    <cellStyle name="Normal 19 4 2 4 2" xfId="16819" xr:uid="{00000000-0005-0000-0000-00009E2D0000}"/>
    <cellStyle name="Normal 19 4 2 4 2 2" xfId="33393" xr:uid="{00000000-0005-0000-0000-00009F2D0000}"/>
    <cellStyle name="Normal 19 4 2 4 3" xfId="25346" xr:uid="{00000000-0005-0000-0000-0000A02D0000}"/>
    <cellStyle name="Normal 19 4 2 5" xfId="12933" xr:uid="{00000000-0005-0000-0000-0000A12D0000}"/>
    <cellStyle name="Normal 19 4 2 5 2" xfId="29469" xr:uid="{00000000-0005-0000-0000-0000A22D0000}"/>
    <cellStyle name="Normal 19 4 2 6" xfId="21426" xr:uid="{00000000-0005-0000-0000-0000A32D0000}"/>
    <cellStyle name="Normal 19 4 3" xfId="3487" xr:uid="{00000000-0005-0000-0000-0000A42D0000}"/>
    <cellStyle name="Normal 19 4 3 2" xfId="3488" xr:uid="{00000000-0005-0000-0000-0000A52D0000}"/>
    <cellStyle name="Normal 19 4 3 2 2" xfId="7641" xr:uid="{00000000-0005-0000-0000-0000A62D0000}"/>
    <cellStyle name="Normal 19 4 3 2 2 2" xfId="16820" xr:uid="{00000000-0005-0000-0000-0000A72D0000}"/>
    <cellStyle name="Normal 19 4 3 2 2 2 2" xfId="33394" xr:uid="{00000000-0005-0000-0000-0000A82D0000}"/>
    <cellStyle name="Normal 19 4 3 2 2 3" xfId="25347" xr:uid="{00000000-0005-0000-0000-0000A92D0000}"/>
    <cellStyle name="Normal 19 4 3 2 3" xfId="12938" xr:uid="{00000000-0005-0000-0000-0000AA2D0000}"/>
    <cellStyle name="Normal 19 4 3 2 3 2" xfId="29474" xr:uid="{00000000-0005-0000-0000-0000AB2D0000}"/>
    <cellStyle name="Normal 19 4 3 2 4" xfId="21431" xr:uid="{00000000-0005-0000-0000-0000AC2D0000}"/>
    <cellStyle name="Normal 19 4 3 3" xfId="7642" xr:uid="{00000000-0005-0000-0000-0000AD2D0000}"/>
    <cellStyle name="Normal 19 4 3 3 2" xfId="16821" xr:uid="{00000000-0005-0000-0000-0000AE2D0000}"/>
    <cellStyle name="Normal 19 4 3 3 2 2" xfId="33395" xr:uid="{00000000-0005-0000-0000-0000AF2D0000}"/>
    <cellStyle name="Normal 19 4 3 3 3" xfId="25348" xr:uid="{00000000-0005-0000-0000-0000B02D0000}"/>
    <cellStyle name="Normal 19 4 3 4" xfId="12937" xr:uid="{00000000-0005-0000-0000-0000B12D0000}"/>
    <cellStyle name="Normal 19 4 3 4 2" xfId="29473" xr:uid="{00000000-0005-0000-0000-0000B22D0000}"/>
    <cellStyle name="Normal 19 4 3 5" xfId="21430" xr:uid="{00000000-0005-0000-0000-0000B32D0000}"/>
    <cellStyle name="Normal 19 4 4" xfId="3489" xr:uid="{00000000-0005-0000-0000-0000B42D0000}"/>
    <cellStyle name="Normal 19 4 4 2" xfId="7643" xr:uid="{00000000-0005-0000-0000-0000B52D0000}"/>
    <cellStyle name="Normal 19 4 4 2 2" xfId="16822" xr:uid="{00000000-0005-0000-0000-0000B62D0000}"/>
    <cellStyle name="Normal 19 4 4 2 2 2" xfId="33396" xr:uid="{00000000-0005-0000-0000-0000B72D0000}"/>
    <cellStyle name="Normal 19 4 4 2 3" xfId="25349" xr:uid="{00000000-0005-0000-0000-0000B82D0000}"/>
    <cellStyle name="Normal 19 4 4 3" xfId="12939" xr:uid="{00000000-0005-0000-0000-0000B92D0000}"/>
    <cellStyle name="Normal 19 4 4 3 2" xfId="29475" xr:uid="{00000000-0005-0000-0000-0000BA2D0000}"/>
    <cellStyle name="Normal 19 4 4 4" xfId="21432" xr:uid="{00000000-0005-0000-0000-0000BB2D0000}"/>
    <cellStyle name="Normal 19 4 5" xfId="7644" xr:uid="{00000000-0005-0000-0000-0000BC2D0000}"/>
    <cellStyle name="Normal 19 4 5 2" xfId="16823" xr:uid="{00000000-0005-0000-0000-0000BD2D0000}"/>
    <cellStyle name="Normal 19 4 5 2 2" xfId="33397" xr:uid="{00000000-0005-0000-0000-0000BE2D0000}"/>
    <cellStyle name="Normal 19 4 5 3" xfId="25350" xr:uid="{00000000-0005-0000-0000-0000BF2D0000}"/>
    <cellStyle name="Normal 19 4 6" xfId="12932" xr:uid="{00000000-0005-0000-0000-0000C02D0000}"/>
    <cellStyle name="Normal 19 4 6 2" xfId="29468" xr:uid="{00000000-0005-0000-0000-0000C12D0000}"/>
    <cellStyle name="Normal 19 4 7" xfId="21425" xr:uid="{00000000-0005-0000-0000-0000C22D0000}"/>
    <cellStyle name="Normal 19 5" xfId="3490" xr:uid="{00000000-0005-0000-0000-0000C32D0000}"/>
    <cellStyle name="Normal 19 5 2" xfId="3491" xr:uid="{00000000-0005-0000-0000-0000C42D0000}"/>
    <cellStyle name="Normal 19 5 2 2" xfId="3492" xr:uid="{00000000-0005-0000-0000-0000C52D0000}"/>
    <cellStyle name="Normal 19 5 2 2 2" xfId="3493" xr:uid="{00000000-0005-0000-0000-0000C62D0000}"/>
    <cellStyle name="Normal 19 5 2 2 2 2" xfId="7645" xr:uid="{00000000-0005-0000-0000-0000C72D0000}"/>
    <cellStyle name="Normal 19 5 2 2 2 2 2" xfId="16824" xr:uid="{00000000-0005-0000-0000-0000C82D0000}"/>
    <cellStyle name="Normal 19 5 2 2 2 2 2 2" xfId="33398" xr:uid="{00000000-0005-0000-0000-0000C92D0000}"/>
    <cellStyle name="Normal 19 5 2 2 2 2 3" xfId="25351" xr:uid="{00000000-0005-0000-0000-0000CA2D0000}"/>
    <cellStyle name="Normal 19 5 2 2 2 3" xfId="12943" xr:uid="{00000000-0005-0000-0000-0000CB2D0000}"/>
    <cellStyle name="Normal 19 5 2 2 2 3 2" xfId="29479" xr:uid="{00000000-0005-0000-0000-0000CC2D0000}"/>
    <cellStyle name="Normal 19 5 2 2 2 4" xfId="21436" xr:uid="{00000000-0005-0000-0000-0000CD2D0000}"/>
    <cellStyle name="Normal 19 5 2 2 3" xfId="7646" xr:uid="{00000000-0005-0000-0000-0000CE2D0000}"/>
    <cellStyle name="Normal 19 5 2 2 3 2" xfId="16825" xr:uid="{00000000-0005-0000-0000-0000CF2D0000}"/>
    <cellStyle name="Normal 19 5 2 2 3 2 2" xfId="33399" xr:uid="{00000000-0005-0000-0000-0000D02D0000}"/>
    <cellStyle name="Normal 19 5 2 2 3 3" xfId="25352" xr:uid="{00000000-0005-0000-0000-0000D12D0000}"/>
    <cellStyle name="Normal 19 5 2 2 4" xfId="12942" xr:uid="{00000000-0005-0000-0000-0000D22D0000}"/>
    <cellStyle name="Normal 19 5 2 2 4 2" xfId="29478" xr:uid="{00000000-0005-0000-0000-0000D32D0000}"/>
    <cellStyle name="Normal 19 5 2 2 5" xfId="21435" xr:uid="{00000000-0005-0000-0000-0000D42D0000}"/>
    <cellStyle name="Normal 19 5 2 3" xfId="3494" xr:uid="{00000000-0005-0000-0000-0000D52D0000}"/>
    <cellStyle name="Normal 19 5 2 3 2" xfId="7647" xr:uid="{00000000-0005-0000-0000-0000D62D0000}"/>
    <cellStyle name="Normal 19 5 2 3 2 2" xfId="16826" xr:uid="{00000000-0005-0000-0000-0000D72D0000}"/>
    <cellStyle name="Normal 19 5 2 3 2 2 2" xfId="33400" xr:uid="{00000000-0005-0000-0000-0000D82D0000}"/>
    <cellStyle name="Normal 19 5 2 3 2 3" xfId="25353" xr:uid="{00000000-0005-0000-0000-0000D92D0000}"/>
    <cellStyle name="Normal 19 5 2 3 3" xfId="12944" xr:uid="{00000000-0005-0000-0000-0000DA2D0000}"/>
    <cellStyle name="Normal 19 5 2 3 3 2" xfId="29480" xr:uid="{00000000-0005-0000-0000-0000DB2D0000}"/>
    <cellStyle name="Normal 19 5 2 3 4" xfId="21437" xr:uid="{00000000-0005-0000-0000-0000DC2D0000}"/>
    <cellStyle name="Normal 19 5 2 4" xfId="7648" xr:uid="{00000000-0005-0000-0000-0000DD2D0000}"/>
    <cellStyle name="Normal 19 5 2 4 2" xfId="16827" xr:uid="{00000000-0005-0000-0000-0000DE2D0000}"/>
    <cellStyle name="Normal 19 5 2 4 2 2" xfId="33401" xr:uid="{00000000-0005-0000-0000-0000DF2D0000}"/>
    <cellStyle name="Normal 19 5 2 4 3" xfId="25354" xr:uid="{00000000-0005-0000-0000-0000E02D0000}"/>
    <cellStyle name="Normal 19 5 2 5" xfId="12941" xr:uid="{00000000-0005-0000-0000-0000E12D0000}"/>
    <cellStyle name="Normal 19 5 2 5 2" xfId="29477" xr:uid="{00000000-0005-0000-0000-0000E22D0000}"/>
    <cellStyle name="Normal 19 5 2 6" xfId="21434" xr:uid="{00000000-0005-0000-0000-0000E32D0000}"/>
    <cellStyle name="Normal 19 5 3" xfId="3495" xr:uid="{00000000-0005-0000-0000-0000E42D0000}"/>
    <cellStyle name="Normal 19 5 3 2" xfId="3496" xr:uid="{00000000-0005-0000-0000-0000E52D0000}"/>
    <cellStyle name="Normal 19 5 3 2 2" xfId="7649" xr:uid="{00000000-0005-0000-0000-0000E62D0000}"/>
    <cellStyle name="Normal 19 5 3 2 2 2" xfId="16828" xr:uid="{00000000-0005-0000-0000-0000E72D0000}"/>
    <cellStyle name="Normal 19 5 3 2 2 2 2" xfId="33402" xr:uid="{00000000-0005-0000-0000-0000E82D0000}"/>
    <cellStyle name="Normal 19 5 3 2 2 3" xfId="25355" xr:uid="{00000000-0005-0000-0000-0000E92D0000}"/>
    <cellStyle name="Normal 19 5 3 2 3" xfId="12946" xr:uid="{00000000-0005-0000-0000-0000EA2D0000}"/>
    <cellStyle name="Normal 19 5 3 2 3 2" xfId="29482" xr:uid="{00000000-0005-0000-0000-0000EB2D0000}"/>
    <cellStyle name="Normal 19 5 3 2 4" xfId="21439" xr:uid="{00000000-0005-0000-0000-0000EC2D0000}"/>
    <cellStyle name="Normal 19 5 3 3" xfId="7650" xr:uid="{00000000-0005-0000-0000-0000ED2D0000}"/>
    <cellStyle name="Normal 19 5 3 3 2" xfId="16829" xr:uid="{00000000-0005-0000-0000-0000EE2D0000}"/>
    <cellStyle name="Normal 19 5 3 3 2 2" xfId="33403" xr:uid="{00000000-0005-0000-0000-0000EF2D0000}"/>
    <cellStyle name="Normal 19 5 3 3 3" xfId="25356" xr:uid="{00000000-0005-0000-0000-0000F02D0000}"/>
    <cellStyle name="Normal 19 5 3 4" xfId="12945" xr:uid="{00000000-0005-0000-0000-0000F12D0000}"/>
    <cellStyle name="Normal 19 5 3 4 2" xfId="29481" xr:uid="{00000000-0005-0000-0000-0000F22D0000}"/>
    <cellStyle name="Normal 19 5 3 5" xfId="21438" xr:uid="{00000000-0005-0000-0000-0000F32D0000}"/>
    <cellStyle name="Normal 19 5 4" xfId="3497" xr:uid="{00000000-0005-0000-0000-0000F42D0000}"/>
    <cellStyle name="Normal 19 5 4 2" xfId="7651" xr:uid="{00000000-0005-0000-0000-0000F52D0000}"/>
    <cellStyle name="Normal 19 5 4 2 2" xfId="16830" xr:uid="{00000000-0005-0000-0000-0000F62D0000}"/>
    <cellStyle name="Normal 19 5 4 2 2 2" xfId="33404" xr:uid="{00000000-0005-0000-0000-0000F72D0000}"/>
    <cellStyle name="Normal 19 5 4 2 3" xfId="25357" xr:uid="{00000000-0005-0000-0000-0000F82D0000}"/>
    <cellStyle name="Normal 19 5 4 3" xfId="12947" xr:uid="{00000000-0005-0000-0000-0000F92D0000}"/>
    <cellStyle name="Normal 19 5 4 3 2" xfId="29483" xr:uid="{00000000-0005-0000-0000-0000FA2D0000}"/>
    <cellStyle name="Normal 19 5 4 4" xfId="21440" xr:uid="{00000000-0005-0000-0000-0000FB2D0000}"/>
    <cellStyle name="Normal 19 5 5" xfId="7652" xr:uid="{00000000-0005-0000-0000-0000FC2D0000}"/>
    <cellStyle name="Normal 19 5 5 2" xfId="16831" xr:uid="{00000000-0005-0000-0000-0000FD2D0000}"/>
    <cellStyle name="Normal 19 5 5 2 2" xfId="33405" xr:uid="{00000000-0005-0000-0000-0000FE2D0000}"/>
    <cellStyle name="Normal 19 5 5 3" xfId="25358" xr:uid="{00000000-0005-0000-0000-0000FF2D0000}"/>
    <cellStyle name="Normal 19 5 6" xfId="12940" xr:uid="{00000000-0005-0000-0000-0000002E0000}"/>
    <cellStyle name="Normal 19 5 6 2" xfId="29476" xr:uid="{00000000-0005-0000-0000-0000012E0000}"/>
    <cellStyle name="Normal 19 5 7" xfId="21433" xr:uid="{00000000-0005-0000-0000-0000022E0000}"/>
    <cellStyle name="Normal 19 6" xfId="3498" xr:uid="{00000000-0005-0000-0000-0000032E0000}"/>
    <cellStyle name="Normal 19 6 2" xfId="3499" xr:uid="{00000000-0005-0000-0000-0000042E0000}"/>
    <cellStyle name="Normal 19 6 2 2" xfId="3500" xr:uid="{00000000-0005-0000-0000-0000052E0000}"/>
    <cellStyle name="Normal 19 6 2 2 2" xfId="7653" xr:uid="{00000000-0005-0000-0000-0000062E0000}"/>
    <cellStyle name="Normal 19 6 2 2 2 2" xfId="16832" xr:uid="{00000000-0005-0000-0000-0000072E0000}"/>
    <cellStyle name="Normal 19 6 2 2 2 2 2" xfId="33406" xr:uid="{00000000-0005-0000-0000-0000082E0000}"/>
    <cellStyle name="Normal 19 6 2 2 2 3" xfId="25359" xr:uid="{00000000-0005-0000-0000-0000092E0000}"/>
    <cellStyle name="Normal 19 6 2 2 3" xfId="12950" xr:uid="{00000000-0005-0000-0000-00000A2E0000}"/>
    <cellStyle name="Normal 19 6 2 2 3 2" xfId="29486" xr:uid="{00000000-0005-0000-0000-00000B2E0000}"/>
    <cellStyle name="Normal 19 6 2 2 4" xfId="21443" xr:uid="{00000000-0005-0000-0000-00000C2E0000}"/>
    <cellStyle name="Normal 19 6 2 3" xfId="7654" xr:uid="{00000000-0005-0000-0000-00000D2E0000}"/>
    <cellStyle name="Normal 19 6 2 3 2" xfId="16833" xr:uid="{00000000-0005-0000-0000-00000E2E0000}"/>
    <cellStyle name="Normal 19 6 2 3 2 2" xfId="33407" xr:uid="{00000000-0005-0000-0000-00000F2E0000}"/>
    <cellStyle name="Normal 19 6 2 3 3" xfId="25360" xr:uid="{00000000-0005-0000-0000-0000102E0000}"/>
    <cellStyle name="Normal 19 6 2 4" xfId="12949" xr:uid="{00000000-0005-0000-0000-0000112E0000}"/>
    <cellStyle name="Normal 19 6 2 4 2" xfId="29485" xr:uid="{00000000-0005-0000-0000-0000122E0000}"/>
    <cellStyle name="Normal 19 6 2 5" xfId="21442" xr:uid="{00000000-0005-0000-0000-0000132E0000}"/>
    <cellStyle name="Normal 19 6 3" xfId="3501" xr:uid="{00000000-0005-0000-0000-0000142E0000}"/>
    <cellStyle name="Normal 19 6 3 2" xfId="7655" xr:uid="{00000000-0005-0000-0000-0000152E0000}"/>
    <cellStyle name="Normal 19 6 3 2 2" xfId="16834" xr:uid="{00000000-0005-0000-0000-0000162E0000}"/>
    <cellStyle name="Normal 19 6 3 2 2 2" xfId="33408" xr:uid="{00000000-0005-0000-0000-0000172E0000}"/>
    <cellStyle name="Normal 19 6 3 2 3" xfId="25361" xr:uid="{00000000-0005-0000-0000-0000182E0000}"/>
    <cellStyle name="Normal 19 6 3 3" xfId="12951" xr:uid="{00000000-0005-0000-0000-0000192E0000}"/>
    <cellStyle name="Normal 19 6 3 3 2" xfId="29487" xr:uid="{00000000-0005-0000-0000-00001A2E0000}"/>
    <cellStyle name="Normal 19 6 3 4" xfId="21444" xr:uid="{00000000-0005-0000-0000-00001B2E0000}"/>
    <cellStyle name="Normal 19 6 4" xfId="7656" xr:uid="{00000000-0005-0000-0000-00001C2E0000}"/>
    <cellStyle name="Normal 19 6 4 2" xfId="16835" xr:uid="{00000000-0005-0000-0000-00001D2E0000}"/>
    <cellStyle name="Normal 19 6 4 2 2" xfId="33409" xr:uid="{00000000-0005-0000-0000-00001E2E0000}"/>
    <cellStyle name="Normal 19 6 4 3" xfId="25362" xr:uid="{00000000-0005-0000-0000-00001F2E0000}"/>
    <cellStyle name="Normal 19 6 5" xfId="12948" xr:uid="{00000000-0005-0000-0000-0000202E0000}"/>
    <cellStyle name="Normal 19 6 5 2" xfId="29484" xr:uid="{00000000-0005-0000-0000-0000212E0000}"/>
    <cellStyle name="Normal 19 6 6" xfId="21441" xr:uid="{00000000-0005-0000-0000-0000222E0000}"/>
    <cellStyle name="Normal 19 7" xfId="3502" xr:uid="{00000000-0005-0000-0000-0000232E0000}"/>
    <cellStyle name="Normal 19 7 2" xfId="3503" xr:uid="{00000000-0005-0000-0000-0000242E0000}"/>
    <cellStyle name="Normal 19 7 2 2" xfId="7657" xr:uid="{00000000-0005-0000-0000-0000252E0000}"/>
    <cellStyle name="Normal 19 7 2 2 2" xfId="16836" xr:uid="{00000000-0005-0000-0000-0000262E0000}"/>
    <cellStyle name="Normal 19 7 2 2 2 2" xfId="33410" xr:uid="{00000000-0005-0000-0000-0000272E0000}"/>
    <cellStyle name="Normal 19 7 2 2 3" xfId="25363" xr:uid="{00000000-0005-0000-0000-0000282E0000}"/>
    <cellStyle name="Normal 19 7 2 3" xfId="12953" xr:uid="{00000000-0005-0000-0000-0000292E0000}"/>
    <cellStyle name="Normal 19 7 2 3 2" xfId="29489" xr:uid="{00000000-0005-0000-0000-00002A2E0000}"/>
    <cellStyle name="Normal 19 7 2 4" xfId="21446" xr:uid="{00000000-0005-0000-0000-00002B2E0000}"/>
    <cellStyle name="Normal 19 7 3" xfId="7658" xr:uid="{00000000-0005-0000-0000-00002C2E0000}"/>
    <cellStyle name="Normal 19 7 3 2" xfId="16837" xr:uid="{00000000-0005-0000-0000-00002D2E0000}"/>
    <cellStyle name="Normal 19 7 3 2 2" xfId="33411" xr:uid="{00000000-0005-0000-0000-00002E2E0000}"/>
    <cellStyle name="Normal 19 7 3 3" xfId="25364" xr:uid="{00000000-0005-0000-0000-00002F2E0000}"/>
    <cellStyle name="Normal 19 7 4" xfId="12952" xr:uid="{00000000-0005-0000-0000-0000302E0000}"/>
    <cellStyle name="Normal 19 7 4 2" xfId="29488" xr:uid="{00000000-0005-0000-0000-0000312E0000}"/>
    <cellStyle name="Normal 19 7 5" xfId="21445" xr:uid="{00000000-0005-0000-0000-0000322E0000}"/>
    <cellStyle name="Normal 19 8" xfId="3504" xr:uid="{00000000-0005-0000-0000-0000332E0000}"/>
    <cellStyle name="Normal 19 8 2" xfId="7659" xr:uid="{00000000-0005-0000-0000-0000342E0000}"/>
    <cellStyle name="Normal 19 8 2 2" xfId="16838" xr:uid="{00000000-0005-0000-0000-0000352E0000}"/>
    <cellStyle name="Normal 19 8 2 2 2" xfId="33412" xr:uid="{00000000-0005-0000-0000-0000362E0000}"/>
    <cellStyle name="Normal 19 8 2 3" xfId="25365" xr:uid="{00000000-0005-0000-0000-0000372E0000}"/>
    <cellStyle name="Normal 19 8 3" xfId="12954" xr:uid="{00000000-0005-0000-0000-0000382E0000}"/>
    <cellStyle name="Normal 19 8 3 2" xfId="29490" xr:uid="{00000000-0005-0000-0000-0000392E0000}"/>
    <cellStyle name="Normal 19 8 4" xfId="21447" xr:uid="{00000000-0005-0000-0000-00003A2E0000}"/>
    <cellStyle name="Normal 19 9" xfId="7660" xr:uid="{00000000-0005-0000-0000-00003B2E0000}"/>
    <cellStyle name="Normal 19 9 2" xfId="16839" xr:uid="{00000000-0005-0000-0000-00003C2E0000}"/>
    <cellStyle name="Normal 19 9 2 2" xfId="33413" xr:uid="{00000000-0005-0000-0000-00003D2E0000}"/>
    <cellStyle name="Normal 19 9 3" xfId="25366" xr:uid="{00000000-0005-0000-0000-00003E2E0000}"/>
    <cellStyle name="Normal 190" xfId="10587" xr:uid="{00000000-0005-0000-0000-00003F2E0000}"/>
    <cellStyle name="Normal 191" xfId="10590" xr:uid="{00000000-0005-0000-0000-0000402E0000}"/>
    <cellStyle name="Normal 192" xfId="10593" xr:uid="{00000000-0005-0000-0000-0000412E0000}"/>
    <cellStyle name="Normal 193" xfId="10596" xr:uid="{00000000-0005-0000-0000-0000422E0000}"/>
    <cellStyle name="Normal 194" xfId="10599" xr:uid="{00000000-0005-0000-0000-0000432E0000}"/>
    <cellStyle name="Normal 195" xfId="10602" xr:uid="{00000000-0005-0000-0000-0000442E0000}"/>
    <cellStyle name="Normal 196" xfId="10605" xr:uid="{00000000-0005-0000-0000-0000452E0000}"/>
    <cellStyle name="Normal 197" xfId="10608" xr:uid="{00000000-0005-0000-0000-0000462E0000}"/>
    <cellStyle name="Normal 198" xfId="10611" xr:uid="{00000000-0005-0000-0000-0000472E0000}"/>
    <cellStyle name="Normal 199" xfId="10614" xr:uid="{00000000-0005-0000-0000-0000482E0000}"/>
    <cellStyle name="Normal 2" xfId="10" xr:uid="{00000000-0005-0000-0000-0000492E0000}"/>
    <cellStyle name="Normal 2 10" xfId="1729" xr:uid="{00000000-0005-0000-0000-00004A2E0000}"/>
    <cellStyle name="Normal 2 10 2" xfId="3506" xr:uid="{00000000-0005-0000-0000-00004B2E0000}"/>
    <cellStyle name="Normal 2 11" xfId="3507" xr:uid="{00000000-0005-0000-0000-00004C2E0000}"/>
    <cellStyle name="Normal 2 12" xfId="3505" xr:uid="{00000000-0005-0000-0000-00004D2E0000}"/>
    <cellStyle name="Normal 2 13" xfId="2265" xr:uid="{00000000-0005-0000-0000-00004E2E0000}"/>
    <cellStyle name="Normal 2 14" xfId="1945" xr:uid="{00000000-0005-0000-0000-00004F2E0000}"/>
    <cellStyle name="Normal 2 14 2" xfId="28159" xr:uid="{00000000-0005-0000-0000-0000502E0000}"/>
    <cellStyle name="Normal 2 15" xfId="19665" xr:uid="{00000000-0005-0000-0000-0000512E0000}"/>
    <cellStyle name="Normal 2 16" xfId="430" xr:uid="{00000000-0005-0000-0000-0000522E0000}"/>
    <cellStyle name="Normal 2 2" xfId="49" xr:uid="{00000000-0005-0000-0000-0000532E0000}"/>
    <cellStyle name="Normal 2 2 10" xfId="3509" xr:uid="{00000000-0005-0000-0000-0000542E0000}"/>
    <cellStyle name="Normal 2 2 10 2" xfId="7661" xr:uid="{00000000-0005-0000-0000-0000552E0000}"/>
    <cellStyle name="Normal 2 2 10 2 2" xfId="16840" xr:uid="{00000000-0005-0000-0000-0000562E0000}"/>
    <cellStyle name="Normal 2 2 10 2 2 2" xfId="33414" xr:uid="{00000000-0005-0000-0000-0000572E0000}"/>
    <cellStyle name="Normal 2 2 10 2 3" xfId="25367" xr:uid="{00000000-0005-0000-0000-0000582E0000}"/>
    <cellStyle name="Normal 2 2 10 3" xfId="12956" xr:uid="{00000000-0005-0000-0000-0000592E0000}"/>
    <cellStyle name="Normal 2 2 10 3 2" xfId="29492" xr:uid="{00000000-0005-0000-0000-00005A2E0000}"/>
    <cellStyle name="Normal 2 2 10 4" xfId="21449" xr:uid="{00000000-0005-0000-0000-00005B2E0000}"/>
    <cellStyle name="Normal 2 2 11" xfId="7662" xr:uid="{00000000-0005-0000-0000-00005C2E0000}"/>
    <cellStyle name="Normal 2 2 12" xfId="3508" xr:uid="{00000000-0005-0000-0000-00005D2E0000}"/>
    <cellStyle name="Normal 2 2 12 2" xfId="12955" xr:uid="{00000000-0005-0000-0000-00005E2E0000}"/>
    <cellStyle name="Normal 2 2 12 2 2" xfId="29491" xr:uid="{00000000-0005-0000-0000-00005F2E0000}"/>
    <cellStyle name="Normal 2 2 12 3" xfId="21448" xr:uid="{00000000-0005-0000-0000-0000602E0000}"/>
    <cellStyle name="Normal 2 2 13" xfId="10911" xr:uid="{00000000-0005-0000-0000-0000612E0000}"/>
    <cellStyle name="Normal 2 2 13 2" xfId="28160" xr:uid="{00000000-0005-0000-0000-0000622E0000}"/>
    <cellStyle name="Normal 2 2 13 3" xfId="11179" xr:uid="{00000000-0005-0000-0000-0000632E0000}"/>
    <cellStyle name="Normal 2 2 14" xfId="1996" xr:uid="{00000000-0005-0000-0000-0000642E0000}"/>
    <cellStyle name="Normal 2 2 2" xfId="246" xr:uid="{00000000-0005-0000-0000-0000652E0000}"/>
    <cellStyle name="Normal 2 2 2 10" xfId="3510" xr:uid="{00000000-0005-0000-0000-0000662E0000}"/>
    <cellStyle name="Normal 2 2 2 10 2" xfId="29493" xr:uid="{00000000-0005-0000-0000-0000672E0000}"/>
    <cellStyle name="Normal 2 2 2 11" xfId="21450" xr:uid="{00000000-0005-0000-0000-0000682E0000}"/>
    <cellStyle name="Normal 2 2 2 2" xfId="247" xr:uid="{00000000-0005-0000-0000-0000692E0000}"/>
    <cellStyle name="Normal 2 2 2 2 2" xfId="3512" xr:uid="{00000000-0005-0000-0000-00006A2E0000}"/>
    <cellStyle name="Normal 2 2 2 2 2 2" xfId="3513" xr:uid="{00000000-0005-0000-0000-00006B2E0000}"/>
    <cellStyle name="Normal 2 2 2 2 2 2 2" xfId="12958" xr:uid="{00000000-0005-0000-0000-00006C2E0000}"/>
    <cellStyle name="Normal 2 2 2 2 2 2 2 2" xfId="29496" xr:uid="{00000000-0005-0000-0000-00006D2E0000}"/>
    <cellStyle name="Normal 2 2 2 2 2 2 3" xfId="21453" xr:uid="{00000000-0005-0000-0000-00006E2E0000}"/>
    <cellStyle name="Normal 2 2 2 2 2 3" xfId="12957" xr:uid="{00000000-0005-0000-0000-00006F2E0000}"/>
    <cellStyle name="Normal 2 2 2 2 2 3 2" xfId="29495" xr:uid="{00000000-0005-0000-0000-0000702E0000}"/>
    <cellStyle name="Normal 2 2 2 2 2 4" xfId="21452" xr:uid="{00000000-0005-0000-0000-0000712E0000}"/>
    <cellStyle name="Normal 2 2 2 2 3" xfId="3514" xr:uid="{00000000-0005-0000-0000-0000722E0000}"/>
    <cellStyle name="Normal 2 2 2 2 3 2" xfId="3515" xr:uid="{00000000-0005-0000-0000-0000732E0000}"/>
    <cellStyle name="Normal 2 2 2 2 3 2 2" xfId="12960" xr:uid="{00000000-0005-0000-0000-0000742E0000}"/>
    <cellStyle name="Normal 2 2 2 2 3 2 2 2" xfId="29498" xr:uid="{00000000-0005-0000-0000-0000752E0000}"/>
    <cellStyle name="Normal 2 2 2 2 3 2 3" xfId="21455" xr:uid="{00000000-0005-0000-0000-0000762E0000}"/>
    <cellStyle name="Normal 2 2 2 2 3 3" xfId="12959" xr:uid="{00000000-0005-0000-0000-0000772E0000}"/>
    <cellStyle name="Normal 2 2 2 2 3 3 2" xfId="29497" xr:uid="{00000000-0005-0000-0000-0000782E0000}"/>
    <cellStyle name="Normal 2 2 2 2 3 4" xfId="21454" xr:uid="{00000000-0005-0000-0000-0000792E0000}"/>
    <cellStyle name="Normal 2 2 2 2 4" xfId="3516" xr:uid="{00000000-0005-0000-0000-00007A2E0000}"/>
    <cellStyle name="Normal 2 2 2 2 5" xfId="3511" xr:uid="{00000000-0005-0000-0000-00007B2E0000}"/>
    <cellStyle name="Normal 2 2 2 2 5 2" xfId="29494" xr:uid="{00000000-0005-0000-0000-00007C2E0000}"/>
    <cellStyle name="Normal 2 2 2 2 6" xfId="21451" xr:uid="{00000000-0005-0000-0000-00007D2E0000}"/>
    <cellStyle name="Normal 2 2 2 3" xfId="3517" xr:uid="{00000000-0005-0000-0000-00007E2E0000}"/>
    <cellStyle name="Normal 2 2 2 3 2" xfId="3518" xr:uid="{00000000-0005-0000-0000-00007F2E0000}"/>
    <cellStyle name="Normal 2 2 2 3 2 2" xfId="3519" xr:uid="{00000000-0005-0000-0000-0000802E0000}"/>
    <cellStyle name="Normal 2 2 2 3 2 2 2" xfId="3520" xr:uid="{00000000-0005-0000-0000-0000812E0000}"/>
    <cellStyle name="Normal 2 2 2 3 2 2 2 2" xfId="7663" xr:uid="{00000000-0005-0000-0000-0000822E0000}"/>
    <cellStyle name="Normal 2 2 2 3 2 2 2 2 2" xfId="16841" xr:uid="{00000000-0005-0000-0000-0000832E0000}"/>
    <cellStyle name="Normal 2 2 2 3 2 2 2 2 2 2" xfId="33415" xr:uid="{00000000-0005-0000-0000-0000842E0000}"/>
    <cellStyle name="Normal 2 2 2 3 2 2 2 2 3" xfId="25368" xr:uid="{00000000-0005-0000-0000-0000852E0000}"/>
    <cellStyle name="Normal 2 2 2 3 2 2 2 3" xfId="12963" xr:uid="{00000000-0005-0000-0000-0000862E0000}"/>
    <cellStyle name="Normal 2 2 2 3 2 2 2 3 2" xfId="29501" xr:uid="{00000000-0005-0000-0000-0000872E0000}"/>
    <cellStyle name="Normal 2 2 2 3 2 2 2 4" xfId="21458" xr:uid="{00000000-0005-0000-0000-0000882E0000}"/>
    <cellStyle name="Normal 2 2 2 3 2 2 3" xfId="7664" xr:uid="{00000000-0005-0000-0000-0000892E0000}"/>
    <cellStyle name="Normal 2 2 2 3 2 2 3 2" xfId="16842" xr:uid="{00000000-0005-0000-0000-00008A2E0000}"/>
    <cellStyle name="Normal 2 2 2 3 2 2 3 2 2" xfId="33416" xr:uid="{00000000-0005-0000-0000-00008B2E0000}"/>
    <cellStyle name="Normal 2 2 2 3 2 2 3 3" xfId="25369" xr:uid="{00000000-0005-0000-0000-00008C2E0000}"/>
    <cellStyle name="Normal 2 2 2 3 2 2 4" xfId="12962" xr:uid="{00000000-0005-0000-0000-00008D2E0000}"/>
    <cellStyle name="Normal 2 2 2 3 2 2 4 2" xfId="29500" xr:uid="{00000000-0005-0000-0000-00008E2E0000}"/>
    <cellStyle name="Normal 2 2 2 3 2 2 5" xfId="21457" xr:uid="{00000000-0005-0000-0000-00008F2E0000}"/>
    <cellStyle name="Normal 2 2 2 3 2 3" xfId="3521" xr:uid="{00000000-0005-0000-0000-0000902E0000}"/>
    <cellStyle name="Normal 2 2 2 3 2 3 2" xfId="7665" xr:uid="{00000000-0005-0000-0000-0000912E0000}"/>
    <cellStyle name="Normal 2 2 2 3 2 3 2 2" xfId="16843" xr:uid="{00000000-0005-0000-0000-0000922E0000}"/>
    <cellStyle name="Normal 2 2 2 3 2 3 2 2 2" xfId="33417" xr:uid="{00000000-0005-0000-0000-0000932E0000}"/>
    <cellStyle name="Normal 2 2 2 3 2 3 2 3" xfId="25370" xr:uid="{00000000-0005-0000-0000-0000942E0000}"/>
    <cellStyle name="Normal 2 2 2 3 2 3 3" xfId="12964" xr:uid="{00000000-0005-0000-0000-0000952E0000}"/>
    <cellStyle name="Normal 2 2 2 3 2 3 3 2" xfId="29502" xr:uid="{00000000-0005-0000-0000-0000962E0000}"/>
    <cellStyle name="Normal 2 2 2 3 2 3 4" xfId="21459" xr:uid="{00000000-0005-0000-0000-0000972E0000}"/>
    <cellStyle name="Normal 2 2 2 3 2 4" xfId="7666" xr:uid="{00000000-0005-0000-0000-0000982E0000}"/>
    <cellStyle name="Normal 2 2 2 3 2 4 2" xfId="16844" xr:uid="{00000000-0005-0000-0000-0000992E0000}"/>
    <cellStyle name="Normal 2 2 2 3 2 4 2 2" xfId="33418" xr:uid="{00000000-0005-0000-0000-00009A2E0000}"/>
    <cellStyle name="Normal 2 2 2 3 2 4 3" xfId="25371" xr:uid="{00000000-0005-0000-0000-00009B2E0000}"/>
    <cellStyle name="Normal 2 2 2 3 2 5" xfId="12961" xr:uid="{00000000-0005-0000-0000-00009C2E0000}"/>
    <cellStyle name="Normal 2 2 2 3 2 5 2" xfId="29499" xr:uid="{00000000-0005-0000-0000-00009D2E0000}"/>
    <cellStyle name="Normal 2 2 2 3 2 6" xfId="21456" xr:uid="{00000000-0005-0000-0000-00009E2E0000}"/>
    <cellStyle name="Normal 2 2 2 3 3" xfId="3522" xr:uid="{00000000-0005-0000-0000-00009F2E0000}"/>
    <cellStyle name="Normal 2 2 2 3 3 2" xfId="3523" xr:uid="{00000000-0005-0000-0000-0000A02E0000}"/>
    <cellStyle name="Normal 2 2 2 3 3 2 2" xfId="7667" xr:uid="{00000000-0005-0000-0000-0000A12E0000}"/>
    <cellStyle name="Normal 2 2 2 3 3 2 2 2" xfId="16845" xr:uid="{00000000-0005-0000-0000-0000A22E0000}"/>
    <cellStyle name="Normal 2 2 2 3 3 2 2 2 2" xfId="33419" xr:uid="{00000000-0005-0000-0000-0000A32E0000}"/>
    <cellStyle name="Normal 2 2 2 3 3 2 2 3" xfId="25372" xr:uid="{00000000-0005-0000-0000-0000A42E0000}"/>
    <cellStyle name="Normal 2 2 2 3 3 2 3" xfId="12966" xr:uid="{00000000-0005-0000-0000-0000A52E0000}"/>
    <cellStyle name="Normal 2 2 2 3 3 2 3 2" xfId="29504" xr:uid="{00000000-0005-0000-0000-0000A62E0000}"/>
    <cellStyle name="Normal 2 2 2 3 3 2 4" xfId="21461" xr:uid="{00000000-0005-0000-0000-0000A72E0000}"/>
    <cellStyle name="Normal 2 2 2 3 3 3" xfId="7668" xr:uid="{00000000-0005-0000-0000-0000A82E0000}"/>
    <cellStyle name="Normal 2 2 2 3 3 3 2" xfId="16846" xr:uid="{00000000-0005-0000-0000-0000A92E0000}"/>
    <cellStyle name="Normal 2 2 2 3 3 3 2 2" xfId="33420" xr:uid="{00000000-0005-0000-0000-0000AA2E0000}"/>
    <cellStyle name="Normal 2 2 2 3 3 3 3" xfId="25373" xr:uid="{00000000-0005-0000-0000-0000AB2E0000}"/>
    <cellStyle name="Normal 2 2 2 3 3 4" xfId="12965" xr:uid="{00000000-0005-0000-0000-0000AC2E0000}"/>
    <cellStyle name="Normal 2 2 2 3 3 4 2" xfId="29503" xr:uid="{00000000-0005-0000-0000-0000AD2E0000}"/>
    <cellStyle name="Normal 2 2 2 3 3 5" xfId="21460" xr:uid="{00000000-0005-0000-0000-0000AE2E0000}"/>
    <cellStyle name="Normal 2 2 2 3 4" xfId="3524" xr:uid="{00000000-0005-0000-0000-0000AF2E0000}"/>
    <cellStyle name="Normal 2 2 2 3 4 2" xfId="7669" xr:uid="{00000000-0005-0000-0000-0000B02E0000}"/>
    <cellStyle name="Normal 2 2 2 3 4 2 2" xfId="16847" xr:uid="{00000000-0005-0000-0000-0000B12E0000}"/>
    <cellStyle name="Normal 2 2 2 3 4 2 2 2" xfId="33421" xr:uid="{00000000-0005-0000-0000-0000B22E0000}"/>
    <cellStyle name="Normal 2 2 2 3 4 2 3" xfId="25374" xr:uid="{00000000-0005-0000-0000-0000B32E0000}"/>
    <cellStyle name="Normal 2 2 2 3 4 3" xfId="12967" xr:uid="{00000000-0005-0000-0000-0000B42E0000}"/>
    <cellStyle name="Normal 2 2 2 3 4 3 2" xfId="29505" xr:uid="{00000000-0005-0000-0000-0000B52E0000}"/>
    <cellStyle name="Normal 2 2 2 3 4 4" xfId="21462" xr:uid="{00000000-0005-0000-0000-0000B62E0000}"/>
    <cellStyle name="Normal 2 2 2 3 5" xfId="3525" xr:uid="{00000000-0005-0000-0000-0000B72E0000}"/>
    <cellStyle name="Normal 2 2 2 3 5 2" xfId="12968" xr:uid="{00000000-0005-0000-0000-0000B82E0000}"/>
    <cellStyle name="Normal 2 2 2 3 5 2 2" xfId="29506" xr:uid="{00000000-0005-0000-0000-0000B92E0000}"/>
    <cellStyle name="Normal 2 2 2 3 5 3" xfId="21463" xr:uid="{00000000-0005-0000-0000-0000BA2E0000}"/>
    <cellStyle name="Normal 2 2 2 4" xfId="3526" xr:uid="{00000000-0005-0000-0000-0000BB2E0000}"/>
    <cellStyle name="Normal 2 2 2 4 2" xfId="3527" xr:uid="{00000000-0005-0000-0000-0000BC2E0000}"/>
    <cellStyle name="Normal 2 2 2 4 2 2" xfId="3528" xr:uid="{00000000-0005-0000-0000-0000BD2E0000}"/>
    <cellStyle name="Normal 2 2 2 4 2 2 2" xfId="3529" xr:uid="{00000000-0005-0000-0000-0000BE2E0000}"/>
    <cellStyle name="Normal 2 2 2 4 2 2 2 2" xfId="7670" xr:uid="{00000000-0005-0000-0000-0000BF2E0000}"/>
    <cellStyle name="Normal 2 2 2 4 2 2 2 2 2" xfId="16848" xr:uid="{00000000-0005-0000-0000-0000C02E0000}"/>
    <cellStyle name="Normal 2 2 2 4 2 2 2 2 2 2" xfId="33422" xr:uid="{00000000-0005-0000-0000-0000C12E0000}"/>
    <cellStyle name="Normal 2 2 2 4 2 2 2 2 3" xfId="25375" xr:uid="{00000000-0005-0000-0000-0000C22E0000}"/>
    <cellStyle name="Normal 2 2 2 4 2 2 2 3" xfId="12972" xr:uid="{00000000-0005-0000-0000-0000C32E0000}"/>
    <cellStyle name="Normal 2 2 2 4 2 2 2 3 2" xfId="29510" xr:uid="{00000000-0005-0000-0000-0000C42E0000}"/>
    <cellStyle name="Normal 2 2 2 4 2 2 2 4" xfId="21467" xr:uid="{00000000-0005-0000-0000-0000C52E0000}"/>
    <cellStyle name="Normal 2 2 2 4 2 2 3" xfId="7671" xr:uid="{00000000-0005-0000-0000-0000C62E0000}"/>
    <cellStyle name="Normal 2 2 2 4 2 2 3 2" xfId="16849" xr:uid="{00000000-0005-0000-0000-0000C72E0000}"/>
    <cellStyle name="Normal 2 2 2 4 2 2 3 2 2" xfId="33423" xr:uid="{00000000-0005-0000-0000-0000C82E0000}"/>
    <cellStyle name="Normal 2 2 2 4 2 2 3 3" xfId="25376" xr:uid="{00000000-0005-0000-0000-0000C92E0000}"/>
    <cellStyle name="Normal 2 2 2 4 2 2 4" xfId="12971" xr:uid="{00000000-0005-0000-0000-0000CA2E0000}"/>
    <cellStyle name="Normal 2 2 2 4 2 2 4 2" xfId="29509" xr:uid="{00000000-0005-0000-0000-0000CB2E0000}"/>
    <cellStyle name="Normal 2 2 2 4 2 2 5" xfId="21466" xr:uid="{00000000-0005-0000-0000-0000CC2E0000}"/>
    <cellStyle name="Normal 2 2 2 4 2 3" xfId="3530" xr:uid="{00000000-0005-0000-0000-0000CD2E0000}"/>
    <cellStyle name="Normal 2 2 2 4 2 3 2" xfId="7672" xr:uid="{00000000-0005-0000-0000-0000CE2E0000}"/>
    <cellStyle name="Normal 2 2 2 4 2 3 2 2" xfId="16850" xr:uid="{00000000-0005-0000-0000-0000CF2E0000}"/>
    <cellStyle name="Normal 2 2 2 4 2 3 2 2 2" xfId="33424" xr:uid="{00000000-0005-0000-0000-0000D02E0000}"/>
    <cellStyle name="Normal 2 2 2 4 2 3 2 3" xfId="25377" xr:uid="{00000000-0005-0000-0000-0000D12E0000}"/>
    <cellStyle name="Normal 2 2 2 4 2 3 3" xfId="12973" xr:uid="{00000000-0005-0000-0000-0000D22E0000}"/>
    <cellStyle name="Normal 2 2 2 4 2 3 3 2" xfId="29511" xr:uid="{00000000-0005-0000-0000-0000D32E0000}"/>
    <cellStyle name="Normal 2 2 2 4 2 3 4" xfId="21468" xr:uid="{00000000-0005-0000-0000-0000D42E0000}"/>
    <cellStyle name="Normal 2 2 2 4 2 4" xfId="7673" xr:uid="{00000000-0005-0000-0000-0000D52E0000}"/>
    <cellStyle name="Normal 2 2 2 4 2 4 2" xfId="16851" xr:uid="{00000000-0005-0000-0000-0000D62E0000}"/>
    <cellStyle name="Normal 2 2 2 4 2 4 2 2" xfId="33425" xr:uid="{00000000-0005-0000-0000-0000D72E0000}"/>
    <cellStyle name="Normal 2 2 2 4 2 4 3" xfId="25378" xr:uid="{00000000-0005-0000-0000-0000D82E0000}"/>
    <cellStyle name="Normal 2 2 2 4 2 5" xfId="12970" xr:uid="{00000000-0005-0000-0000-0000D92E0000}"/>
    <cellStyle name="Normal 2 2 2 4 2 5 2" xfId="29508" xr:uid="{00000000-0005-0000-0000-0000DA2E0000}"/>
    <cellStyle name="Normal 2 2 2 4 2 6" xfId="21465" xr:uid="{00000000-0005-0000-0000-0000DB2E0000}"/>
    <cellStyle name="Normal 2 2 2 4 3" xfId="3531" xr:uid="{00000000-0005-0000-0000-0000DC2E0000}"/>
    <cellStyle name="Normal 2 2 2 4 3 2" xfId="3532" xr:uid="{00000000-0005-0000-0000-0000DD2E0000}"/>
    <cellStyle name="Normal 2 2 2 4 3 2 2" xfId="7674" xr:uid="{00000000-0005-0000-0000-0000DE2E0000}"/>
    <cellStyle name="Normal 2 2 2 4 3 2 2 2" xfId="16852" xr:uid="{00000000-0005-0000-0000-0000DF2E0000}"/>
    <cellStyle name="Normal 2 2 2 4 3 2 2 2 2" xfId="33426" xr:uid="{00000000-0005-0000-0000-0000E02E0000}"/>
    <cellStyle name="Normal 2 2 2 4 3 2 2 3" xfId="25379" xr:uid="{00000000-0005-0000-0000-0000E12E0000}"/>
    <cellStyle name="Normal 2 2 2 4 3 2 3" xfId="12975" xr:uid="{00000000-0005-0000-0000-0000E22E0000}"/>
    <cellStyle name="Normal 2 2 2 4 3 2 3 2" xfId="29513" xr:uid="{00000000-0005-0000-0000-0000E32E0000}"/>
    <cellStyle name="Normal 2 2 2 4 3 2 4" xfId="21470" xr:uid="{00000000-0005-0000-0000-0000E42E0000}"/>
    <cellStyle name="Normal 2 2 2 4 3 3" xfId="7675" xr:uid="{00000000-0005-0000-0000-0000E52E0000}"/>
    <cellStyle name="Normal 2 2 2 4 3 3 2" xfId="16853" xr:uid="{00000000-0005-0000-0000-0000E62E0000}"/>
    <cellStyle name="Normal 2 2 2 4 3 3 2 2" xfId="33427" xr:uid="{00000000-0005-0000-0000-0000E72E0000}"/>
    <cellStyle name="Normal 2 2 2 4 3 3 3" xfId="25380" xr:uid="{00000000-0005-0000-0000-0000E82E0000}"/>
    <cellStyle name="Normal 2 2 2 4 3 4" xfId="12974" xr:uid="{00000000-0005-0000-0000-0000E92E0000}"/>
    <cellStyle name="Normal 2 2 2 4 3 4 2" xfId="29512" xr:uid="{00000000-0005-0000-0000-0000EA2E0000}"/>
    <cellStyle name="Normal 2 2 2 4 3 5" xfId="21469" xr:uid="{00000000-0005-0000-0000-0000EB2E0000}"/>
    <cellStyle name="Normal 2 2 2 4 4" xfId="3533" xr:uid="{00000000-0005-0000-0000-0000EC2E0000}"/>
    <cellStyle name="Normal 2 2 2 4 4 2" xfId="7676" xr:uid="{00000000-0005-0000-0000-0000ED2E0000}"/>
    <cellStyle name="Normal 2 2 2 4 4 2 2" xfId="16854" xr:uid="{00000000-0005-0000-0000-0000EE2E0000}"/>
    <cellStyle name="Normal 2 2 2 4 4 2 2 2" xfId="33428" xr:uid="{00000000-0005-0000-0000-0000EF2E0000}"/>
    <cellStyle name="Normal 2 2 2 4 4 2 3" xfId="25381" xr:uid="{00000000-0005-0000-0000-0000F02E0000}"/>
    <cellStyle name="Normal 2 2 2 4 4 3" xfId="12976" xr:uid="{00000000-0005-0000-0000-0000F12E0000}"/>
    <cellStyle name="Normal 2 2 2 4 4 3 2" xfId="29514" xr:uid="{00000000-0005-0000-0000-0000F22E0000}"/>
    <cellStyle name="Normal 2 2 2 4 4 4" xfId="21471" xr:uid="{00000000-0005-0000-0000-0000F32E0000}"/>
    <cellStyle name="Normal 2 2 2 4 5" xfId="7677" xr:uid="{00000000-0005-0000-0000-0000F42E0000}"/>
    <cellStyle name="Normal 2 2 2 4 5 2" xfId="16855" xr:uid="{00000000-0005-0000-0000-0000F52E0000}"/>
    <cellStyle name="Normal 2 2 2 4 5 2 2" xfId="33429" xr:uid="{00000000-0005-0000-0000-0000F62E0000}"/>
    <cellStyle name="Normal 2 2 2 4 5 3" xfId="25382" xr:uid="{00000000-0005-0000-0000-0000F72E0000}"/>
    <cellStyle name="Normal 2 2 2 4 6" xfId="12969" xr:uid="{00000000-0005-0000-0000-0000F82E0000}"/>
    <cellStyle name="Normal 2 2 2 4 6 2" xfId="29507" xr:uid="{00000000-0005-0000-0000-0000F92E0000}"/>
    <cellStyle name="Normal 2 2 2 4 7" xfId="21464" xr:uid="{00000000-0005-0000-0000-0000FA2E0000}"/>
    <cellStyle name="Normal 2 2 2 5" xfId="3534" xr:uid="{00000000-0005-0000-0000-0000FB2E0000}"/>
    <cellStyle name="Normal 2 2 2 5 2" xfId="3535" xr:uid="{00000000-0005-0000-0000-0000FC2E0000}"/>
    <cellStyle name="Normal 2 2 2 5 2 2" xfId="3536" xr:uid="{00000000-0005-0000-0000-0000FD2E0000}"/>
    <cellStyle name="Normal 2 2 2 5 2 2 2" xfId="3537" xr:uid="{00000000-0005-0000-0000-0000FE2E0000}"/>
    <cellStyle name="Normal 2 2 2 5 2 2 2 2" xfId="7678" xr:uid="{00000000-0005-0000-0000-0000FF2E0000}"/>
    <cellStyle name="Normal 2 2 2 5 2 2 2 2 2" xfId="16856" xr:uid="{00000000-0005-0000-0000-0000002F0000}"/>
    <cellStyle name="Normal 2 2 2 5 2 2 2 2 2 2" xfId="33430" xr:uid="{00000000-0005-0000-0000-0000012F0000}"/>
    <cellStyle name="Normal 2 2 2 5 2 2 2 2 3" xfId="25383" xr:uid="{00000000-0005-0000-0000-0000022F0000}"/>
    <cellStyle name="Normal 2 2 2 5 2 2 2 3" xfId="12980" xr:uid="{00000000-0005-0000-0000-0000032F0000}"/>
    <cellStyle name="Normal 2 2 2 5 2 2 2 3 2" xfId="29518" xr:uid="{00000000-0005-0000-0000-0000042F0000}"/>
    <cellStyle name="Normal 2 2 2 5 2 2 2 4" xfId="21475" xr:uid="{00000000-0005-0000-0000-0000052F0000}"/>
    <cellStyle name="Normal 2 2 2 5 2 2 3" xfId="7679" xr:uid="{00000000-0005-0000-0000-0000062F0000}"/>
    <cellStyle name="Normal 2 2 2 5 2 2 3 2" xfId="16857" xr:uid="{00000000-0005-0000-0000-0000072F0000}"/>
    <cellStyle name="Normal 2 2 2 5 2 2 3 2 2" xfId="33431" xr:uid="{00000000-0005-0000-0000-0000082F0000}"/>
    <cellStyle name="Normal 2 2 2 5 2 2 3 3" xfId="25384" xr:uid="{00000000-0005-0000-0000-0000092F0000}"/>
    <cellStyle name="Normal 2 2 2 5 2 2 4" xfId="12979" xr:uid="{00000000-0005-0000-0000-00000A2F0000}"/>
    <cellStyle name="Normal 2 2 2 5 2 2 4 2" xfId="29517" xr:uid="{00000000-0005-0000-0000-00000B2F0000}"/>
    <cellStyle name="Normal 2 2 2 5 2 2 5" xfId="21474" xr:uid="{00000000-0005-0000-0000-00000C2F0000}"/>
    <cellStyle name="Normal 2 2 2 5 2 3" xfId="3538" xr:uid="{00000000-0005-0000-0000-00000D2F0000}"/>
    <cellStyle name="Normal 2 2 2 5 2 3 2" xfId="7680" xr:uid="{00000000-0005-0000-0000-00000E2F0000}"/>
    <cellStyle name="Normal 2 2 2 5 2 3 2 2" xfId="16858" xr:uid="{00000000-0005-0000-0000-00000F2F0000}"/>
    <cellStyle name="Normal 2 2 2 5 2 3 2 2 2" xfId="33432" xr:uid="{00000000-0005-0000-0000-0000102F0000}"/>
    <cellStyle name="Normal 2 2 2 5 2 3 2 3" xfId="25385" xr:uid="{00000000-0005-0000-0000-0000112F0000}"/>
    <cellStyle name="Normal 2 2 2 5 2 3 3" xfId="12981" xr:uid="{00000000-0005-0000-0000-0000122F0000}"/>
    <cellStyle name="Normal 2 2 2 5 2 3 3 2" xfId="29519" xr:uid="{00000000-0005-0000-0000-0000132F0000}"/>
    <cellStyle name="Normal 2 2 2 5 2 3 4" xfId="21476" xr:uid="{00000000-0005-0000-0000-0000142F0000}"/>
    <cellStyle name="Normal 2 2 2 5 2 4" xfId="7681" xr:uid="{00000000-0005-0000-0000-0000152F0000}"/>
    <cellStyle name="Normal 2 2 2 5 2 4 2" xfId="16859" xr:uid="{00000000-0005-0000-0000-0000162F0000}"/>
    <cellStyle name="Normal 2 2 2 5 2 4 2 2" xfId="33433" xr:uid="{00000000-0005-0000-0000-0000172F0000}"/>
    <cellStyle name="Normal 2 2 2 5 2 4 3" xfId="25386" xr:uid="{00000000-0005-0000-0000-0000182F0000}"/>
    <cellStyle name="Normal 2 2 2 5 2 5" xfId="12978" xr:uid="{00000000-0005-0000-0000-0000192F0000}"/>
    <cellStyle name="Normal 2 2 2 5 2 5 2" xfId="29516" xr:uid="{00000000-0005-0000-0000-00001A2F0000}"/>
    <cellStyle name="Normal 2 2 2 5 2 6" xfId="21473" xr:uid="{00000000-0005-0000-0000-00001B2F0000}"/>
    <cellStyle name="Normal 2 2 2 5 3" xfId="3539" xr:uid="{00000000-0005-0000-0000-00001C2F0000}"/>
    <cellStyle name="Normal 2 2 2 5 3 2" xfId="3540" xr:uid="{00000000-0005-0000-0000-00001D2F0000}"/>
    <cellStyle name="Normal 2 2 2 5 3 2 2" xfId="7682" xr:uid="{00000000-0005-0000-0000-00001E2F0000}"/>
    <cellStyle name="Normal 2 2 2 5 3 2 2 2" xfId="16860" xr:uid="{00000000-0005-0000-0000-00001F2F0000}"/>
    <cellStyle name="Normal 2 2 2 5 3 2 2 2 2" xfId="33434" xr:uid="{00000000-0005-0000-0000-0000202F0000}"/>
    <cellStyle name="Normal 2 2 2 5 3 2 2 3" xfId="25387" xr:uid="{00000000-0005-0000-0000-0000212F0000}"/>
    <cellStyle name="Normal 2 2 2 5 3 2 3" xfId="12983" xr:uid="{00000000-0005-0000-0000-0000222F0000}"/>
    <cellStyle name="Normal 2 2 2 5 3 2 3 2" xfId="29521" xr:uid="{00000000-0005-0000-0000-0000232F0000}"/>
    <cellStyle name="Normal 2 2 2 5 3 2 4" xfId="21478" xr:uid="{00000000-0005-0000-0000-0000242F0000}"/>
    <cellStyle name="Normal 2 2 2 5 3 3" xfId="7683" xr:uid="{00000000-0005-0000-0000-0000252F0000}"/>
    <cellStyle name="Normal 2 2 2 5 3 3 2" xfId="16861" xr:uid="{00000000-0005-0000-0000-0000262F0000}"/>
    <cellStyle name="Normal 2 2 2 5 3 3 2 2" xfId="33435" xr:uid="{00000000-0005-0000-0000-0000272F0000}"/>
    <cellStyle name="Normal 2 2 2 5 3 3 3" xfId="25388" xr:uid="{00000000-0005-0000-0000-0000282F0000}"/>
    <cellStyle name="Normal 2 2 2 5 3 4" xfId="12982" xr:uid="{00000000-0005-0000-0000-0000292F0000}"/>
    <cellStyle name="Normal 2 2 2 5 3 4 2" xfId="29520" xr:uid="{00000000-0005-0000-0000-00002A2F0000}"/>
    <cellStyle name="Normal 2 2 2 5 3 5" xfId="21477" xr:uid="{00000000-0005-0000-0000-00002B2F0000}"/>
    <cellStyle name="Normal 2 2 2 5 4" xfId="3541" xr:uid="{00000000-0005-0000-0000-00002C2F0000}"/>
    <cellStyle name="Normal 2 2 2 5 4 2" xfId="7684" xr:uid="{00000000-0005-0000-0000-00002D2F0000}"/>
    <cellStyle name="Normal 2 2 2 5 4 2 2" xfId="16862" xr:uid="{00000000-0005-0000-0000-00002E2F0000}"/>
    <cellStyle name="Normal 2 2 2 5 4 2 2 2" xfId="33436" xr:uid="{00000000-0005-0000-0000-00002F2F0000}"/>
    <cellStyle name="Normal 2 2 2 5 4 2 3" xfId="25389" xr:uid="{00000000-0005-0000-0000-0000302F0000}"/>
    <cellStyle name="Normal 2 2 2 5 4 3" xfId="12984" xr:uid="{00000000-0005-0000-0000-0000312F0000}"/>
    <cellStyle name="Normal 2 2 2 5 4 3 2" xfId="29522" xr:uid="{00000000-0005-0000-0000-0000322F0000}"/>
    <cellStyle name="Normal 2 2 2 5 4 4" xfId="21479" xr:uid="{00000000-0005-0000-0000-0000332F0000}"/>
    <cellStyle name="Normal 2 2 2 5 5" xfId="7685" xr:uid="{00000000-0005-0000-0000-0000342F0000}"/>
    <cellStyle name="Normal 2 2 2 5 5 2" xfId="16863" xr:uid="{00000000-0005-0000-0000-0000352F0000}"/>
    <cellStyle name="Normal 2 2 2 5 5 2 2" xfId="33437" xr:uid="{00000000-0005-0000-0000-0000362F0000}"/>
    <cellStyle name="Normal 2 2 2 5 5 3" xfId="25390" xr:uid="{00000000-0005-0000-0000-0000372F0000}"/>
    <cellStyle name="Normal 2 2 2 5 6" xfId="12977" xr:uid="{00000000-0005-0000-0000-0000382F0000}"/>
    <cellStyle name="Normal 2 2 2 5 6 2" xfId="29515" xr:uid="{00000000-0005-0000-0000-0000392F0000}"/>
    <cellStyle name="Normal 2 2 2 5 7" xfId="21472" xr:uid="{00000000-0005-0000-0000-00003A2F0000}"/>
    <cellStyle name="Normal 2 2 2 6" xfId="3542" xr:uid="{00000000-0005-0000-0000-00003B2F0000}"/>
    <cellStyle name="Normal 2 2 2 6 2" xfId="3543" xr:uid="{00000000-0005-0000-0000-00003C2F0000}"/>
    <cellStyle name="Normal 2 2 2 6 2 2" xfId="3544" xr:uid="{00000000-0005-0000-0000-00003D2F0000}"/>
    <cellStyle name="Normal 2 2 2 6 2 2 2" xfId="7686" xr:uid="{00000000-0005-0000-0000-00003E2F0000}"/>
    <cellStyle name="Normal 2 2 2 6 2 2 2 2" xfId="16864" xr:uid="{00000000-0005-0000-0000-00003F2F0000}"/>
    <cellStyle name="Normal 2 2 2 6 2 2 2 2 2" xfId="33438" xr:uid="{00000000-0005-0000-0000-0000402F0000}"/>
    <cellStyle name="Normal 2 2 2 6 2 2 2 3" xfId="25391" xr:uid="{00000000-0005-0000-0000-0000412F0000}"/>
    <cellStyle name="Normal 2 2 2 6 2 2 3" xfId="12987" xr:uid="{00000000-0005-0000-0000-0000422F0000}"/>
    <cellStyle name="Normal 2 2 2 6 2 2 3 2" xfId="29525" xr:uid="{00000000-0005-0000-0000-0000432F0000}"/>
    <cellStyle name="Normal 2 2 2 6 2 2 4" xfId="21482" xr:uid="{00000000-0005-0000-0000-0000442F0000}"/>
    <cellStyle name="Normal 2 2 2 6 2 3" xfId="7687" xr:uid="{00000000-0005-0000-0000-0000452F0000}"/>
    <cellStyle name="Normal 2 2 2 6 2 3 2" xfId="16865" xr:uid="{00000000-0005-0000-0000-0000462F0000}"/>
    <cellStyle name="Normal 2 2 2 6 2 3 2 2" xfId="33439" xr:uid="{00000000-0005-0000-0000-0000472F0000}"/>
    <cellStyle name="Normal 2 2 2 6 2 3 3" xfId="25392" xr:uid="{00000000-0005-0000-0000-0000482F0000}"/>
    <cellStyle name="Normal 2 2 2 6 2 4" xfId="12986" xr:uid="{00000000-0005-0000-0000-0000492F0000}"/>
    <cellStyle name="Normal 2 2 2 6 2 4 2" xfId="29524" xr:uid="{00000000-0005-0000-0000-00004A2F0000}"/>
    <cellStyle name="Normal 2 2 2 6 2 5" xfId="21481" xr:uid="{00000000-0005-0000-0000-00004B2F0000}"/>
    <cellStyle name="Normal 2 2 2 6 3" xfId="3545" xr:uid="{00000000-0005-0000-0000-00004C2F0000}"/>
    <cellStyle name="Normal 2 2 2 6 3 2" xfId="7688" xr:uid="{00000000-0005-0000-0000-00004D2F0000}"/>
    <cellStyle name="Normal 2 2 2 6 3 2 2" xfId="16866" xr:uid="{00000000-0005-0000-0000-00004E2F0000}"/>
    <cellStyle name="Normal 2 2 2 6 3 2 2 2" xfId="33440" xr:uid="{00000000-0005-0000-0000-00004F2F0000}"/>
    <cellStyle name="Normal 2 2 2 6 3 2 3" xfId="25393" xr:uid="{00000000-0005-0000-0000-0000502F0000}"/>
    <cellStyle name="Normal 2 2 2 6 3 3" xfId="12988" xr:uid="{00000000-0005-0000-0000-0000512F0000}"/>
    <cellStyle name="Normal 2 2 2 6 3 3 2" xfId="29526" xr:uid="{00000000-0005-0000-0000-0000522F0000}"/>
    <cellStyle name="Normal 2 2 2 6 3 4" xfId="21483" xr:uid="{00000000-0005-0000-0000-0000532F0000}"/>
    <cellStyle name="Normal 2 2 2 6 4" xfId="7689" xr:uid="{00000000-0005-0000-0000-0000542F0000}"/>
    <cellStyle name="Normal 2 2 2 6 4 2" xfId="16867" xr:uid="{00000000-0005-0000-0000-0000552F0000}"/>
    <cellStyle name="Normal 2 2 2 6 4 2 2" xfId="33441" xr:uid="{00000000-0005-0000-0000-0000562F0000}"/>
    <cellStyle name="Normal 2 2 2 6 4 3" xfId="25394" xr:uid="{00000000-0005-0000-0000-0000572F0000}"/>
    <cellStyle name="Normal 2 2 2 6 5" xfId="12985" xr:uid="{00000000-0005-0000-0000-0000582F0000}"/>
    <cellStyle name="Normal 2 2 2 6 5 2" xfId="29523" xr:uid="{00000000-0005-0000-0000-0000592F0000}"/>
    <cellStyle name="Normal 2 2 2 6 6" xfId="21480" xr:uid="{00000000-0005-0000-0000-00005A2F0000}"/>
    <cellStyle name="Normal 2 2 2 7" xfId="3546" xr:uid="{00000000-0005-0000-0000-00005B2F0000}"/>
    <cellStyle name="Normal 2 2 2 7 2" xfId="3547" xr:uid="{00000000-0005-0000-0000-00005C2F0000}"/>
    <cellStyle name="Normal 2 2 2 7 2 2" xfId="7690" xr:uid="{00000000-0005-0000-0000-00005D2F0000}"/>
    <cellStyle name="Normal 2 2 2 7 2 2 2" xfId="16868" xr:uid="{00000000-0005-0000-0000-00005E2F0000}"/>
    <cellStyle name="Normal 2 2 2 7 2 2 2 2" xfId="33442" xr:uid="{00000000-0005-0000-0000-00005F2F0000}"/>
    <cellStyle name="Normal 2 2 2 7 2 2 3" xfId="25395" xr:uid="{00000000-0005-0000-0000-0000602F0000}"/>
    <cellStyle name="Normal 2 2 2 7 2 3" xfId="12990" xr:uid="{00000000-0005-0000-0000-0000612F0000}"/>
    <cellStyle name="Normal 2 2 2 7 2 3 2" xfId="29528" xr:uid="{00000000-0005-0000-0000-0000622F0000}"/>
    <cellStyle name="Normal 2 2 2 7 2 4" xfId="21485" xr:uid="{00000000-0005-0000-0000-0000632F0000}"/>
    <cellStyle name="Normal 2 2 2 7 3" xfId="7691" xr:uid="{00000000-0005-0000-0000-0000642F0000}"/>
    <cellStyle name="Normal 2 2 2 7 3 2" xfId="16869" xr:uid="{00000000-0005-0000-0000-0000652F0000}"/>
    <cellStyle name="Normal 2 2 2 7 3 2 2" xfId="33443" xr:uid="{00000000-0005-0000-0000-0000662F0000}"/>
    <cellStyle name="Normal 2 2 2 7 3 3" xfId="25396" xr:uid="{00000000-0005-0000-0000-0000672F0000}"/>
    <cellStyle name="Normal 2 2 2 7 4" xfId="12989" xr:uid="{00000000-0005-0000-0000-0000682F0000}"/>
    <cellStyle name="Normal 2 2 2 7 4 2" xfId="29527" xr:uid="{00000000-0005-0000-0000-0000692F0000}"/>
    <cellStyle name="Normal 2 2 2 7 5" xfId="21484" xr:uid="{00000000-0005-0000-0000-00006A2F0000}"/>
    <cellStyle name="Normal 2 2 2 8" xfId="3548" xr:uid="{00000000-0005-0000-0000-00006B2F0000}"/>
    <cellStyle name="Normal 2 2 2 8 2" xfId="7692" xr:uid="{00000000-0005-0000-0000-00006C2F0000}"/>
    <cellStyle name="Normal 2 2 2 8 2 2" xfId="16870" xr:uid="{00000000-0005-0000-0000-00006D2F0000}"/>
    <cellStyle name="Normal 2 2 2 8 2 2 2" xfId="33444" xr:uid="{00000000-0005-0000-0000-00006E2F0000}"/>
    <cellStyle name="Normal 2 2 2 8 2 3" xfId="25397" xr:uid="{00000000-0005-0000-0000-00006F2F0000}"/>
    <cellStyle name="Normal 2 2 2 8 3" xfId="12991" xr:uid="{00000000-0005-0000-0000-0000702F0000}"/>
    <cellStyle name="Normal 2 2 2 8 3 2" xfId="29529" xr:uid="{00000000-0005-0000-0000-0000712F0000}"/>
    <cellStyle name="Normal 2 2 2 8 4" xfId="21486" xr:uid="{00000000-0005-0000-0000-0000722F0000}"/>
    <cellStyle name="Normal 2 2 2 9" xfId="7693" xr:uid="{00000000-0005-0000-0000-0000732F0000}"/>
    <cellStyle name="Normal 2 2 2 9 2" xfId="16871" xr:uid="{00000000-0005-0000-0000-0000742F0000}"/>
    <cellStyle name="Normal 2 2 2 9 2 2" xfId="33445" xr:uid="{00000000-0005-0000-0000-0000752F0000}"/>
    <cellStyle name="Normal 2 2 2 9 3" xfId="25398" xr:uid="{00000000-0005-0000-0000-0000762F0000}"/>
    <cellStyle name="Normal 2 2 3" xfId="81" xr:uid="{00000000-0005-0000-0000-0000772F0000}"/>
    <cellStyle name="Normal 2 2 3 10" xfId="10414" xr:uid="{00000000-0005-0000-0000-0000782F0000}"/>
    <cellStyle name="Normal 2 2 3 11" xfId="3549" xr:uid="{00000000-0005-0000-0000-0000792F0000}"/>
    <cellStyle name="Normal 2 2 3 11 2" xfId="29530" xr:uid="{00000000-0005-0000-0000-00007A2F0000}"/>
    <cellStyle name="Normal 2 2 3 12" xfId="21487" xr:uid="{00000000-0005-0000-0000-00007B2F0000}"/>
    <cellStyle name="Normal 2 2 3 2" xfId="248" xr:uid="{00000000-0005-0000-0000-00007C2F0000}"/>
    <cellStyle name="Normal 2 2 3 2 2" xfId="3551" xr:uid="{00000000-0005-0000-0000-00007D2F0000}"/>
    <cellStyle name="Normal 2 2 3 2 3" xfId="3550" xr:uid="{00000000-0005-0000-0000-00007E2F0000}"/>
    <cellStyle name="Normal 2 2 3 2 3 2" xfId="29531" xr:uid="{00000000-0005-0000-0000-00007F2F0000}"/>
    <cellStyle name="Normal 2 2 3 2 4" xfId="21488" xr:uid="{00000000-0005-0000-0000-0000802F0000}"/>
    <cellStyle name="Normal 2 2 3 3" xfId="3552" xr:uid="{00000000-0005-0000-0000-0000812F0000}"/>
    <cellStyle name="Normal 2 2 3 3 2" xfId="3553" xr:uid="{00000000-0005-0000-0000-0000822F0000}"/>
    <cellStyle name="Normal 2 2 3 3 2 2" xfId="3554" xr:uid="{00000000-0005-0000-0000-0000832F0000}"/>
    <cellStyle name="Normal 2 2 3 3 2 2 2" xfId="3555" xr:uid="{00000000-0005-0000-0000-0000842F0000}"/>
    <cellStyle name="Normal 2 2 3 3 2 2 2 2" xfId="7694" xr:uid="{00000000-0005-0000-0000-0000852F0000}"/>
    <cellStyle name="Normal 2 2 3 3 2 2 2 2 2" xfId="16872" xr:uid="{00000000-0005-0000-0000-0000862F0000}"/>
    <cellStyle name="Normal 2 2 3 3 2 2 2 2 2 2" xfId="33446" xr:uid="{00000000-0005-0000-0000-0000872F0000}"/>
    <cellStyle name="Normal 2 2 3 3 2 2 2 2 3" xfId="25399" xr:uid="{00000000-0005-0000-0000-0000882F0000}"/>
    <cellStyle name="Normal 2 2 3 3 2 2 2 3" xfId="12994" xr:uid="{00000000-0005-0000-0000-0000892F0000}"/>
    <cellStyle name="Normal 2 2 3 3 2 2 2 3 2" xfId="29534" xr:uid="{00000000-0005-0000-0000-00008A2F0000}"/>
    <cellStyle name="Normal 2 2 3 3 2 2 2 4" xfId="21491" xr:uid="{00000000-0005-0000-0000-00008B2F0000}"/>
    <cellStyle name="Normal 2 2 3 3 2 2 3" xfId="7695" xr:uid="{00000000-0005-0000-0000-00008C2F0000}"/>
    <cellStyle name="Normal 2 2 3 3 2 2 3 2" xfId="16873" xr:uid="{00000000-0005-0000-0000-00008D2F0000}"/>
    <cellStyle name="Normal 2 2 3 3 2 2 3 2 2" xfId="33447" xr:uid="{00000000-0005-0000-0000-00008E2F0000}"/>
    <cellStyle name="Normal 2 2 3 3 2 2 3 3" xfId="25400" xr:uid="{00000000-0005-0000-0000-00008F2F0000}"/>
    <cellStyle name="Normal 2 2 3 3 2 2 4" xfId="12993" xr:uid="{00000000-0005-0000-0000-0000902F0000}"/>
    <cellStyle name="Normal 2 2 3 3 2 2 4 2" xfId="29533" xr:uid="{00000000-0005-0000-0000-0000912F0000}"/>
    <cellStyle name="Normal 2 2 3 3 2 2 5" xfId="21490" xr:uid="{00000000-0005-0000-0000-0000922F0000}"/>
    <cellStyle name="Normal 2 2 3 3 2 3" xfId="3556" xr:uid="{00000000-0005-0000-0000-0000932F0000}"/>
    <cellStyle name="Normal 2 2 3 3 2 3 2" xfId="7696" xr:uid="{00000000-0005-0000-0000-0000942F0000}"/>
    <cellStyle name="Normal 2 2 3 3 2 3 2 2" xfId="16874" xr:uid="{00000000-0005-0000-0000-0000952F0000}"/>
    <cellStyle name="Normal 2 2 3 3 2 3 2 2 2" xfId="33448" xr:uid="{00000000-0005-0000-0000-0000962F0000}"/>
    <cellStyle name="Normal 2 2 3 3 2 3 2 3" xfId="25401" xr:uid="{00000000-0005-0000-0000-0000972F0000}"/>
    <cellStyle name="Normal 2 2 3 3 2 3 3" xfId="12995" xr:uid="{00000000-0005-0000-0000-0000982F0000}"/>
    <cellStyle name="Normal 2 2 3 3 2 3 3 2" xfId="29535" xr:uid="{00000000-0005-0000-0000-0000992F0000}"/>
    <cellStyle name="Normal 2 2 3 3 2 3 4" xfId="21492" xr:uid="{00000000-0005-0000-0000-00009A2F0000}"/>
    <cellStyle name="Normal 2 2 3 3 2 4" xfId="7697" xr:uid="{00000000-0005-0000-0000-00009B2F0000}"/>
    <cellStyle name="Normal 2 2 3 3 2 4 2" xfId="16875" xr:uid="{00000000-0005-0000-0000-00009C2F0000}"/>
    <cellStyle name="Normal 2 2 3 3 2 4 2 2" xfId="33449" xr:uid="{00000000-0005-0000-0000-00009D2F0000}"/>
    <cellStyle name="Normal 2 2 3 3 2 4 3" xfId="25402" xr:uid="{00000000-0005-0000-0000-00009E2F0000}"/>
    <cellStyle name="Normal 2 2 3 3 2 5" xfId="12992" xr:uid="{00000000-0005-0000-0000-00009F2F0000}"/>
    <cellStyle name="Normal 2 2 3 3 2 5 2" xfId="29532" xr:uid="{00000000-0005-0000-0000-0000A02F0000}"/>
    <cellStyle name="Normal 2 2 3 3 2 6" xfId="21489" xr:uid="{00000000-0005-0000-0000-0000A12F0000}"/>
    <cellStyle name="Normal 2 2 3 3 3" xfId="3557" xr:uid="{00000000-0005-0000-0000-0000A22F0000}"/>
    <cellStyle name="Normal 2 2 3 3 3 2" xfId="3558" xr:uid="{00000000-0005-0000-0000-0000A32F0000}"/>
    <cellStyle name="Normal 2 2 3 3 3 2 2" xfId="7698" xr:uid="{00000000-0005-0000-0000-0000A42F0000}"/>
    <cellStyle name="Normal 2 2 3 3 3 2 2 2" xfId="16876" xr:uid="{00000000-0005-0000-0000-0000A52F0000}"/>
    <cellStyle name="Normal 2 2 3 3 3 2 2 2 2" xfId="33450" xr:uid="{00000000-0005-0000-0000-0000A62F0000}"/>
    <cellStyle name="Normal 2 2 3 3 3 2 2 3" xfId="25403" xr:uid="{00000000-0005-0000-0000-0000A72F0000}"/>
    <cellStyle name="Normal 2 2 3 3 3 2 3" xfId="12997" xr:uid="{00000000-0005-0000-0000-0000A82F0000}"/>
    <cellStyle name="Normal 2 2 3 3 3 2 3 2" xfId="29537" xr:uid="{00000000-0005-0000-0000-0000A92F0000}"/>
    <cellStyle name="Normal 2 2 3 3 3 2 4" xfId="21494" xr:uid="{00000000-0005-0000-0000-0000AA2F0000}"/>
    <cellStyle name="Normal 2 2 3 3 3 3" xfId="7699" xr:uid="{00000000-0005-0000-0000-0000AB2F0000}"/>
    <cellStyle name="Normal 2 2 3 3 3 3 2" xfId="16877" xr:uid="{00000000-0005-0000-0000-0000AC2F0000}"/>
    <cellStyle name="Normal 2 2 3 3 3 3 2 2" xfId="33451" xr:uid="{00000000-0005-0000-0000-0000AD2F0000}"/>
    <cellStyle name="Normal 2 2 3 3 3 3 3" xfId="25404" xr:uid="{00000000-0005-0000-0000-0000AE2F0000}"/>
    <cellStyle name="Normal 2 2 3 3 3 4" xfId="12996" xr:uid="{00000000-0005-0000-0000-0000AF2F0000}"/>
    <cellStyle name="Normal 2 2 3 3 3 4 2" xfId="29536" xr:uid="{00000000-0005-0000-0000-0000B02F0000}"/>
    <cellStyle name="Normal 2 2 3 3 3 5" xfId="21493" xr:uid="{00000000-0005-0000-0000-0000B12F0000}"/>
    <cellStyle name="Normal 2 2 3 3 4" xfId="3559" xr:uid="{00000000-0005-0000-0000-0000B22F0000}"/>
    <cellStyle name="Normal 2 2 3 3 4 2" xfId="7700" xr:uid="{00000000-0005-0000-0000-0000B32F0000}"/>
    <cellStyle name="Normal 2 2 3 3 4 2 2" xfId="16878" xr:uid="{00000000-0005-0000-0000-0000B42F0000}"/>
    <cellStyle name="Normal 2 2 3 3 4 2 2 2" xfId="33452" xr:uid="{00000000-0005-0000-0000-0000B52F0000}"/>
    <cellStyle name="Normal 2 2 3 3 4 2 3" xfId="25405" xr:uid="{00000000-0005-0000-0000-0000B62F0000}"/>
    <cellStyle name="Normal 2 2 3 3 4 3" xfId="12998" xr:uid="{00000000-0005-0000-0000-0000B72F0000}"/>
    <cellStyle name="Normal 2 2 3 3 4 3 2" xfId="29538" xr:uid="{00000000-0005-0000-0000-0000B82F0000}"/>
    <cellStyle name="Normal 2 2 3 3 4 4" xfId="21495" xr:uid="{00000000-0005-0000-0000-0000B92F0000}"/>
    <cellStyle name="Normal 2 2 3 3 5" xfId="3560" xr:uid="{00000000-0005-0000-0000-0000BA2F0000}"/>
    <cellStyle name="Normal 2 2 3 3 5 2" xfId="12999" xr:uid="{00000000-0005-0000-0000-0000BB2F0000}"/>
    <cellStyle name="Normal 2 2 3 3 5 2 2" xfId="29539" xr:uid="{00000000-0005-0000-0000-0000BC2F0000}"/>
    <cellStyle name="Normal 2 2 3 3 5 3" xfId="21496" xr:uid="{00000000-0005-0000-0000-0000BD2F0000}"/>
    <cellStyle name="Normal 2 2 3 4" xfId="3561" xr:uid="{00000000-0005-0000-0000-0000BE2F0000}"/>
    <cellStyle name="Normal 2 2 3 4 2" xfId="3562" xr:uid="{00000000-0005-0000-0000-0000BF2F0000}"/>
    <cellStyle name="Normal 2 2 3 4 2 2" xfId="3563" xr:uid="{00000000-0005-0000-0000-0000C02F0000}"/>
    <cellStyle name="Normal 2 2 3 4 2 2 2" xfId="3564" xr:uid="{00000000-0005-0000-0000-0000C12F0000}"/>
    <cellStyle name="Normal 2 2 3 4 2 2 2 2" xfId="7701" xr:uid="{00000000-0005-0000-0000-0000C22F0000}"/>
    <cellStyle name="Normal 2 2 3 4 2 2 2 2 2" xfId="16879" xr:uid="{00000000-0005-0000-0000-0000C32F0000}"/>
    <cellStyle name="Normal 2 2 3 4 2 2 2 2 2 2" xfId="33453" xr:uid="{00000000-0005-0000-0000-0000C42F0000}"/>
    <cellStyle name="Normal 2 2 3 4 2 2 2 2 3" xfId="25406" xr:uid="{00000000-0005-0000-0000-0000C52F0000}"/>
    <cellStyle name="Normal 2 2 3 4 2 2 2 3" xfId="13003" xr:uid="{00000000-0005-0000-0000-0000C62F0000}"/>
    <cellStyle name="Normal 2 2 3 4 2 2 2 3 2" xfId="29543" xr:uid="{00000000-0005-0000-0000-0000C72F0000}"/>
    <cellStyle name="Normal 2 2 3 4 2 2 2 4" xfId="21500" xr:uid="{00000000-0005-0000-0000-0000C82F0000}"/>
    <cellStyle name="Normal 2 2 3 4 2 2 3" xfId="7702" xr:uid="{00000000-0005-0000-0000-0000C92F0000}"/>
    <cellStyle name="Normal 2 2 3 4 2 2 3 2" xfId="16880" xr:uid="{00000000-0005-0000-0000-0000CA2F0000}"/>
    <cellStyle name="Normal 2 2 3 4 2 2 3 2 2" xfId="33454" xr:uid="{00000000-0005-0000-0000-0000CB2F0000}"/>
    <cellStyle name="Normal 2 2 3 4 2 2 3 3" xfId="25407" xr:uid="{00000000-0005-0000-0000-0000CC2F0000}"/>
    <cellStyle name="Normal 2 2 3 4 2 2 4" xfId="13002" xr:uid="{00000000-0005-0000-0000-0000CD2F0000}"/>
    <cellStyle name="Normal 2 2 3 4 2 2 4 2" xfId="29542" xr:uid="{00000000-0005-0000-0000-0000CE2F0000}"/>
    <cellStyle name="Normal 2 2 3 4 2 2 5" xfId="21499" xr:uid="{00000000-0005-0000-0000-0000CF2F0000}"/>
    <cellStyle name="Normal 2 2 3 4 2 3" xfId="3565" xr:uid="{00000000-0005-0000-0000-0000D02F0000}"/>
    <cellStyle name="Normal 2 2 3 4 2 3 2" xfId="7703" xr:uid="{00000000-0005-0000-0000-0000D12F0000}"/>
    <cellStyle name="Normal 2 2 3 4 2 3 2 2" xfId="16881" xr:uid="{00000000-0005-0000-0000-0000D22F0000}"/>
    <cellStyle name="Normal 2 2 3 4 2 3 2 2 2" xfId="33455" xr:uid="{00000000-0005-0000-0000-0000D32F0000}"/>
    <cellStyle name="Normal 2 2 3 4 2 3 2 3" xfId="25408" xr:uid="{00000000-0005-0000-0000-0000D42F0000}"/>
    <cellStyle name="Normal 2 2 3 4 2 3 3" xfId="13004" xr:uid="{00000000-0005-0000-0000-0000D52F0000}"/>
    <cellStyle name="Normal 2 2 3 4 2 3 3 2" xfId="29544" xr:uid="{00000000-0005-0000-0000-0000D62F0000}"/>
    <cellStyle name="Normal 2 2 3 4 2 3 4" xfId="21501" xr:uid="{00000000-0005-0000-0000-0000D72F0000}"/>
    <cellStyle name="Normal 2 2 3 4 2 4" xfId="7704" xr:uid="{00000000-0005-0000-0000-0000D82F0000}"/>
    <cellStyle name="Normal 2 2 3 4 2 4 2" xfId="16882" xr:uid="{00000000-0005-0000-0000-0000D92F0000}"/>
    <cellStyle name="Normal 2 2 3 4 2 4 2 2" xfId="33456" xr:uid="{00000000-0005-0000-0000-0000DA2F0000}"/>
    <cellStyle name="Normal 2 2 3 4 2 4 3" xfId="25409" xr:uid="{00000000-0005-0000-0000-0000DB2F0000}"/>
    <cellStyle name="Normal 2 2 3 4 2 5" xfId="13001" xr:uid="{00000000-0005-0000-0000-0000DC2F0000}"/>
    <cellStyle name="Normal 2 2 3 4 2 5 2" xfId="29541" xr:uid="{00000000-0005-0000-0000-0000DD2F0000}"/>
    <cellStyle name="Normal 2 2 3 4 2 6" xfId="21498" xr:uid="{00000000-0005-0000-0000-0000DE2F0000}"/>
    <cellStyle name="Normal 2 2 3 4 3" xfId="3566" xr:uid="{00000000-0005-0000-0000-0000DF2F0000}"/>
    <cellStyle name="Normal 2 2 3 4 3 2" xfId="3567" xr:uid="{00000000-0005-0000-0000-0000E02F0000}"/>
    <cellStyle name="Normal 2 2 3 4 3 2 2" xfId="7705" xr:uid="{00000000-0005-0000-0000-0000E12F0000}"/>
    <cellStyle name="Normal 2 2 3 4 3 2 2 2" xfId="16883" xr:uid="{00000000-0005-0000-0000-0000E22F0000}"/>
    <cellStyle name="Normal 2 2 3 4 3 2 2 2 2" xfId="33457" xr:uid="{00000000-0005-0000-0000-0000E32F0000}"/>
    <cellStyle name="Normal 2 2 3 4 3 2 2 3" xfId="25410" xr:uid="{00000000-0005-0000-0000-0000E42F0000}"/>
    <cellStyle name="Normal 2 2 3 4 3 2 3" xfId="13006" xr:uid="{00000000-0005-0000-0000-0000E52F0000}"/>
    <cellStyle name="Normal 2 2 3 4 3 2 3 2" xfId="29546" xr:uid="{00000000-0005-0000-0000-0000E62F0000}"/>
    <cellStyle name="Normal 2 2 3 4 3 2 4" xfId="21503" xr:uid="{00000000-0005-0000-0000-0000E72F0000}"/>
    <cellStyle name="Normal 2 2 3 4 3 3" xfId="7706" xr:uid="{00000000-0005-0000-0000-0000E82F0000}"/>
    <cellStyle name="Normal 2 2 3 4 3 3 2" xfId="16884" xr:uid="{00000000-0005-0000-0000-0000E92F0000}"/>
    <cellStyle name="Normal 2 2 3 4 3 3 2 2" xfId="33458" xr:uid="{00000000-0005-0000-0000-0000EA2F0000}"/>
    <cellStyle name="Normal 2 2 3 4 3 3 3" xfId="25411" xr:uid="{00000000-0005-0000-0000-0000EB2F0000}"/>
    <cellStyle name="Normal 2 2 3 4 3 4" xfId="13005" xr:uid="{00000000-0005-0000-0000-0000EC2F0000}"/>
    <cellStyle name="Normal 2 2 3 4 3 4 2" xfId="29545" xr:uid="{00000000-0005-0000-0000-0000ED2F0000}"/>
    <cellStyle name="Normal 2 2 3 4 3 5" xfId="21502" xr:uid="{00000000-0005-0000-0000-0000EE2F0000}"/>
    <cellStyle name="Normal 2 2 3 4 4" xfId="3568" xr:uid="{00000000-0005-0000-0000-0000EF2F0000}"/>
    <cellStyle name="Normal 2 2 3 4 4 2" xfId="7707" xr:uid="{00000000-0005-0000-0000-0000F02F0000}"/>
    <cellStyle name="Normal 2 2 3 4 4 2 2" xfId="16885" xr:uid="{00000000-0005-0000-0000-0000F12F0000}"/>
    <cellStyle name="Normal 2 2 3 4 4 2 2 2" xfId="33459" xr:uid="{00000000-0005-0000-0000-0000F22F0000}"/>
    <cellStyle name="Normal 2 2 3 4 4 2 3" xfId="25412" xr:uid="{00000000-0005-0000-0000-0000F32F0000}"/>
    <cellStyle name="Normal 2 2 3 4 4 3" xfId="13007" xr:uid="{00000000-0005-0000-0000-0000F42F0000}"/>
    <cellStyle name="Normal 2 2 3 4 4 3 2" xfId="29547" xr:uid="{00000000-0005-0000-0000-0000F52F0000}"/>
    <cellStyle name="Normal 2 2 3 4 4 4" xfId="21504" xr:uid="{00000000-0005-0000-0000-0000F62F0000}"/>
    <cellStyle name="Normal 2 2 3 4 5" xfId="7708" xr:uid="{00000000-0005-0000-0000-0000F72F0000}"/>
    <cellStyle name="Normal 2 2 3 4 5 2" xfId="16886" xr:uid="{00000000-0005-0000-0000-0000F82F0000}"/>
    <cellStyle name="Normal 2 2 3 4 5 2 2" xfId="33460" xr:uid="{00000000-0005-0000-0000-0000F92F0000}"/>
    <cellStyle name="Normal 2 2 3 4 5 3" xfId="25413" xr:uid="{00000000-0005-0000-0000-0000FA2F0000}"/>
    <cellStyle name="Normal 2 2 3 4 6" xfId="13000" xr:uid="{00000000-0005-0000-0000-0000FB2F0000}"/>
    <cellStyle name="Normal 2 2 3 4 6 2" xfId="29540" xr:uid="{00000000-0005-0000-0000-0000FC2F0000}"/>
    <cellStyle name="Normal 2 2 3 4 7" xfId="21497" xr:uid="{00000000-0005-0000-0000-0000FD2F0000}"/>
    <cellStyle name="Normal 2 2 3 5" xfId="3569" xr:uid="{00000000-0005-0000-0000-0000FE2F0000}"/>
    <cellStyle name="Normal 2 2 3 5 2" xfId="3570" xr:uid="{00000000-0005-0000-0000-0000FF2F0000}"/>
    <cellStyle name="Normal 2 2 3 5 2 2" xfId="3571" xr:uid="{00000000-0005-0000-0000-000000300000}"/>
    <cellStyle name="Normal 2 2 3 5 2 2 2" xfId="3572" xr:uid="{00000000-0005-0000-0000-000001300000}"/>
    <cellStyle name="Normal 2 2 3 5 2 2 2 2" xfId="7709" xr:uid="{00000000-0005-0000-0000-000002300000}"/>
    <cellStyle name="Normal 2 2 3 5 2 2 2 2 2" xfId="16887" xr:uid="{00000000-0005-0000-0000-000003300000}"/>
    <cellStyle name="Normal 2 2 3 5 2 2 2 2 2 2" xfId="33461" xr:uid="{00000000-0005-0000-0000-000004300000}"/>
    <cellStyle name="Normal 2 2 3 5 2 2 2 2 3" xfId="25414" xr:uid="{00000000-0005-0000-0000-000005300000}"/>
    <cellStyle name="Normal 2 2 3 5 2 2 2 3" xfId="13011" xr:uid="{00000000-0005-0000-0000-000006300000}"/>
    <cellStyle name="Normal 2 2 3 5 2 2 2 3 2" xfId="29551" xr:uid="{00000000-0005-0000-0000-000007300000}"/>
    <cellStyle name="Normal 2 2 3 5 2 2 2 4" xfId="21508" xr:uid="{00000000-0005-0000-0000-000008300000}"/>
    <cellStyle name="Normal 2 2 3 5 2 2 3" xfId="7710" xr:uid="{00000000-0005-0000-0000-000009300000}"/>
    <cellStyle name="Normal 2 2 3 5 2 2 3 2" xfId="16888" xr:uid="{00000000-0005-0000-0000-00000A300000}"/>
    <cellStyle name="Normal 2 2 3 5 2 2 3 2 2" xfId="33462" xr:uid="{00000000-0005-0000-0000-00000B300000}"/>
    <cellStyle name="Normal 2 2 3 5 2 2 3 3" xfId="25415" xr:uid="{00000000-0005-0000-0000-00000C300000}"/>
    <cellStyle name="Normal 2 2 3 5 2 2 4" xfId="13010" xr:uid="{00000000-0005-0000-0000-00000D300000}"/>
    <cellStyle name="Normal 2 2 3 5 2 2 4 2" xfId="29550" xr:uid="{00000000-0005-0000-0000-00000E300000}"/>
    <cellStyle name="Normal 2 2 3 5 2 2 5" xfId="21507" xr:uid="{00000000-0005-0000-0000-00000F300000}"/>
    <cellStyle name="Normal 2 2 3 5 2 3" xfId="3573" xr:uid="{00000000-0005-0000-0000-000010300000}"/>
    <cellStyle name="Normal 2 2 3 5 2 3 2" xfId="7711" xr:uid="{00000000-0005-0000-0000-000011300000}"/>
    <cellStyle name="Normal 2 2 3 5 2 3 2 2" xfId="16889" xr:uid="{00000000-0005-0000-0000-000012300000}"/>
    <cellStyle name="Normal 2 2 3 5 2 3 2 2 2" xfId="33463" xr:uid="{00000000-0005-0000-0000-000013300000}"/>
    <cellStyle name="Normal 2 2 3 5 2 3 2 3" xfId="25416" xr:uid="{00000000-0005-0000-0000-000014300000}"/>
    <cellStyle name="Normal 2 2 3 5 2 3 3" xfId="13012" xr:uid="{00000000-0005-0000-0000-000015300000}"/>
    <cellStyle name="Normal 2 2 3 5 2 3 3 2" xfId="29552" xr:uid="{00000000-0005-0000-0000-000016300000}"/>
    <cellStyle name="Normal 2 2 3 5 2 3 4" xfId="21509" xr:uid="{00000000-0005-0000-0000-000017300000}"/>
    <cellStyle name="Normal 2 2 3 5 2 4" xfId="7712" xr:uid="{00000000-0005-0000-0000-000018300000}"/>
    <cellStyle name="Normal 2 2 3 5 2 4 2" xfId="16890" xr:uid="{00000000-0005-0000-0000-000019300000}"/>
    <cellStyle name="Normal 2 2 3 5 2 4 2 2" xfId="33464" xr:uid="{00000000-0005-0000-0000-00001A300000}"/>
    <cellStyle name="Normal 2 2 3 5 2 4 3" xfId="25417" xr:uid="{00000000-0005-0000-0000-00001B300000}"/>
    <cellStyle name="Normal 2 2 3 5 2 5" xfId="13009" xr:uid="{00000000-0005-0000-0000-00001C300000}"/>
    <cellStyle name="Normal 2 2 3 5 2 5 2" xfId="29549" xr:uid="{00000000-0005-0000-0000-00001D300000}"/>
    <cellStyle name="Normal 2 2 3 5 2 6" xfId="21506" xr:uid="{00000000-0005-0000-0000-00001E300000}"/>
    <cellStyle name="Normal 2 2 3 5 3" xfId="3574" xr:uid="{00000000-0005-0000-0000-00001F300000}"/>
    <cellStyle name="Normal 2 2 3 5 3 2" xfId="3575" xr:uid="{00000000-0005-0000-0000-000020300000}"/>
    <cellStyle name="Normal 2 2 3 5 3 2 2" xfId="7713" xr:uid="{00000000-0005-0000-0000-000021300000}"/>
    <cellStyle name="Normal 2 2 3 5 3 2 2 2" xfId="16891" xr:uid="{00000000-0005-0000-0000-000022300000}"/>
    <cellStyle name="Normal 2 2 3 5 3 2 2 2 2" xfId="33465" xr:uid="{00000000-0005-0000-0000-000023300000}"/>
    <cellStyle name="Normal 2 2 3 5 3 2 2 3" xfId="25418" xr:uid="{00000000-0005-0000-0000-000024300000}"/>
    <cellStyle name="Normal 2 2 3 5 3 2 3" xfId="13014" xr:uid="{00000000-0005-0000-0000-000025300000}"/>
    <cellStyle name="Normal 2 2 3 5 3 2 3 2" xfId="29554" xr:uid="{00000000-0005-0000-0000-000026300000}"/>
    <cellStyle name="Normal 2 2 3 5 3 2 4" xfId="21511" xr:uid="{00000000-0005-0000-0000-000027300000}"/>
    <cellStyle name="Normal 2 2 3 5 3 3" xfId="7714" xr:uid="{00000000-0005-0000-0000-000028300000}"/>
    <cellStyle name="Normal 2 2 3 5 3 3 2" xfId="16892" xr:uid="{00000000-0005-0000-0000-000029300000}"/>
    <cellStyle name="Normal 2 2 3 5 3 3 2 2" xfId="33466" xr:uid="{00000000-0005-0000-0000-00002A300000}"/>
    <cellStyle name="Normal 2 2 3 5 3 3 3" xfId="25419" xr:uid="{00000000-0005-0000-0000-00002B300000}"/>
    <cellStyle name="Normal 2 2 3 5 3 4" xfId="13013" xr:uid="{00000000-0005-0000-0000-00002C300000}"/>
    <cellStyle name="Normal 2 2 3 5 3 4 2" xfId="29553" xr:uid="{00000000-0005-0000-0000-00002D300000}"/>
    <cellStyle name="Normal 2 2 3 5 3 5" xfId="21510" xr:uid="{00000000-0005-0000-0000-00002E300000}"/>
    <cellStyle name="Normal 2 2 3 5 4" xfId="3576" xr:uid="{00000000-0005-0000-0000-00002F300000}"/>
    <cellStyle name="Normal 2 2 3 5 4 2" xfId="7715" xr:uid="{00000000-0005-0000-0000-000030300000}"/>
    <cellStyle name="Normal 2 2 3 5 4 2 2" xfId="16893" xr:uid="{00000000-0005-0000-0000-000031300000}"/>
    <cellStyle name="Normal 2 2 3 5 4 2 2 2" xfId="33467" xr:uid="{00000000-0005-0000-0000-000032300000}"/>
    <cellStyle name="Normal 2 2 3 5 4 2 3" xfId="25420" xr:uid="{00000000-0005-0000-0000-000033300000}"/>
    <cellStyle name="Normal 2 2 3 5 4 3" xfId="13015" xr:uid="{00000000-0005-0000-0000-000034300000}"/>
    <cellStyle name="Normal 2 2 3 5 4 3 2" xfId="29555" xr:uid="{00000000-0005-0000-0000-000035300000}"/>
    <cellStyle name="Normal 2 2 3 5 4 4" xfId="21512" xr:uid="{00000000-0005-0000-0000-000036300000}"/>
    <cellStyle name="Normal 2 2 3 5 5" xfId="7716" xr:uid="{00000000-0005-0000-0000-000037300000}"/>
    <cellStyle name="Normal 2 2 3 5 5 2" xfId="16894" xr:uid="{00000000-0005-0000-0000-000038300000}"/>
    <cellStyle name="Normal 2 2 3 5 5 2 2" xfId="33468" xr:uid="{00000000-0005-0000-0000-000039300000}"/>
    <cellStyle name="Normal 2 2 3 5 5 3" xfId="25421" xr:uid="{00000000-0005-0000-0000-00003A300000}"/>
    <cellStyle name="Normal 2 2 3 5 6" xfId="13008" xr:uid="{00000000-0005-0000-0000-00003B300000}"/>
    <cellStyle name="Normal 2 2 3 5 6 2" xfId="29548" xr:uid="{00000000-0005-0000-0000-00003C300000}"/>
    <cellStyle name="Normal 2 2 3 5 7" xfId="21505" xr:uid="{00000000-0005-0000-0000-00003D300000}"/>
    <cellStyle name="Normal 2 2 3 6" xfId="3577" xr:uid="{00000000-0005-0000-0000-00003E300000}"/>
    <cellStyle name="Normal 2 2 3 6 2" xfId="3578" xr:uid="{00000000-0005-0000-0000-00003F300000}"/>
    <cellStyle name="Normal 2 2 3 6 2 2" xfId="3579" xr:uid="{00000000-0005-0000-0000-000040300000}"/>
    <cellStyle name="Normal 2 2 3 6 2 2 2" xfId="7717" xr:uid="{00000000-0005-0000-0000-000041300000}"/>
    <cellStyle name="Normal 2 2 3 6 2 2 2 2" xfId="16895" xr:uid="{00000000-0005-0000-0000-000042300000}"/>
    <cellStyle name="Normal 2 2 3 6 2 2 2 2 2" xfId="33469" xr:uid="{00000000-0005-0000-0000-000043300000}"/>
    <cellStyle name="Normal 2 2 3 6 2 2 2 3" xfId="25422" xr:uid="{00000000-0005-0000-0000-000044300000}"/>
    <cellStyle name="Normal 2 2 3 6 2 2 3" xfId="13018" xr:uid="{00000000-0005-0000-0000-000045300000}"/>
    <cellStyle name="Normal 2 2 3 6 2 2 3 2" xfId="29558" xr:uid="{00000000-0005-0000-0000-000046300000}"/>
    <cellStyle name="Normal 2 2 3 6 2 2 4" xfId="21515" xr:uid="{00000000-0005-0000-0000-000047300000}"/>
    <cellStyle name="Normal 2 2 3 6 2 3" xfId="7718" xr:uid="{00000000-0005-0000-0000-000048300000}"/>
    <cellStyle name="Normal 2 2 3 6 2 3 2" xfId="16896" xr:uid="{00000000-0005-0000-0000-000049300000}"/>
    <cellStyle name="Normal 2 2 3 6 2 3 2 2" xfId="33470" xr:uid="{00000000-0005-0000-0000-00004A300000}"/>
    <cellStyle name="Normal 2 2 3 6 2 3 3" xfId="25423" xr:uid="{00000000-0005-0000-0000-00004B300000}"/>
    <cellStyle name="Normal 2 2 3 6 2 4" xfId="13017" xr:uid="{00000000-0005-0000-0000-00004C300000}"/>
    <cellStyle name="Normal 2 2 3 6 2 4 2" xfId="29557" xr:uid="{00000000-0005-0000-0000-00004D300000}"/>
    <cellStyle name="Normal 2 2 3 6 2 5" xfId="21514" xr:uid="{00000000-0005-0000-0000-00004E300000}"/>
    <cellStyle name="Normal 2 2 3 6 3" xfId="3580" xr:uid="{00000000-0005-0000-0000-00004F300000}"/>
    <cellStyle name="Normal 2 2 3 6 3 2" xfId="7719" xr:uid="{00000000-0005-0000-0000-000050300000}"/>
    <cellStyle name="Normal 2 2 3 6 3 2 2" xfId="16897" xr:uid="{00000000-0005-0000-0000-000051300000}"/>
    <cellStyle name="Normal 2 2 3 6 3 2 2 2" xfId="33471" xr:uid="{00000000-0005-0000-0000-000052300000}"/>
    <cellStyle name="Normal 2 2 3 6 3 2 3" xfId="25424" xr:uid="{00000000-0005-0000-0000-000053300000}"/>
    <cellStyle name="Normal 2 2 3 6 3 3" xfId="13019" xr:uid="{00000000-0005-0000-0000-000054300000}"/>
    <cellStyle name="Normal 2 2 3 6 3 3 2" xfId="29559" xr:uid="{00000000-0005-0000-0000-000055300000}"/>
    <cellStyle name="Normal 2 2 3 6 3 4" xfId="21516" xr:uid="{00000000-0005-0000-0000-000056300000}"/>
    <cellStyle name="Normal 2 2 3 6 4" xfId="7720" xr:uid="{00000000-0005-0000-0000-000057300000}"/>
    <cellStyle name="Normal 2 2 3 6 4 2" xfId="16898" xr:uid="{00000000-0005-0000-0000-000058300000}"/>
    <cellStyle name="Normal 2 2 3 6 4 2 2" xfId="33472" xr:uid="{00000000-0005-0000-0000-000059300000}"/>
    <cellStyle name="Normal 2 2 3 6 4 3" xfId="25425" xr:uid="{00000000-0005-0000-0000-00005A300000}"/>
    <cellStyle name="Normal 2 2 3 6 5" xfId="13016" xr:uid="{00000000-0005-0000-0000-00005B300000}"/>
    <cellStyle name="Normal 2 2 3 6 5 2" xfId="29556" xr:uid="{00000000-0005-0000-0000-00005C300000}"/>
    <cellStyle name="Normal 2 2 3 6 6" xfId="21513" xr:uid="{00000000-0005-0000-0000-00005D300000}"/>
    <cellStyle name="Normal 2 2 3 7" xfId="3581" xr:uid="{00000000-0005-0000-0000-00005E300000}"/>
    <cellStyle name="Normal 2 2 3 7 2" xfId="3582" xr:uid="{00000000-0005-0000-0000-00005F300000}"/>
    <cellStyle name="Normal 2 2 3 7 2 2" xfId="7721" xr:uid="{00000000-0005-0000-0000-000060300000}"/>
    <cellStyle name="Normal 2 2 3 7 2 2 2" xfId="16899" xr:uid="{00000000-0005-0000-0000-000061300000}"/>
    <cellStyle name="Normal 2 2 3 7 2 2 2 2" xfId="33473" xr:uid="{00000000-0005-0000-0000-000062300000}"/>
    <cellStyle name="Normal 2 2 3 7 2 2 3" xfId="25426" xr:uid="{00000000-0005-0000-0000-000063300000}"/>
    <cellStyle name="Normal 2 2 3 7 2 3" xfId="13021" xr:uid="{00000000-0005-0000-0000-000064300000}"/>
    <cellStyle name="Normal 2 2 3 7 2 3 2" xfId="29561" xr:uid="{00000000-0005-0000-0000-000065300000}"/>
    <cellStyle name="Normal 2 2 3 7 2 4" xfId="21518" xr:uid="{00000000-0005-0000-0000-000066300000}"/>
    <cellStyle name="Normal 2 2 3 7 3" xfId="7722" xr:uid="{00000000-0005-0000-0000-000067300000}"/>
    <cellStyle name="Normal 2 2 3 7 3 2" xfId="16900" xr:uid="{00000000-0005-0000-0000-000068300000}"/>
    <cellStyle name="Normal 2 2 3 7 3 2 2" xfId="33474" xr:uid="{00000000-0005-0000-0000-000069300000}"/>
    <cellStyle name="Normal 2 2 3 7 3 3" xfId="25427" xr:uid="{00000000-0005-0000-0000-00006A300000}"/>
    <cellStyle name="Normal 2 2 3 7 4" xfId="13020" xr:uid="{00000000-0005-0000-0000-00006B300000}"/>
    <cellStyle name="Normal 2 2 3 7 4 2" xfId="29560" xr:uid="{00000000-0005-0000-0000-00006C300000}"/>
    <cellStyle name="Normal 2 2 3 7 5" xfId="21517" xr:uid="{00000000-0005-0000-0000-00006D300000}"/>
    <cellStyle name="Normal 2 2 3 8" xfId="3583" xr:uid="{00000000-0005-0000-0000-00006E300000}"/>
    <cellStyle name="Normal 2 2 3 8 2" xfId="7723" xr:uid="{00000000-0005-0000-0000-00006F300000}"/>
    <cellStyle name="Normal 2 2 3 8 2 2" xfId="16901" xr:uid="{00000000-0005-0000-0000-000070300000}"/>
    <cellStyle name="Normal 2 2 3 8 2 2 2" xfId="33475" xr:uid="{00000000-0005-0000-0000-000071300000}"/>
    <cellStyle name="Normal 2 2 3 8 2 3" xfId="25428" xr:uid="{00000000-0005-0000-0000-000072300000}"/>
    <cellStyle name="Normal 2 2 3 8 3" xfId="13022" xr:uid="{00000000-0005-0000-0000-000073300000}"/>
    <cellStyle name="Normal 2 2 3 8 3 2" xfId="29562" xr:uid="{00000000-0005-0000-0000-000074300000}"/>
    <cellStyle name="Normal 2 2 3 8 4" xfId="21519" xr:uid="{00000000-0005-0000-0000-000075300000}"/>
    <cellStyle name="Normal 2 2 3 9" xfId="7724" xr:uid="{00000000-0005-0000-0000-000076300000}"/>
    <cellStyle name="Normal 2 2 3 9 2" xfId="16902" xr:uid="{00000000-0005-0000-0000-000077300000}"/>
    <cellStyle name="Normal 2 2 3 9 2 2" xfId="33476" xr:uid="{00000000-0005-0000-0000-000078300000}"/>
    <cellStyle name="Normal 2 2 3 9 3" xfId="25429" xr:uid="{00000000-0005-0000-0000-000079300000}"/>
    <cellStyle name="Normal 2 2 4" xfId="249" xr:uid="{00000000-0005-0000-0000-00007A300000}"/>
    <cellStyle name="Normal 2 2 4 2" xfId="250" xr:uid="{00000000-0005-0000-0000-00007B300000}"/>
    <cellStyle name="Normal 2 2 4 2 2" xfId="3584" xr:uid="{00000000-0005-0000-0000-00007C300000}"/>
    <cellStyle name="Normal 2 2 5" xfId="251" xr:uid="{00000000-0005-0000-0000-00007D300000}"/>
    <cellStyle name="Normal 2 2 5 2" xfId="3586" xr:uid="{00000000-0005-0000-0000-00007E300000}"/>
    <cellStyle name="Normal 2 2 5 2 2" xfId="3587" xr:uid="{00000000-0005-0000-0000-00007F300000}"/>
    <cellStyle name="Normal 2 2 5 2 2 2" xfId="3588" xr:uid="{00000000-0005-0000-0000-000080300000}"/>
    <cellStyle name="Normal 2 2 5 2 2 2 2" xfId="7725" xr:uid="{00000000-0005-0000-0000-000081300000}"/>
    <cellStyle name="Normal 2 2 5 2 2 2 2 2" xfId="16903" xr:uid="{00000000-0005-0000-0000-000082300000}"/>
    <cellStyle name="Normal 2 2 5 2 2 2 2 2 2" xfId="33477" xr:uid="{00000000-0005-0000-0000-000083300000}"/>
    <cellStyle name="Normal 2 2 5 2 2 2 2 3" xfId="25430" xr:uid="{00000000-0005-0000-0000-000084300000}"/>
    <cellStyle name="Normal 2 2 5 2 2 2 3" xfId="13025" xr:uid="{00000000-0005-0000-0000-000085300000}"/>
    <cellStyle name="Normal 2 2 5 2 2 2 3 2" xfId="29566" xr:uid="{00000000-0005-0000-0000-000086300000}"/>
    <cellStyle name="Normal 2 2 5 2 2 2 4" xfId="21523" xr:uid="{00000000-0005-0000-0000-000087300000}"/>
    <cellStyle name="Normal 2 2 5 2 2 3" xfId="7726" xr:uid="{00000000-0005-0000-0000-000088300000}"/>
    <cellStyle name="Normal 2 2 5 2 2 3 2" xfId="16904" xr:uid="{00000000-0005-0000-0000-000089300000}"/>
    <cellStyle name="Normal 2 2 5 2 2 3 2 2" xfId="33478" xr:uid="{00000000-0005-0000-0000-00008A300000}"/>
    <cellStyle name="Normal 2 2 5 2 2 3 3" xfId="25431" xr:uid="{00000000-0005-0000-0000-00008B300000}"/>
    <cellStyle name="Normal 2 2 5 2 2 4" xfId="13024" xr:uid="{00000000-0005-0000-0000-00008C300000}"/>
    <cellStyle name="Normal 2 2 5 2 2 4 2" xfId="29565" xr:uid="{00000000-0005-0000-0000-00008D300000}"/>
    <cellStyle name="Normal 2 2 5 2 2 5" xfId="21522" xr:uid="{00000000-0005-0000-0000-00008E300000}"/>
    <cellStyle name="Normal 2 2 5 2 3" xfId="3589" xr:uid="{00000000-0005-0000-0000-00008F300000}"/>
    <cellStyle name="Normal 2 2 5 2 3 2" xfId="7727" xr:uid="{00000000-0005-0000-0000-000090300000}"/>
    <cellStyle name="Normal 2 2 5 2 3 2 2" xfId="16905" xr:uid="{00000000-0005-0000-0000-000091300000}"/>
    <cellStyle name="Normal 2 2 5 2 3 2 2 2" xfId="33479" xr:uid="{00000000-0005-0000-0000-000092300000}"/>
    <cellStyle name="Normal 2 2 5 2 3 2 3" xfId="25432" xr:uid="{00000000-0005-0000-0000-000093300000}"/>
    <cellStyle name="Normal 2 2 5 2 3 3" xfId="13026" xr:uid="{00000000-0005-0000-0000-000094300000}"/>
    <cellStyle name="Normal 2 2 5 2 3 3 2" xfId="29567" xr:uid="{00000000-0005-0000-0000-000095300000}"/>
    <cellStyle name="Normal 2 2 5 2 3 4" xfId="21524" xr:uid="{00000000-0005-0000-0000-000096300000}"/>
    <cellStyle name="Normal 2 2 5 2 4" xfId="7728" xr:uid="{00000000-0005-0000-0000-000097300000}"/>
    <cellStyle name="Normal 2 2 5 2 4 2" xfId="16906" xr:uid="{00000000-0005-0000-0000-000098300000}"/>
    <cellStyle name="Normal 2 2 5 2 4 2 2" xfId="33480" xr:uid="{00000000-0005-0000-0000-000099300000}"/>
    <cellStyle name="Normal 2 2 5 2 4 3" xfId="25433" xr:uid="{00000000-0005-0000-0000-00009A300000}"/>
    <cellStyle name="Normal 2 2 5 2 5" xfId="13023" xr:uid="{00000000-0005-0000-0000-00009B300000}"/>
    <cellStyle name="Normal 2 2 5 2 5 2" xfId="29564" xr:uid="{00000000-0005-0000-0000-00009C300000}"/>
    <cellStyle name="Normal 2 2 5 2 6" xfId="21521" xr:uid="{00000000-0005-0000-0000-00009D300000}"/>
    <cellStyle name="Normal 2 2 5 3" xfId="3590" xr:uid="{00000000-0005-0000-0000-00009E300000}"/>
    <cellStyle name="Normal 2 2 5 3 2" xfId="3591" xr:uid="{00000000-0005-0000-0000-00009F300000}"/>
    <cellStyle name="Normal 2 2 5 3 2 2" xfId="7729" xr:uid="{00000000-0005-0000-0000-0000A0300000}"/>
    <cellStyle name="Normal 2 2 5 3 2 2 2" xfId="16907" xr:uid="{00000000-0005-0000-0000-0000A1300000}"/>
    <cellStyle name="Normal 2 2 5 3 2 2 2 2" xfId="33481" xr:uid="{00000000-0005-0000-0000-0000A2300000}"/>
    <cellStyle name="Normal 2 2 5 3 2 2 3" xfId="25434" xr:uid="{00000000-0005-0000-0000-0000A3300000}"/>
    <cellStyle name="Normal 2 2 5 3 2 3" xfId="13028" xr:uid="{00000000-0005-0000-0000-0000A4300000}"/>
    <cellStyle name="Normal 2 2 5 3 2 3 2" xfId="29569" xr:uid="{00000000-0005-0000-0000-0000A5300000}"/>
    <cellStyle name="Normal 2 2 5 3 2 4" xfId="21526" xr:uid="{00000000-0005-0000-0000-0000A6300000}"/>
    <cellStyle name="Normal 2 2 5 3 3" xfId="7730" xr:uid="{00000000-0005-0000-0000-0000A7300000}"/>
    <cellStyle name="Normal 2 2 5 3 3 2" xfId="16908" xr:uid="{00000000-0005-0000-0000-0000A8300000}"/>
    <cellStyle name="Normal 2 2 5 3 3 2 2" xfId="33482" xr:uid="{00000000-0005-0000-0000-0000A9300000}"/>
    <cellStyle name="Normal 2 2 5 3 3 3" xfId="25435" xr:uid="{00000000-0005-0000-0000-0000AA300000}"/>
    <cellStyle name="Normal 2 2 5 3 4" xfId="13027" xr:uid="{00000000-0005-0000-0000-0000AB300000}"/>
    <cellStyle name="Normal 2 2 5 3 4 2" xfId="29568" xr:uid="{00000000-0005-0000-0000-0000AC300000}"/>
    <cellStyle name="Normal 2 2 5 3 5" xfId="21525" xr:uid="{00000000-0005-0000-0000-0000AD300000}"/>
    <cellStyle name="Normal 2 2 5 4" xfId="3592" xr:uid="{00000000-0005-0000-0000-0000AE300000}"/>
    <cellStyle name="Normal 2 2 5 4 2" xfId="7731" xr:uid="{00000000-0005-0000-0000-0000AF300000}"/>
    <cellStyle name="Normal 2 2 5 4 2 2" xfId="16909" xr:uid="{00000000-0005-0000-0000-0000B0300000}"/>
    <cellStyle name="Normal 2 2 5 4 2 2 2" xfId="33483" xr:uid="{00000000-0005-0000-0000-0000B1300000}"/>
    <cellStyle name="Normal 2 2 5 4 2 3" xfId="25436" xr:uid="{00000000-0005-0000-0000-0000B2300000}"/>
    <cellStyle name="Normal 2 2 5 4 3" xfId="13029" xr:uid="{00000000-0005-0000-0000-0000B3300000}"/>
    <cellStyle name="Normal 2 2 5 4 3 2" xfId="29570" xr:uid="{00000000-0005-0000-0000-0000B4300000}"/>
    <cellStyle name="Normal 2 2 5 4 4" xfId="21527" xr:uid="{00000000-0005-0000-0000-0000B5300000}"/>
    <cellStyle name="Normal 2 2 5 5" xfId="7732" xr:uid="{00000000-0005-0000-0000-0000B6300000}"/>
    <cellStyle name="Normal 2 2 5 5 2" xfId="16910" xr:uid="{00000000-0005-0000-0000-0000B7300000}"/>
    <cellStyle name="Normal 2 2 5 5 2 2" xfId="33484" xr:uid="{00000000-0005-0000-0000-0000B8300000}"/>
    <cellStyle name="Normal 2 2 5 5 3" xfId="25437" xr:uid="{00000000-0005-0000-0000-0000B9300000}"/>
    <cellStyle name="Normal 2 2 5 6" xfId="3585" xr:uid="{00000000-0005-0000-0000-0000BA300000}"/>
    <cellStyle name="Normal 2 2 5 6 2" xfId="29563" xr:uid="{00000000-0005-0000-0000-0000BB300000}"/>
    <cellStyle name="Normal 2 2 5 7" xfId="21520" xr:uid="{00000000-0005-0000-0000-0000BC300000}"/>
    <cellStyle name="Normal 2 2 6" xfId="446" xr:uid="{00000000-0005-0000-0000-0000BD300000}"/>
    <cellStyle name="Normal 2 2 6 2" xfId="3594" xr:uid="{00000000-0005-0000-0000-0000BE300000}"/>
    <cellStyle name="Normal 2 2 6 2 2" xfId="3595" xr:uid="{00000000-0005-0000-0000-0000BF300000}"/>
    <cellStyle name="Normal 2 2 6 2 2 2" xfId="3596" xr:uid="{00000000-0005-0000-0000-0000C0300000}"/>
    <cellStyle name="Normal 2 2 6 2 2 2 2" xfId="7733" xr:uid="{00000000-0005-0000-0000-0000C1300000}"/>
    <cellStyle name="Normal 2 2 6 2 2 2 2 2" xfId="16911" xr:uid="{00000000-0005-0000-0000-0000C2300000}"/>
    <cellStyle name="Normal 2 2 6 2 2 2 2 2 2" xfId="33485" xr:uid="{00000000-0005-0000-0000-0000C3300000}"/>
    <cellStyle name="Normal 2 2 6 2 2 2 2 3" xfId="25438" xr:uid="{00000000-0005-0000-0000-0000C4300000}"/>
    <cellStyle name="Normal 2 2 6 2 2 2 3" xfId="13032" xr:uid="{00000000-0005-0000-0000-0000C5300000}"/>
    <cellStyle name="Normal 2 2 6 2 2 2 3 2" xfId="29573" xr:uid="{00000000-0005-0000-0000-0000C6300000}"/>
    <cellStyle name="Normal 2 2 6 2 2 2 4" xfId="21530" xr:uid="{00000000-0005-0000-0000-0000C7300000}"/>
    <cellStyle name="Normal 2 2 6 2 2 3" xfId="7734" xr:uid="{00000000-0005-0000-0000-0000C8300000}"/>
    <cellStyle name="Normal 2 2 6 2 2 3 2" xfId="16912" xr:uid="{00000000-0005-0000-0000-0000C9300000}"/>
    <cellStyle name="Normal 2 2 6 2 2 3 2 2" xfId="33486" xr:uid="{00000000-0005-0000-0000-0000CA300000}"/>
    <cellStyle name="Normal 2 2 6 2 2 3 3" xfId="25439" xr:uid="{00000000-0005-0000-0000-0000CB300000}"/>
    <cellStyle name="Normal 2 2 6 2 2 4" xfId="13031" xr:uid="{00000000-0005-0000-0000-0000CC300000}"/>
    <cellStyle name="Normal 2 2 6 2 2 4 2" xfId="29572" xr:uid="{00000000-0005-0000-0000-0000CD300000}"/>
    <cellStyle name="Normal 2 2 6 2 2 5" xfId="21529" xr:uid="{00000000-0005-0000-0000-0000CE300000}"/>
    <cellStyle name="Normal 2 2 6 2 3" xfId="3597" xr:uid="{00000000-0005-0000-0000-0000CF300000}"/>
    <cellStyle name="Normal 2 2 6 2 3 2" xfId="7735" xr:uid="{00000000-0005-0000-0000-0000D0300000}"/>
    <cellStyle name="Normal 2 2 6 2 3 2 2" xfId="16913" xr:uid="{00000000-0005-0000-0000-0000D1300000}"/>
    <cellStyle name="Normal 2 2 6 2 3 2 2 2" xfId="33487" xr:uid="{00000000-0005-0000-0000-0000D2300000}"/>
    <cellStyle name="Normal 2 2 6 2 3 2 3" xfId="25440" xr:uid="{00000000-0005-0000-0000-0000D3300000}"/>
    <cellStyle name="Normal 2 2 6 2 3 3" xfId="13033" xr:uid="{00000000-0005-0000-0000-0000D4300000}"/>
    <cellStyle name="Normal 2 2 6 2 3 3 2" xfId="29574" xr:uid="{00000000-0005-0000-0000-0000D5300000}"/>
    <cellStyle name="Normal 2 2 6 2 3 4" xfId="21531" xr:uid="{00000000-0005-0000-0000-0000D6300000}"/>
    <cellStyle name="Normal 2 2 6 2 4" xfId="7736" xr:uid="{00000000-0005-0000-0000-0000D7300000}"/>
    <cellStyle name="Normal 2 2 6 2 4 2" xfId="16914" xr:uid="{00000000-0005-0000-0000-0000D8300000}"/>
    <cellStyle name="Normal 2 2 6 2 4 2 2" xfId="33488" xr:uid="{00000000-0005-0000-0000-0000D9300000}"/>
    <cellStyle name="Normal 2 2 6 2 4 3" xfId="25441" xr:uid="{00000000-0005-0000-0000-0000DA300000}"/>
    <cellStyle name="Normal 2 2 6 2 5" xfId="13030" xr:uid="{00000000-0005-0000-0000-0000DB300000}"/>
    <cellStyle name="Normal 2 2 6 2 5 2" xfId="29571" xr:uid="{00000000-0005-0000-0000-0000DC300000}"/>
    <cellStyle name="Normal 2 2 6 2 6" xfId="21528" xr:uid="{00000000-0005-0000-0000-0000DD300000}"/>
    <cellStyle name="Normal 2 2 6 3" xfId="3598" xr:uid="{00000000-0005-0000-0000-0000DE300000}"/>
    <cellStyle name="Normal 2 2 6 3 2" xfId="3599" xr:uid="{00000000-0005-0000-0000-0000DF300000}"/>
    <cellStyle name="Normal 2 2 6 3 2 2" xfId="7737" xr:uid="{00000000-0005-0000-0000-0000E0300000}"/>
    <cellStyle name="Normal 2 2 6 3 2 2 2" xfId="16915" xr:uid="{00000000-0005-0000-0000-0000E1300000}"/>
    <cellStyle name="Normal 2 2 6 3 2 2 2 2" xfId="33489" xr:uid="{00000000-0005-0000-0000-0000E2300000}"/>
    <cellStyle name="Normal 2 2 6 3 2 2 3" xfId="25442" xr:uid="{00000000-0005-0000-0000-0000E3300000}"/>
    <cellStyle name="Normal 2 2 6 3 2 3" xfId="13035" xr:uid="{00000000-0005-0000-0000-0000E4300000}"/>
    <cellStyle name="Normal 2 2 6 3 2 3 2" xfId="29576" xr:uid="{00000000-0005-0000-0000-0000E5300000}"/>
    <cellStyle name="Normal 2 2 6 3 2 4" xfId="21533" xr:uid="{00000000-0005-0000-0000-0000E6300000}"/>
    <cellStyle name="Normal 2 2 6 3 3" xfId="7738" xr:uid="{00000000-0005-0000-0000-0000E7300000}"/>
    <cellStyle name="Normal 2 2 6 3 3 2" xfId="16916" xr:uid="{00000000-0005-0000-0000-0000E8300000}"/>
    <cellStyle name="Normal 2 2 6 3 3 2 2" xfId="33490" xr:uid="{00000000-0005-0000-0000-0000E9300000}"/>
    <cellStyle name="Normal 2 2 6 3 3 3" xfId="25443" xr:uid="{00000000-0005-0000-0000-0000EA300000}"/>
    <cellStyle name="Normal 2 2 6 3 4" xfId="13034" xr:uid="{00000000-0005-0000-0000-0000EB300000}"/>
    <cellStyle name="Normal 2 2 6 3 4 2" xfId="29575" xr:uid="{00000000-0005-0000-0000-0000EC300000}"/>
    <cellStyle name="Normal 2 2 6 3 5" xfId="21532" xr:uid="{00000000-0005-0000-0000-0000ED300000}"/>
    <cellStyle name="Normal 2 2 6 4" xfId="3600" xr:uid="{00000000-0005-0000-0000-0000EE300000}"/>
    <cellStyle name="Normal 2 2 6 4 2" xfId="7739" xr:uid="{00000000-0005-0000-0000-0000EF300000}"/>
    <cellStyle name="Normal 2 2 6 4 2 2" xfId="16917" xr:uid="{00000000-0005-0000-0000-0000F0300000}"/>
    <cellStyle name="Normal 2 2 6 4 2 2 2" xfId="33491" xr:uid="{00000000-0005-0000-0000-0000F1300000}"/>
    <cellStyle name="Normal 2 2 6 4 2 3" xfId="25444" xr:uid="{00000000-0005-0000-0000-0000F2300000}"/>
    <cellStyle name="Normal 2 2 6 4 3" xfId="13036" xr:uid="{00000000-0005-0000-0000-0000F3300000}"/>
    <cellStyle name="Normal 2 2 6 4 3 2" xfId="29577" xr:uid="{00000000-0005-0000-0000-0000F4300000}"/>
    <cellStyle name="Normal 2 2 6 4 4" xfId="21534" xr:uid="{00000000-0005-0000-0000-0000F5300000}"/>
    <cellStyle name="Normal 2 2 6 5" xfId="3601" xr:uid="{00000000-0005-0000-0000-0000F6300000}"/>
    <cellStyle name="Normal 2 2 6 5 2" xfId="13037" xr:uid="{00000000-0005-0000-0000-0000F7300000}"/>
    <cellStyle name="Normal 2 2 6 5 2 2" xfId="29578" xr:uid="{00000000-0005-0000-0000-0000F8300000}"/>
    <cellStyle name="Normal 2 2 6 5 3" xfId="21535" xr:uid="{00000000-0005-0000-0000-0000F9300000}"/>
    <cellStyle name="Normal 2 2 6 6" xfId="3593" xr:uid="{00000000-0005-0000-0000-0000FA300000}"/>
    <cellStyle name="Normal 2 2 7" xfId="1769" xr:uid="{00000000-0005-0000-0000-0000FB300000}"/>
    <cellStyle name="Normal 2 2 7 2" xfId="3603" xr:uid="{00000000-0005-0000-0000-0000FC300000}"/>
    <cellStyle name="Normal 2 2 7 2 2" xfId="3604" xr:uid="{00000000-0005-0000-0000-0000FD300000}"/>
    <cellStyle name="Normal 2 2 7 2 2 2" xfId="3605" xr:uid="{00000000-0005-0000-0000-0000FE300000}"/>
    <cellStyle name="Normal 2 2 7 2 2 2 2" xfId="7740" xr:uid="{00000000-0005-0000-0000-0000FF300000}"/>
    <cellStyle name="Normal 2 2 7 2 2 2 2 2" xfId="16918" xr:uid="{00000000-0005-0000-0000-000000310000}"/>
    <cellStyle name="Normal 2 2 7 2 2 2 2 2 2" xfId="33492" xr:uid="{00000000-0005-0000-0000-000001310000}"/>
    <cellStyle name="Normal 2 2 7 2 2 2 2 3" xfId="25445" xr:uid="{00000000-0005-0000-0000-000002310000}"/>
    <cellStyle name="Normal 2 2 7 2 2 2 3" xfId="13040" xr:uid="{00000000-0005-0000-0000-000003310000}"/>
    <cellStyle name="Normal 2 2 7 2 2 2 3 2" xfId="29582" xr:uid="{00000000-0005-0000-0000-000004310000}"/>
    <cellStyle name="Normal 2 2 7 2 2 2 4" xfId="21539" xr:uid="{00000000-0005-0000-0000-000005310000}"/>
    <cellStyle name="Normal 2 2 7 2 2 3" xfId="7741" xr:uid="{00000000-0005-0000-0000-000006310000}"/>
    <cellStyle name="Normal 2 2 7 2 2 3 2" xfId="16919" xr:uid="{00000000-0005-0000-0000-000007310000}"/>
    <cellStyle name="Normal 2 2 7 2 2 3 2 2" xfId="33493" xr:uid="{00000000-0005-0000-0000-000008310000}"/>
    <cellStyle name="Normal 2 2 7 2 2 3 3" xfId="25446" xr:uid="{00000000-0005-0000-0000-000009310000}"/>
    <cellStyle name="Normal 2 2 7 2 2 4" xfId="13039" xr:uid="{00000000-0005-0000-0000-00000A310000}"/>
    <cellStyle name="Normal 2 2 7 2 2 4 2" xfId="29581" xr:uid="{00000000-0005-0000-0000-00000B310000}"/>
    <cellStyle name="Normal 2 2 7 2 2 5" xfId="21538" xr:uid="{00000000-0005-0000-0000-00000C310000}"/>
    <cellStyle name="Normal 2 2 7 2 3" xfId="3606" xr:uid="{00000000-0005-0000-0000-00000D310000}"/>
    <cellStyle name="Normal 2 2 7 2 3 2" xfId="7742" xr:uid="{00000000-0005-0000-0000-00000E310000}"/>
    <cellStyle name="Normal 2 2 7 2 3 2 2" xfId="16920" xr:uid="{00000000-0005-0000-0000-00000F310000}"/>
    <cellStyle name="Normal 2 2 7 2 3 2 2 2" xfId="33494" xr:uid="{00000000-0005-0000-0000-000010310000}"/>
    <cellStyle name="Normal 2 2 7 2 3 2 3" xfId="25447" xr:uid="{00000000-0005-0000-0000-000011310000}"/>
    <cellStyle name="Normal 2 2 7 2 3 3" xfId="13041" xr:uid="{00000000-0005-0000-0000-000012310000}"/>
    <cellStyle name="Normal 2 2 7 2 3 3 2" xfId="29583" xr:uid="{00000000-0005-0000-0000-000013310000}"/>
    <cellStyle name="Normal 2 2 7 2 3 4" xfId="21540" xr:uid="{00000000-0005-0000-0000-000014310000}"/>
    <cellStyle name="Normal 2 2 7 2 4" xfId="7743" xr:uid="{00000000-0005-0000-0000-000015310000}"/>
    <cellStyle name="Normal 2 2 7 2 4 2" xfId="16921" xr:uid="{00000000-0005-0000-0000-000016310000}"/>
    <cellStyle name="Normal 2 2 7 2 4 2 2" xfId="33495" xr:uid="{00000000-0005-0000-0000-000017310000}"/>
    <cellStyle name="Normal 2 2 7 2 4 3" xfId="25448" xr:uid="{00000000-0005-0000-0000-000018310000}"/>
    <cellStyle name="Normal 2 2 7 2 5" xfId="13038" xr:uid="{00000000-0005-0000-0000-000019310000}"/>
    <cellStyle name="Normal 2 2 7 2 5 2" xfId="29580" xr:uid="{00000000-0005-0000-0000-00001A310000}"/>
    <cellStyle name="Normal 2 2 7 2 6" xfId="21537" xr:uid="{00000000-0005-0000-0000-00001B310000}"/>
    <cellStyle name="Normal 2 2 7 3" xfId="3607" xr:uid="{00000000-0005-0000-0000-00001C310000}"/>
    <cellStyle name="Normal 2 2 7 3 2" xfId="3608" xr:uid="{00000000-0005-0000-0000-00001D310000}"/>
    <cellStyle name="Normal 2 2 7 3 2 2" xfId="7744" xr:uid="{00000000-0005-0000-0000-00001E310000}"/>
    <cellStyle name="Normal 2 2 7 3 2 2 2" xfId="16922" xr:uid="{00000000-0005-0000-0000-00001F310000}"/>
    <cellStyle name="Normal 2 2 7 3 2 2 2 2" xfId="33496" xr:uid="{00000000-0005-0000-0000-000020310000}"/>
    <cellStyle name="Normal 2 2 7 3 2 2 3" xfId="25449" xr:uid="{00000000-0005-0000-0000-000021310000}"/>
    <cellStyle name="Normal 2 2 7 3 2 3" xfId="13043" xr:uid="{00000000-0005-0000-0000-000022310000}"/>
    <cellStyle name="Normal 2 2 7 3 2 3 2" xfId="29585" xr:uid="{00000000-0005-0000-0000-000023310000}"/>
    <cellStyle name="Normal 2 2 7 3 2 4" xfId="21542" xr:uid="{00000000-0005-0000-0000-000024310000}"/>
    <cellStyle name="Normal 2 2 7 3 3" xfId="7745" xr:uid="{00000000-0005-0000-0000-000025310000}"/>
    <cellStyle name="Normal 2 2 7 3 3 2" xfId="16923" xr:uid="{00000000-0005-0000-0000-000026310000}"/>
    <cellStyle name="Normal 2 2 7 3 3 2 2" xfId="33497" xr:uid="{00000000-0005-0000-0000-000027310000}"/>
    <cellStyle name="Normal 2 2 7 3 3 3" xfId="25450" xr:uid="{00000000-0005-0000-0000-000028310000}"/>
    <cellStyle name="Normal 2 2 7 3 4" xfId="13042" xr:uid="{00000000-0005-0000-0000-000029310000}"/>
    <cellStyle name="Normal 2 2 7 3 4 2" xfId="29584" xr:uid="{00000000-0005-0000-0000-00002A310000}"/>
    <cellStyle name="Normal 2 2 7 3 5" xfId="21541" xr:uid="{00000000-0005-0000-0000-00002B310000}"/>
    <cellStyle name="Normal 2 2 7 4" xfId="3609" xr:uid="{00000000-0005-0000-0000-00002C310000}"/>
    <cellStyle name="Normal 2 2 7 4 2" xfId="7746" xr:uid="{00000000-0005-0000-0000-00002D310000}"/>
    <cellStyle name="Normal 2 2 7 4 2 2" xfId="16924" xr:uid="{00000000-0005-0000-0000-00002E310000}"/>
    <cellStyle name="Normal 2 2 7 4 2 2 2" xfId="33498" xr:uid="{00000000-0005-0000-0000-00002F310000}"/>
    <cellStyle name="Normal 2 2 7 4 2 3" xfId="25451" xr:uid="{00000000-0005-0000-0000-000030310000}"/>
    <cellStyle name="Normal 2 2 7 4 3" xfId="13044" xr:uid="{00000000-0005-0000-0000-000031310000}"/>
    <cellStyle name="Normal 2 2 7 4 3 2" xfId="29586" xr:uid="{00000000-0005-0000-0000-000032310000}"/>
    <cellStyle name="Normal 2 2 7 4 4" xfId="21543" xr:uid="{00000000-0005-0000-0000-000033310000}"/>
    <cellStyle name="Normal 2 2 7 5" xfId="7747" xr:uid="{00000000-0005-0000-0000-000034310000}"/>
    <cellStyle name="Normal 2 2 7 5 2" xfId="16925" xr:uid="{00000000-0005-0000-0000-000035310000}"/>
    <cellStyle name="Normal 2 2 7 5 2 2" xfId="33499" xr:uid="{00000000-0005-0000-0000-000036310000}"/>
    <cellStyle name="Normal 2 2 7 5 3" xfId="25452" xr:uid="{00000000-0005-0000-0000-000037310000}"/>
    <cellStyle name="Normal 2 2 7 6" xfId="3602" xr:uid="{00000000-0005-0000-0000-000038310000}"/>
    <cellStyle name="Normal 2 2 7 6 2" xfId="29579" xr:uid="{00000000-0005-0000-0000-000039310000}"/>
    <cellStyle name="Normal 2 2 7 7" xfId="21536" xr:uid="{00000000-0005-0000-0000-00003A310000}"/>
    <cellStyle name="Normal 2 2 8" xfId="1730" xr:uid="{00000000-0005-0000-0000-00003B310000}"/>
    <cellStyle name="Normal 2 2 8 2" xfId="3611" xr:uid="{00000000-0005-0000-0000-00003C310000}"/>
    <cellStyle name="Normal 2 2 8 2 2" xfId="3612" xr:uid="{00000000-0005-0000-0000-00003D310000}"/>
    <cellStyle name="Normal 2 2 8 2 2 2" xfId="7748" xr:uid="{00000000-0005-0000-0000-00003E310000}"/>
    <cellStyle name="Normal 2 2 8 2 2 2 2" xfId="16926" xr:uid="{00000000-0005-0000-0000-00003F310000}"/>
    <cellStyle name="Normal 2 2 8 2 2 2 2 2" xfId="33500" xr:uid="{00000000-0005-0000-0000-000040310000}"/>
    <cellStyle name="Normal 2 2 8 2 2 2 3" xfId="25453" xr:uid="{00000000-0005-0000-0000-000041310000}"/>
    <cellStyle name="Normal 2 2 8 2 2 3" xfId="13046" xr:uid="{00000000-0005-0000-0000-000042310000}"/>
    <cellStyle name="Normal 2 2 8 2 2 3 2" xfId="29589" xr:uid="{00000000-0005-0000-0000-000043310000}"/>
    <cellStyle name="Normal 2 2 8 2 2 4" xfId="21546" xr:uid="{00000000-0005-0000-0000-000044310000}"/>
    <cellStyle name="Normal 2 2 8 2 3" xfId="7749" xr:uid="{00000000-0005-0000-0000-000045310000}"/>
    <cellStyle name="Normal 2 2 8 2 3 2" xfId="16927" xr:uid="{00000000-0005-0000-0000-000046310000}"/>
    <cellStyle name="Normal 2 2 8 2 3 2 2" xfId="33501" xr:uid="{00000000-0005-0000-0000-000047310000}"/>
    <cellStyle name="Normal 2 2 8 2 3 3" xfId="25454" xr:uid="{00000000-0005-0000-0000-000048310000}"/>
    <cellStyle name="Normal 2 2 8 2 4" xfId="13045" xr:uid="{00000000-0005-0000-0000-000049310000}"/>
    <cellStyle name="Normal 2 2 8 2 4 2" xfId="29588" xr:uid="{00000000-0005-0000-0000-00004A310000}"/>
    <cellStyle name="Normal 2 2 8 2 5" xfId="21545" xr:uid="{00000000-0005-0000-0000-00004B310000}"/>
    <cellStyle name="Normal 2 2 8 3" xfId="3613" xr:uid="{00000000-0005-0000-0000-00004C310000}"/>
    <cellStyle name="Normal 2 2 8 3 2" xfId="7750" xr:uid="{00000000-0005-0000-0000-00004D310000}"/>
    <cellStyle name="Normal 2 2 8 3 2 2" xfId="16928" xr:uid="{00000000-0005-0000-0000-00004E310000}"/>
    <cellStyle name="Normal 2 2 8 3 2 2 2" xfId="33502" xr:uid="{00000000-0005-0000-0000-00004F310000}"/>
    <cellStyle name="Normal 2 2 8 3 2 3" xfId="25455" xr:uid="{00000000-0005-0000-0000-000050310000}"/>
    <cellStyle name="Normal 2 2 8 3 3" xfId="13047" xr:uid="{00000000-0005-0000-0000-000051310000}"/>
    <cellStyle name="Normal 2 2 8 3 3 2" xfId="29590" xr:uid="{00000000-0005-0000-0000-000052310000}"/>
    <cellStyle name="Normal 2 2 8 3 4" xfId="21547" xr:uid="{00000000-0005-0000-0000-000053310000}"/>
    <cellStyle name="Normal 2 2 8 4" xfId="7751" xr:uid="{00000000-0005-0000-0000-000054310000}"/>
    <cellStyle name="Normal 2 2 8 4 2" xfId="16929" xr:uid="{00000000-0005-0000-0000-000055310000}"/>
    <cellStyle name="Normal 2 2 8 4 2 2" xfId="33503" xr:uid="{00000000-0005-0000-0000-000056310000}"/>
    <cellStyle name="Normal 2 2 8 4 3" xfId="25456" xr:uid="{00000000-0005-0000-0000-000057310000}"/>
    <cellStyle name="Normal 2 2 8 5" xfId="3610" xr:uid="{00000000-0005-0000-0000-000058310000}"/>
    <cellStyle name="Normal 2 2 8 5 2" xfId="29587" xr:uid="{00000000-0005-0000-0000-000059310000}"/>
    <cellStyle name="Normal 2 2 8 6" xfId="21544" xr:uid="{00000000-0005-0000-0000-00005A310000}"/>
    <cellStyle name="Normal 2 2 9" xfId="3614" xr:uid="{00000000-0005-0000-0000-00005B310000}"/>
    <cellStyle name="Normal 2 2 9 2" xfId="3615" xr:uid="{00000000-0005-0000-0000-00005C310000}"/>
    <cellStyle name="Normal 2 2 9 2 2" xfId="7752" xr:uid="{00000000-0005-0000-0000-00005D310000}"/>
    <cellStyle name="Normal 2 2 9 2 2 2" xfId="16930" xr:uid="{00000000-0005-0000-0000-00005E310000}"/>
    <cellStyle name="Normal 2 2 9 2 2 2 2" xfId="33504" xr:uid="{00000000-0005-0000-0000-00005F310000}"/>
    <cellStyle name="Normal 2 2 9 2 2 3" xfId="25457" xr:uid="{00000000-0005-0000-0000-000060310000}"/>
    <cellStyle name="Normal 2 2 9 2 3" xfId="13049" xr:uid="{00000000-0005-0000-0000-000061310000}"/>
    <cellStyle name="Normal 2 2 9 2 3 2" xfId="29592" xr:uid="{00000000-0005-0000-0000-000062310000}"/>
    <cellStyle name="Normal 2 2 9 2 4" xfId="21549" xr:uid="{00000000-0005-0000-0000-000063310000}"/>
    <cellStyle name="Normal 2 2 9 3" xfId="7753" xr:uid="{00000000-0005-0000-0000-000064310000}"/>
    <cellStyle name="Normal 2 2 9 3 2" xfId="16931" xr:uid="{00000000-0005-0000-0000-000065310000}"/>
    <cellStyle name="Normal 2 2 9 3 2 2" xfId="33505" xr:uid="{00000000-0005-0000-0000-000066310000}"/>
    <cellStyle name="Normal 2 2 9 3 3" xfId="25458" xr:uid="{00000000-0005-0000-0000-000067310000}"/>
    <cellStyle name="Normal 2 2 9 4" xfId="13048" xr:uid="{00000000-0005-0000-0000-000068310000}"/>
    <cellStyle name="Normal 2 2 9 4 2" xfId="29591" xr:uid="{00000000-0005-0000-0000-000069310000}"/>
    <cellStyle name="Normal 2 2 9 5" xfId="21548" xr:uid="{00000000-0005-0000-0000-00006A310000}"/>
    <cellStyle name="Normal 2 2_Consultant and Outside Services - Nov 2011" xfId="252" xr:uid="{00000000-0005-0000-0000-00006B310000}"/>
    <cellStyle name="Normal 2 3" xfId="72" xr:uid="{00000000-0005-0000-0000-00006C310000}"/>
    <cellStyle name="Normal 2 3 2" xfId="253" xr:uid="{00000000-0005-0000-0000-00006D310000}"/>
    <cellStyle name="Normal 2 3 2 2" xfId="447" xr:uid="{00000000-0005-0000-0000-00006E310000}"/>
    <cellStyle name="Normal 2 3 3" xfId="448" xr:uid="{00000000-0005-0000-0000-00006F310000}"/>
    <cellStyle name="Normal 2 3 3 2" xfId="3617" xr:uid="{00000000-0005-0000-0000-000070310000}"/>
    <cellStyle name="Normal 2 3 4" xfId="1770" xr:uid="{00000000-0005-0000-0000-000071310000}"/>
    <cellStyle name="Normal 2 3 5" xfId="3616" xr:uid="{00000000-0005-0000-0000-000072310000}"/>
    <cellStyle name="Normal 2 3 6" xfId="10912" xr:uid="{00000000-0005-0000-0000-000073310000}"/>
    <cellStyle name="Normal 2 3 6 2" xfId="28231" xr:uid="{00000000-0005-0000-0000-000074310000}"/>
    <cellStyle name="Normal 2 3 6 3" xfId="11432" xr:uid="{00000000-0005-0000-0000-000075310000}"/>
    <cellStyle name="Normal 2 3 7" xfId="2074" xr:uid="{00000000-0005-0000-0000-000076310000}"/>
    <cellStyle name="Normal 2 4" xfId="254" xr:uid="{00000000-0005-0000-0000-000077310000}"/>
    <cellStyle name="Normal 2 4 2" xfId="255" xr:uid="{00000000-0005-0000-0000-000078310000}"/>
    <cellStyle name="Normal 2 4 2 2" xfId="3618" xr:uid="{00000000-0005-0000-0000-000079310000}"/>
    <cellStyle name="Normal 2 4 2 2 2" xfId="13050" xr:uid="{00000000-0005-0000-0000-00007A310000}"/>
    <cellStyle name="Normal 2 4 2 2 2 2" xfId="29593" xr:uid="{00000000-0005-0000-0000-00007B310000}"/>
    <cellStyle name="Normal 2 4 2 2 3" xfId="21550" xr:uid="{00000000-0005-0000-0000-00007C310000}"/>
    <cellStyle name="Normal 2 4 3" xfId="3619" xr:uid="{00000000-0005-0000-0000-00007D310000}"/>
    <cellStyle name="Normal 2 5" xfId="256" xr:uid="{00000000-0005-0000-0000-00007E310000}"/>
    <cellStyle name="Normal 2 5 2" xfId="3621" xr:uid="{00000000-0005-0000-0000-00007F310000}"/>
    <cellStyle name="Normal 2 5 3" xfId="3622" xr:uid="{00000000-0005-0000-0000-000080310000}"/>
    <cellStyle name="Normal 2 5 4" xfId="3620" xr:uid="{00000000-0005-0000-0000-000081310000}"/>
    <cellStyle name="Normal 2 6" xfId="257" xr:uid="{00000000-0005-0000-0000-000082310000}"/>
    <cellStyle name="Normal 2 6 2" xfId="3624" xr:uid="{00000000-0005-0000-0000-000083310000}"/>
    <cellStyle name="Normal 2 6 3" xfId="3625" xr:uid="{00000000-0005-0000-0000-000084310000}"/>
    <cellStyle name="Normal 2 6 4" xfId="3623" xr:uid="{00000000-0005-0000-0000-000085310000}"/>
    <cellStyle name="Normal 2 7" xfId="258" xr:uid="{00000000-0005-0000-0000-000086310000}"/>
    <cellStyle name="Normal 2 7 2" xfId="3627" xr:uid="{00000000-0005-0000-0000-000087310000}"/>
    <cellStyle name="Normal 2 7 3" xfId="3626" xr:uid="{00000000-0005-0000-0000-000088310000}"/>
    <cellStyle name="Normal 2 8" xfId="381" xr:uid="{00000000-0005-0000-0000-000089310000}"/>
    <cellStyle name="Normal 2 8 2" xfId="3628" xr:uid="{00000000-0005-0000-0000-00008A310000}"/>
    <cellStyle name="Normal 2 8 3" xfId="449" xr:uid="{00000000-0005-0000-0000-00008B310000}"/>
    <cellStyle name="Normal 2 9" xfId="450" xr:uid="{00000000-0005-0000-0000-00008C310000}"/>
    <cellStyle name="Normal 2 9 2" xfId="3629" xr:uid="{00000000-0005-0000-0000-00008D310000}"/>
    <cellStyle name="Normal 2_BOD Financials_11.15.11" xfId="259" xr:uid="{00000000-0005-0000-0000-00008E310000}"/>
    <cellStyle name="Normal 20" xfId="3630" xr:uid="{00000000-0005-0000-0000-00008F310000}"/>
    <cellStyle name="Normal 20 10" xfId="13051" xr:uid="{00000000-0005-0000-0000-000090310000}"/>
    <cellStyle name="Normal 20 10 2" xfId="29594" xr:uid="{00000000-0005-0000-0000-000091310000}"/>
    <cellStyle name="Normal 20 11" xfId="21551" xr:uid="{00000000-0005-0000-0000-000092310000}"/>
    <cellStyle name="Normal 20 2" xfId="3631" xr:uid="{00000000-0005-0000-0000-000093310000}"/>
    <cellStyle name="Normal 20 2 2" xfId="3632" xr:uid="{00000000-0005-0000-0000-000094310000}"/>
    <cellStyle name="Normal 20 2 3" xfId="13052" xr:uid="{00000000-0005-0000-0000-000095310000}"/>
    <cellStyle name="Normal 20 2 3 2" xfId="29595" xr:uid="{00000000-0005-0000-0000-000096310000}"/>
    <cellStyle name="Normal 20 2 4" xfId="21552" xr:uid="{00000000-0005-0000-0000-000097310000}"/>
    <cellStyle name="Normal 20 3" xfId="3633" xr:uid="{00000000-0005-0000-0000-000098310000}"/>
    <cellStyle name="Normal 20 3 2" xfId="3634" xr:uid="{00000000-0005-0000-0000-000099310000}"/>
    <cellStyle name="Normal 20 3 2 2" xfId="3635" xr:uid="{00000000-0005-0000-0000-00009A310000}"/>
    <cellStyle name="Normal 20 3 2 2 2" xfId="3636" xr:uid="{00000000-0005-0000-0000-00009B310000}"/>
    <cellStyle name="Normal 20 3 2 2 2 2" xfId="7754" xr:uid="{00000000-0005-0000-0000-00009C310000}"/>
    <cellStyle name="Normal 20 3 2 2 2 2 2" xfId="16932" xr:uid="{00000000-0005-0000-0000-00009D310000}"/>
    <cellStyle name="Normal 20 3 2 2 2 2 2 2" xfId="33506" xr:uid="{00000000-0005-0000-0000-00009E310000}"/>
    <cellStyle name="Normal 20 3 2 2 2 2 3" xfId="25459" xr:uid="{00000000-0005-0000-0000-00009F310000}"/>
    <cellStyle name="Normal 20 3 2 2 2 3" xfId="13055" xr:uid="{00000000-0005-0000-0000-0000A0310000}"/>
    <cellStyle name="Normal 20 3 2 2 2 3 2" xfId="29598" xr:uid="{00000000-0005-0000-0000-0000A1310000}"/>
    <cellStyle name="Normal 20 3 2 2 2 4" xfId="21555" xr:uid="{00000000-0005-0000-0000-0000A2310000}"/>
    <cellStyle name="Normal 20 3 2 2 3" xfId="7755" xr:uid="{00000000-0005-0000-0000-0000A3310000}"/>
    <cellStyle name="Normal 20 3 2 2 3 2" xfId="16933" xr:uid="{00000000-0005-0000-0000-0000A4310000}"/>
    <cellStyle name="Normal 20 3 2 2 3 2 2" xfId="33507" xr:uid="{00000000-0005-0000-0000-0000A5310000}"/>
    <cellStyle name="Normal 20 3 2 2 3 3" xfId="25460" xr:uid="{00000000-0005-0000-0000-0000A6310000}"/>
    <cellStyle name="Normal 20 3 2 2 4" xfId="13054" xr:uid="{00000000-0005-0000-0000-0000A7310000}"/>
    <cellStyle name="Normal 20 3 2 2 4 2" xfId="29597" xr:uid="{00000000-0005-0000-0000-0000A8310000}"/>
    <cellStyle name="Normal 20 3 2 2 5" xfId="21554" xr:uid="{00000000-0005-0000-0000-0000A9310000}"/>
    <cellStyle name="Normal 20 3 2 3" xfId="3637" xr:uid="{00000000-0005-0000-0000-0000AA310000}"/>
    <cellStyle name="Normal 20 3 2 3 2" xfId="7756" xr:uid="{00000000-0005-0000-0000-0000AB310000}"/>
    <cellStyle name="Normal 20 3 2 3 2 2" xfId="16934" xr:uid="{00000000-0005-0000-0000-0000AC310000}"/>
    <cellStyle name="Normal 20 3 2 3 2 2 2" xfId="33508" xr:uid="{00000000-0005-0000-0000-0000AD310000}"/>
    <cellStyle name="Normal 20 3 2 3 2 3" xfId="25461" xr:uid="{00000000-0005-0000-0000-0000AE310000}"/>
    <cellStyle name="Normal 20 3 2 3 3" xfId="13056" xr:uid="{00000000-0005-0000-0000-0000AF310000}"/>
    <cellStyle name="Normal 20 3 2 3 3 2" xfId="29599" xr:uid="{00000000-0005-0000-0000-0000B0310000}"/>
    <cellStyle name="Normal 20 3 2 3 4" xfId="21556" xr:uid="{00000000-0005-0000-0000-0000B1310000}"/>
    <cellStyle name="Normal 20 3 2 4" xfId="7757" xr:uid="{00000000-0005-0000-0000-0000B2310000}"/>
    <cellStyle name="Normal 20 3 2 4 2" xfId="16935" xr:uid="{00000000-0005-0000-0000-0000B3310000}"/>
    <cellStyle name="Normal 20 3 2 4 2 2" xfId="33509" xr:uid="{00000000-0005-0000-0000-0000B4310000}"/>
    <cellStyle name="Normal 20 3 2 4 3" xfId="25462" xr:uid="{00000000-0005-0000-0000-0000B5310000}"/>
    <cellStyle name="Normal 20 3 2 5" xfId="13053" xr:uid="{00000000-0005-0000-0000-0000B6310000}"/>
    <cellStyle name="Normal 20 3 2 5 2" xfId="29596" xr:uid="{00000000-0005-0000-0000-0000B7310000}"/>
    <cellStyle name="Normal 20 3 2 6" xfId="21553" xr:uid="{00000000-0005-0000-0000-0000B8310000}"/>
    <cellStyle name="Normal 20 3 3" xfId="3638" xr:uid="{00000000-0005-0000-0000-0000B9310000}"/>
    <cellStyle name="Normal 20 3 3 2" xfId="3639" xr:uid="{00000000-0005-0000-0000-0000BA310000}"/>
    <cellStyle name="Normal 20 3 3 2 2" xfId="7758" xr:uid="{00000000-0005-0000-0000-0000BB310000}"/>
    <cellStyle name="Normal 20 3 3 2 2 2" xfId="16936" xr:uid="{00000000-0005-0000-0000-0000BC310000}"/>
    <cellStyle name="Normal 20 3 3 2 2 2 2" xfId="33510" xr:uid="{00000000-0005-0000-0000-0000BD310000}"/>
    <cellStyle name="Normal 20 3 3 2 2 3" xfId="25463" xr:uid="{00000000-0005-0000-0000-0000BE310000}"/>
    <cellStyle name="Normal 20 3 3 2 3" xfId="13058" xr:uid="{00000000-0005-0000-0000-0000BF310000}"/>
    <cellStyle name="Normal 20 3 3 2 3 2" xfId="29601" xr:uid="{00000000-0005-0000-0000-0000C0310000}"/>
    <cellStyle name="Normal 20 3 3 2 4" xfId="21558" xr:uid="{00000000-0005-0000-0000-0000C1310000}"/>
    <cellStyle name="Normal 20 3 3 3" xfId="7759" xr:uid="{00000000-0005-0000-0000-0000C2310000}"/>
    <cellStyle name="Normal 20 3 3 3 2" xfId="16937" xr:uid="{00000000-0005-0000-0000-0000C3310000}"/>
    <cellStyle name="Normal 20 3 3 3 2 2" xfId="33511" xr:uid="{00000000-0005-0000-0000-0000C4310000}"/>
    <cellStyle name="Normal 20 3 3 3 3" xfId="25464" xr:uid="{00000000-0005-0000-0000-0000C5310000}"/>
    <cellStyle name="Normal 20 3 3 4" xfId="13057" xr:uid="{00000000-0005-0000-0000-0000C6310000}"/>
    <cellStyle name="Normal 20 3 3 4 2" xfId="29600" xr:uid="{00000000-0005-0000-0000-0000C7310000}"/>
    <cellStyle name="Normal 20 3 3 5" xfId="21557" xr:uid="{00000000-0005-0000-0000-0000C8310000}"/>
    <cellStyle name="Normal 20 3 4" xfId="3640" xr:uid="{00000000-0005-0000-0000-0000C9310000}"/>
    <cellStyle name="Normal 20 3 4 2" xfId="7760" xr:uid="{00000000-0005-0000-0000-0000CA310000}"/>
    <cellStyle name="Normal 20 3 4 2 2" xfId="16938" xr:uid="{00000000-0005-0000-0000-0000CB310000}"/>
    <cellStyle name="Normal 20 3 4 2 2 2" xfId="33512" xr:uid="{00000000-0005-0000-0000-0000CC310000}"/>
    <cellStyle name="Normal 20 3 4 2 3" xfId="25465" xr:uid="{00000000-0005-0000-0000-0000CD310000}"/>
    <cellStyle name="Normal 20 3 4 3" xfId="13059" xr:uid="{00000000-0005-0000-0000-0000CE310000}"/>
    <cellStyle name="Normal 20 3 4 3 2" xfId="29602" xr:uid="{00000000-0005-0000-0000-0000CF310000}"/>
    <cellStyle name="Normal 20 3 4 4" xfId="21559" xr:uid="{00000000-0005-0000-0000-0000D0310000}"/>
    <cellStyle name="Normal 20 3 5" xfId="3641" xr:uid="{00000000-0005-0000-0000-0000D1310000}"/>
    <cellStyle name="Normal 20 3 5 2" xfId="13060" xr:uid="{00000000-0005-0000-0000-0000D2310000}"/>
    <cellStyle name="Normal 20 3 5 2 2" xfId="29603" xr:uid="{00000000-0005-0000-0000-0000D3310000}"/>
    <cellStyle name="Normal 20 3 5 3" xfId="21560" xr:uid="{00000000-0005-0000-0000-0000D4310000}"/>
    <cellStyle name="Normal 20 4" xfId="3642" xr:uid="{00000000-0005-0000-0000-0000D5310000}"/>
    <cellStyle name="Normal 20 4 2" xfId="3643" xr:uid="{00000000-0005-0000-0000-0000D6310000}"/>
    <cellStyle name="Normal 20 4 2 2" xfId="3644" xr:uid="{00000000-0005-0000-0000-0000D7310000}"/>
    <cellStyle name="Normal 20 4 2 2 2" xfId="3645" xr:uid="{00000000-0005-0000-0000-0000D8310000}"/>
    <cellStyle name="Normal 20 4 2 2 2 2" xfId="7761" xr:uid="{00000000-0005-0000-0000-0000D9310000}"/>
    <cellStyle name="Normal 20 4 2 2 2 2 2" xfId="16939" xr:uid="{00000000-0005-0000-0000-0000DA310000}"/>
    <cellStyle name="Normal 20 4 2 2 2 2 2 2" xfId="33513" xr:uid="{00000000-0005-0000-0000-0000DB310000}"/>
    <cellStyle name="Normal 20 4 2 2 2 2 3" xfId="25466" xr:uid="{00000000-0005-0000-0000-0000DC310000}"/>
    <cellStyle name="Normal 20 4 2 2 2 3" xfId="13064" xr:uid="{00000000-0005-0000-0000-0000DD310000}"/>
    <cellStyle name="Normal 20 4 2 2 2 3 2" xfId="29607" xr:uid="{00000000-0005-0000-0000-0000DE310000}"/>
    <cellStyle name="Normal 20 4 2 2 2 4" xfId="21564" xr:uid="{00000000-0005-0000-0000-0000DF310000}"/>
    <cellStyle name="Normal 20 4 2 2 3" xfId="7762" xr:uid="{00000000-0005-0000-0000-0000E0310000}"/>
    <cellStyle name="Normal 20 4 2 2 3 2" xfId="16940" xr:uid="{00000000-0005-0000-0000-0000E1310000}"/>
    <cellStyle name="Normal 20 4 2 2 3 2 2" xfId="33514" xr:uid="{00000000-0005-0000-0000-0000E2310000}"/>
    <cellStyle name="Normal 20 4 2 2 3 3" xfId="25467" xr:uid="{00000000-0005-0000-0000-0000E3310000}"/>
    <cellStyle name="Normal 20 4 2 2 4" xfId="13063" xr:uid="{00000000-0005-0000-0000-0000E4310000}"/>
    <cellStyle name="Normal 20 4 2 2 4 2" xfId="29606" xr:uid="{00000000-0005-0000-0000-0000E5310000}"/>
    <cellStyle name="Normal 20 4 2 2 5" xfId="21563" xr:uid="{00000000-0005-0000-0000-0000E6310000}"/>
    <cellStyle name="Normal 20 4 2 3" xfId="3646" xr:uid="{00000000-0005-0000-0000-0000E7310000}"/>
    <cellStyle name="Normal 20 4 2 3 2" xfId="7763" xr:uid="{00000000-0005-0000-0000-0000E8310000}"/>
    <cellStyle name="Normal 20 4 2 3 2 2" xfId="16941" xr:uid="{00000000-0005-0000-0000-0000E9310000}"/>
    <cellStyle name="Normal 20 4 2 3 2 2 2" xfId="33515" xr:uid="{00000000-0005-0000-0000-0000EA310000}"/>
    <cellStyle name="Normal 20 4 2 3 2 3" xfId="25468" xr:uid="{00000000-0005-0000-0000-0000EB310000}"/>
    <cellStyle name="Normal 20 4 2 3 3" xfId="13065" xr:uid="{00000000-0005-0000-0000-0000EC310000}"/>
    <cellStyle name="Normal 20 4 2 3 3 2" xfId="29608" xr:uid="{00000000-0005-0000-0000-0000ED310000}"/>
    <cellStyle name="Normal 20 4 2 3 4" xfId="21565" xr:uid="{00000000-0005-0000-0000-0000EE310000}"/>
    <cellStyle name="Normal 20 4 2 4" xfId="7764" xr:uid="{00000000-0005-0000-0000-0000EF310000}"/>
    <cellStyle name="Normal 20 4 2 4 2" xfId="16942" xr:uid="{00000000-0005-0000-0000-0000F0310000}"/>
    <cellStyle name="Normal 20 4 2 4 2 2" xfId="33516" xr:uid="{00000000-0005-0000-0000-0000F1310000}"/>
    <cellStyle name="Normal 20 4 2 4 3" xfId="25469" xr:uid="{00000000-0005-0000-0000-0000F2310000}"/>
    <cellStyle name="Normal 20 4 2 5" xfId="13062" xr:uid="{00000000-0005-0000-0000-0000F3310000}"/>
    <cellStyle name="Normal 20 4 2 5 2" xfId="29605" xr:uid="{00000000-0005-0000-0000-0000F4310000}"/>
    <cellStyle name="Normal 20 4 2 6" xfId="21562" xr:uid="{00000000-0005-0000-0000-0000F5310000}"/>
    <cellStyle name="Normal 20 4 3" xfId="3647" xr:uid="{00000000-0005-0000-0000-0000F6310000}"/>
    <cellStyle name="Normal 20 4 3 2" xfId="3648" xr:uid="{00000000-0005-0000-0000-0000F7310000}"/>
    <cellStyle name="Normal 20 4 3 2 2" xfId="7765" xr:uid="{00000000-0005-0000-0000-0000F8310000}"/>
    <cellStyle name="Normal 20 4 3 2 2 2" xfId="16943" xr:uid="{00000000-0005-0000-0000-0000F9310000}"/>
    <cellStyle name="Normal 20 4 3 2 2 2 2" xfId="33517" xr:uid="{00000000-0005-0000-0000-0000FA310000}"/>
    <cellStyle name="Normal 20 4 3 2 2 3" xfId="25470" xr:uid="{00000000-0005-0000-0000-0000FB310000}"/>
    <cellStyle name="Normal 20 4 3 2 3" xfId="13067" xr:uid="{00000000-0005-0000-0000-0000FC310000}"/>
    <cellStyle name="Normal 20 4 3 2 3 2" xfId="29610" xr:uid="{00000000-0005-0000-0000-0000FD310000}"/>
    <cellStyle name="Normal 20 4 3 2 4" xfId="21567" xr:uid="{00000000-0005-0000-0000-0000FE310000}"/>
    <cellStyle name="Normal 20 4 3 3" xfId="7766" xr:uid="{00000000-0005-0000-0000-0000FF310000}"/>
    <cellStyle name="Normal 20 4 3 3 2" xfId="16944" xr:uid="{00000000-0005-0000-0000-000000320000}"/>
    <cellStyle name="Normal 20 4 3 3 2 2" xfId="33518" xr:uid="{00000000-0005-0000-0000-000001320000}"/>
    <cellStyle name="Normal 20 4 3 3 3" xfId="25471" xr:uid="{00000000-0005-0000-0000-000002320000}"/>
    <cellStyle name="Normal 20 4 3 4" xfId="13066" xr:uid="{00000000-0005-0000-0000-000003320000}"/>
    <cellStyle name="Normal 20 4 3 4 2" xfId="29609" xr:uid="{00000000-0005-0000-0000-000004320000}"/>
    <cellStyle name="Normal 20 4 3 5" xfId="21566" xr:uid="{00000000-0005-0000-0000-000005320000}"/>
    <cellStyle name="Normal 20 4 4" xfId="3649" xr:uid="{00000000-0005-0000-0000-000006320000}"/>
    <cellStyle name="Normal 20 4 4 2" xfId="7767" xr:uid="{00000000-0005-0000-0000-000007320000}"/>
    <cellStyle name="Normal 20 4 4 2 2" xfId="16945" xr:uid="{00000000-0005-0000-0000-000008320000}"/>
    <cellStyle name="Normal 20 4 4 2 2 2" xfId="33519" xr:uid="{00000000-0005-0000-0000-000009320000}"/>
    <cellStyle name="Normal 20 4 4 2 3" xfId="25472" xr:uid="{00000000-0005-0000-0000-00000A320000}"/>
    <cellStyle name="Normal 20 4 4 3" xfId="13068" xr:uid="{00000000-0005-0000-0000-00000B320000}"/>
    <cellStyle name="Normal 20 4 4 3 2" xfId="29611" xr:uid="{00000000-0005-0000-0000-00000C320000}"/>
    <cellStyle name="Normal 20 4 4 4" xfId="21568" xr:uid="{00000000-0005-0000-0000-00000D320000}"/>
    <cellStyle name="Normal 20 4 5" xfId="7768" xr:uid="{00000000-0005-0000-0000-00000E320000}"/>
    <cellStyle name="Normal 20 4 5 2" xfId="16946" xr:uid="{00000000-0005-0000-0000-00000F320000}"/>
    <cellStyle name="Normal 20 4 5 2 2" xfId="33520" xr:uid="{00000000-0005-0000-0000-000010320000}"/>
    <cellStyle name="Normal 20 4 5 3" xfId="25473" xr:uid="{00000000-0005-0000-0000-000011320000}"/>
    <cellStyle name="Normal 20 4 6" xfId="13061" xr:uid="{00000000-0005-0000-0000-000012320000}"/>
    <cellStyle name="Normal 20 4 6 2" xfId="29604" xr:uid="{00000000-0005-0000-0000-000013320000}"/>
    <cellStyle name="Normal 20 4 7" xfId="21561" xr:uid="{00000000-0005-0000-0000-000014320000}"/>
    <cellStyle name="Normal 20 5" xfId="3650" xr:uid="{00000000-0005-0000-0000-000015320000}"/>
    <cellStyle name="Normal 20 5 2" xfId="3651" xr:uid="{00000000-0005-0000-0000-000016320000}"/>
    <cellStyle name="Normal 20 5 2 2" xfId="3652" xr:uid="{00000000-0005-0000-0000-000017320000}"/>
    <cellStyle name="Normal 20 5 2 2 2" xfId="3653" xr:uid="{00000000-0005-0000-0000-000018320000}"/>
    <cellStyle name="Normal 20 5 2 2 2 2" xfId="7769" xr:uid="{00000000-0005-0000-0000-000019320000}"/>
    <cellStyle name="Normal 20 5 2 2 2 2 2" xfId="16947" xr:uid="{00000000-0005-0000-0000-00001A320000}"/>
    <cellStyle name="Normal 20 5 2 2 2 2 2 2" xfId="33521" xr:uid="{00000000-0005-0000-0000-00001B320000}"/>
    <cellStyle name="Normal 20 5 2 2 2 2 3" xfId="25474" xr:uid="{00000000-0005-0000-0000-00001C320000}"/>
    <cellStyle name="Normal 20 5 2 2 2 3" xfId="13072" xr:uid="{00000000-0005-0000-0000-00001D320000}"/>
    <cellStyle name="Normal 20 5 2 2 2 3 2" xfId="29615" xr:uid="{00000000-0005-0000-0000-00001E320000}"/>
    <cellStyle name="Normal 20 5 2 2 2 4" xfId="21572" xr:uid="{00000000-0005-0000-0000-00001F320000}"/>
    <cellStyle name="Normal 20 5 2 2 3" xfId="7770" xr:uid="{00000000-0005-0000-0000-000020320000}"/>
    <cellStyle name="Normal 20 5 2 2 3 2" xfId="16948" xr:uid="{00000000-0005-0000-0000-000021320000}"/>
    <cellStyle name="Normal 20 5 2 2 3 2 2" xfId="33522" xr:uid="{00000000-0005-0000-0000-000022320000}"/>
    <cellStyle name="Normal 20 5 2 2 3 3" xfId="25475" xr:uid="{00000000-0005-0000-0000-000023320000}"/>
    <cellStyle name="Normal 20 5 2 2 4" xfId="13071" xr:uid="{00000000-0005-0000-0000-000024320000}"/>
    <cellStyle name="Normal 20 5 2 2 4 2" xfId="29614" xr:uid="{00000000-0005-0000-0000-000025320000}"/>
    <cellStyle name="Normal 20 5 2 2 5" xfId="21571" xr:uid="{00000000-0005-0000-0000-000026320000}"/>
    <cellStyle name="Normal 20 5 2 3" xfId="3654" xr:uid="{00000000-0005-0000-0000-000027320000}"/>
    <cellStyle name="Normal 20 5 2 3 2" xfId="7771" xr:uid="{00000000-0005-0000-0000-000028320000}"/>
    <cellStyle name="Normal 20 5 2 3 2 2" xfId="16949" xr:uid="{00000000-0005-0000-0000-000029320000}"/>
    <cellStyle name="Normal 20 5 2 3 2 2 2" xfId="33523" xr:uid="{00000000-0005-0000-0000-00002A320000}"/>
    <cellStyle name="Normal 20 5 2 3 2 3" xfId="25476" xr:uid="{00000000-0005-0000-0000-00002B320000}"/>
    <cellStyle name="Normal 20 5 2 3 3" xfId="13073" xr:uid="{00000000-0005-0000-0000-00002C320000}"/>
    <cellStyle name="Normal 20 5 2 3 3 2" xfId="29616" xr:uid="{00000000-0005-0000-0000-00002D320000}"/>
    <cellStyle name="Normal 20 5 2 3 4" xfId="21573" xr:uid="{00000000-0005-0000-0000-00002E320000}"/>
    <cellStyle name="Normal 20 5 2 4" xfId="7772" xr:uid="{00000000-0005-0000-0000-00002F320000}"/>
    <cellStyle name="Normal 20 5 2 4 2" xfId="16950" xr:uid="{00000000-0005-0000-0000-000030320000}"/>
    <cellStyle name="Normal 20 5 2 4 2 2" xfId="33524" xr:uid="{00000000-0005-0000-0000-000031320000}"/>
    <cellStyle name="Normal 20 5 2 4 3" xfId="25477" xr:uid="{00000000-0005-0000-0000-000032320000}"/>
    <cellStyle name="Normal 20 5 2 5" xfId="13070" xr:uid="{00000000-0005-0000-0000-000033320000}"/>
    <cellStyle name="Normal 20 5 2 5 2" xfId="29613" xr:uid="{00000000-0005-0000-0000-000034320000}"/>
    <cellStyle name="Normal 20 5 2 6" xfId="21570" xr:uid="{00000000-0005-0000-0000-000035320000}"/>
    <cellStyle name="Normal 20 5 3" xfId="3655" xr:uid="{00000000-0005-0000-0000-000036320000}"/>
    <cellStyle name="Normal 20 5 3 2" xfId="3656" xr:uid="{00000000-0005-0000-0000-000037320000}"/>
    <cellStyle name="Normal 20 5 3 2 2" xfId="7773" xr:uid="{00000000-0005-0000-0000-000038320000}"/>
    <cellStyle name="Normal 20 5 3 2 2 2" xfId="16951" xr:uid="{00000000-0005-0000-0000-000039320000}"/>
    <cellStyle name="Normal 20 5 3 2 2 2 2" xfId="33525" xr:uid="{00000000-0005-0000-0000-00003A320000}"/>
    <cellStyle name="Normal 20 5 3 2 2 3" xfId="25478" xr:uid="{00000000-0005-0000-0000-00003B320000}"/>
    <cellStyle name="Normal 20 5 3 2 3" xfId="13075" xr:uid="{00000000-0005-0000-0000-00003C320000}"/>
    <cellStyle name="Normal 20 5 3 2 3 2" xfId="29618" xr:uid="{00000000-0005-0000-0000-00003D320000}"/>
    <cellStyle name="Normal 20 5 3 2 4" xfId="21575" xr:uid="{00000000-0005-0000-0000-00003E320000}"/>
    <cellStyle name="Normal 20 5 3 3" xfId="7774" xr:uid="{00000000-0005-0000-0000-00003F320000}"/>
    <cellStyle name="Normal 20 5 3 3 2" xfId="16952" xr:uid="{00000000-0005-0000-0000-000040320000}"/>
    <cellStyle name="Normal 20 5 3 3 2 2" xfId="33526" xr:uid="{00000000-0005-0000-0000-000041320000}"/>
    <cellStyle name="Normal 20 5 3 3 3" xfId="25479" xr:uid="{00000000-0005-0000-0000-000042320000}"/>
    <cellStyle name="Normal 20 5 3 4" xfId="13074" xr:uid="{00000000-0005-0000-0000-000043320000}"/>
    <cellStyle name="Normal 20 5 3 4 2" xfId="29617" xr:uid="{00000000-0005-0000-0000-000044320000}"/>
    <cellStyle name="Normal 20 5 3 5" xfId="21574" xr:uid="{00000000-0005-0000-0000-000045320000}"/>
    <cellStyle name="Normal 20 5 4" xfId="3657" xr:uid="{00000000-0005-0000-0000-000046320000}"/>
    <cellStyle name="Normal 20 5 4 2" xfId="7775" xr:uid="{00000000-0005-0000-0000-000047320000}"/>
    <cellStyle name="Normal 20 5 4 2 2" xfId="16953" xr:uid="{00000000-0005-0000-0000-000048320000}"/>
    <cellStyle name="Normal 20 5 4 2 2 2" xfId="33527" xr:uid="{00000000-0005-0000-0000-000049320000}"/>
    <cellStyle name="Normal 20 5 4 2 3" xfId="25480" xr:uid="{00000000-0005-0000-0000-00004A320000}"/>
    <cellStyle name="Normal 20 5 4 3" xfId="13076" xr:uid="{00000000-0005-0000-0000-00004B320000}"/>
    <cellStyle name="Normal 20 5 4 3 2" xfId="29619" xr:uid="{00000000-0005-0000-0000-00004C320000}"/>
    <cellStyle name="Normal 20 5 4 4" xfId="21576" xr:uid="{00000000-0005-0000-0000-00004D320000}"/>
    <cellStyle name="Normal 20 5 5" xfId="7776" xr:uid="{00000000-0005-0000-0000-00004E320000}"/>
    <cellStyle name="Normal 20 5 5 2" xfId="16954" xr:uid="{00000000-0005-0000-0000-00004F320000}"/>
    <cellStyle name="Normal 20 5 5 2 2" xfId="33528" xr:uid="{00000000-0005-0000-0000-000050320000}"/>
    <cellStyle name="Normal 20 5 5 3" xfId="25481" xr:uid="{00000000-0005-0000-0000-000051320000}"/>
    <cellStyle name="Normal 20 5 6" xfId="13069" xr:uid="{00000000-0005-0000-0000-000052320000}"/>
    <cellStyle name="Normal 20 5 6 2" xfId="29612" xr:uid="{00000000-0005-0000-0000-000053320000}"/>
    <cellStyle name="Normal 20 5 7" xfId="21569" xr:uid="{00000000-0005-0000-0000-000054320000}"/>
    <cellStyle name="Normal 20 6" xfId="3658" xr:uid="{00000000-0005-0000-0000-000055320000}"/>
    <cellStyle name="Normal 20 6 2" xfId="3659" xr:uid="{00000000-0005-0000-0000-000056320000}"/>
    <cellStyle name="Normal 20 6 2 2" xfId="3660" xr:uid="{00000000-0005-0000-0000-000057320000}"/>
    <cellStyle name="Normal 20 6 2 2 2" xfId="7777" xr:uid="{00000000-0005-0000-0000-000058320000}"/>
    <cellStyle name="Normal 20 6 2 2 2 2" xfId="16955" xr:uid="{00000000-0005-0000-0000-000059320000}"/>
    <cellStyle name="Normal 20 6 2 2 2 2 2" xfId="33529" xr:uid="{00000000-0005-0000-0000-00005A320000}"/>
    <cellStyle name="Normal 20 6 2 2 2 3" xfId="25482" xr:uid="{00000000-0005-0000-0000-00005B320000}"/>
    <cellStyle name="Normal 20 6 2 2 3" xfId="13079" xr:uid="{00000000-0005-0000-0000-00005C320000}"/>
    <cellStyle name="Normal 20 6 2 2 3 2" xfId="29622" xr:uid="{00000000-0005-0000-0000-00005D320000}"/>
    <cellStyle name="Normal 20 6 2 2 4" xfId="21579" xr:uid="{00000000-0005-0000-0000-00005E320000}"/>
    <cellStyle name="Normal 20 6 2 3" xfId="7778" xr:uid="{00000000-0005-0000-0000-00005F320000}"/>
    <cellStyle name="Normal 20 6 2 3 2" xfId="16956" xr:uid="{00000000-0005-0000-0000-000060320000}"/>
    <cellStyle name="Normal 20 6 2 3 2 2" xfId="33530" xr:uid="{00000000-0005-0000-0000-000061320000}"/>
    <cellStyle name="Normal 20 6 2 3 3" xfId="25483" xr:uid="{00000000-0005-0000-0000-000062320000}"/>
    <cellStyle name="Normal 20 6 2 4" xfId="13078" xr:uid="{00000000-0005-0000-0000-000063320000}"/>
    <cellStyle name="Normal 20 6 2 4 2" xfId="29621" xr:uid="{00000000-0005-0000-0000-000064320000}"/>
    <cellStyle name="Normal 20 6 2 5" xfId="21578" xr:uid="{00000000-0005-0000-0000-000065320000}"/>
    <cellStyle name="Normal 20 6 3" xfId="3661" xr:uid="{00000000-0005-0000-0000-000066320000}"/>
    <cellStyle name="Normal 20 6 3 2" xfId="7779" xr:uid="{00000000-0005-0000-0000-000067320000}"/>
    <cellStyle name="Normal 20 6 3 2 2" xfId="16957" xr:uid="{00000000-0005-0000-0000-000068320000}"/>
    <cellStyle name="Normal 20 6 3 2 2 2" xfId="33531" xr:uid="{00000000-0005-0000-0000-000069320000}"/>
    <cellStyle name="Normal 20 6 3 2 3" xfId="25484" xr:uid="{00000000-0005-0000-0000-00006A320000}"/>
    <cellStyle name="Normal 20 6 3 3" xfId="13080" xr:uid="{00000000-0005-0000-0000-00006B320000}"/>
    <cellStyle name="Normal 20 6 3 3 2" xfId="29623" xr:uid="{00000000-0005-0000-0000-00006C320000}"/>
    <cellStyle name="Normal 20 6 3 4" xfId="21580" xr:uid="{00000000-0005-0000-0000-00006D320000}"/>
    <cellStyle name="Normal 20 6 4" xfId="7780" xr:uid="{00000000-0005-0000-0000-00006E320000}"/>
    <cellStyle name="Normal 20 6 4 2" xfId="16958" xr:uid="{00000000-0005-0000-0000-00006F320000}"/>
    <cellStyle name="Normal 20 6 4 2 2" xfId="33532" xr:uid="{00000000-0005-0000-0000-000070320000}"/>
    <cellStyle name="Normal 20 6 4 3" xfId="25485" xr:uid="{00000000-0005-0000-0000-000071320000}"/>
    <cellStyle name="Normal 20 6 5" xfId="13077" xr:uid="{00000000-0005-0000-0000-000072320000}"/>
    <cellStyle name="Normal 20 6 5 2" xfId="29620" xr:uid="{00000000-0005-0000-0000-000073320000}"/>
    <cellStyle name="Normal 20 6 6" xfId="21577" xr:uid="{00000000-0005-0000-0000-000074320000}"/>
    <cellStyle name="Normal 20 7" xfId="3662" xr:uid="{00000000-0005-0000-0000-000075320000}"/>
    <cellStyle name="Normal 20 7 2" xfId="3663" xr:uid="{00000000-0005-0000-0000-000076320000}"/>
    <cellStyle name="Normal 20 7 2 2" xfId="7781" xr:uid="{00000000-0005-0000-0000-000077320000}"/>
    <cellStyle name="Normal 20 7 2 2 2" xfId="16959" xr:uid="{00000000-0005-0000-0000-000078320000}"/>
    <cellStyle name="Normal 20 7 2 2 2 2" xfId="33533" xr:uid="{00000000-0005-0000-0000-000079320000}"/>
    <cellStyle name="Normal 20 7 2 2 3" xfId="25486" xr:uid="{00000000-0005-0000-0000-00007A320000}"/>
    <cellStyle name="Normal 20 7 2 3" xfId="13082" xr:uid="{00000000-0005-0000-0000-00007B320000}"/>
    <cellStyle name="Normal 20 7 2 3 2" xfId="29625" xr:uid="{00000000-0005-0000-0000-00007C320000}"/>
    <cellStyle name="Normal 20 7 2 4" xfId="21582" xr:uid="{00000000-0005-0000-0000-00007D320000}"/>
    <cellStyle name="Normal 20 7 3" xfId="7782" xr:uid="{00000000-0005-0000-0000-00007E320000}"/>
    <cellStyle name="Normal 20 7 3 2" xfId="16960" xr:uid="{00000000-0005-0000-0000-00007F320000}"/>
    <cellStyle name="Normal 20 7 3 2 2" xfId="33534" xr:uid="{00000000-0005-0000-0000-000080320000}"/>
    <cellStyle name="Normal 20 7 3 3" xfId="25487" xr:uid="{00000000-0005-0000-0000-000081320000}"/>
    <cellStyle name="Normal 20 7 4" xfId="13081" xr:uid="{00000000-0005-0000-0000-000082320000}"/>
    <cellStyle name="Normal 20 7 4 2" xfId="29624" xr:uid="{00000000-0005-0000-0000-000083320000}"/>
    <cellStyle name="Normal 20 7 5" xfId="21581" xr:uid="{00000000-0005-0000-0000-000084320000}"/>
    <cellStyle name="Normal 20 8" xfId="3664" xr:uid="{00000000-0005-0000-0000-000085320000}"/>
    <cellStyle name="Normal 20 8 2" xfId="7783" xr:uid="{00000000-0005-0000-0000-000086320000}"/>
    <cellStyle name="Normal 20 8 2 2" xfId="16961" xr:uid="{00000000-0005-0000-0000-000087320000}"/>
    <cellStyle name="Normal 20 8 2 2 2" xfId="33535" xr:uid="{00000000-0005-0000-0000-000088320000}"/>
    <cellStyle name="Normal 20 8 2 3" xfId="25488" xr:uid="{00000000-0005-0000-0000-000089320000}"/>
    <cellStyle name="Normal 20 8 3" xfId="13083" xr:uid="{00000000-0005-0000-0000-00008A320000}"/>
    <cellStyle name="Normal 20 8 3 2" xfId="29626" xr:uid="{00000000-0005-0000-0000-00008B320000}"/>
    <cellStyle name="Normal 20 8 4" xfId="21583" xr:uid="{00000000-0005-0000-0000-00008C320000}"/>
    <cellStyle name="Normal 20 9" xfId="7784" xr:uid="{00000000-0005-0000-0000-00008D320000}"/>
    <cellStyle name="Normal 20 9 2" xfId="16962" xr:uid="{00000000-0005-0000-0000-00008E320000}"/>
    <cellStyle name="Normal 20 9 2 2" xfId="33536" xr:uid="{00000000-0005-0000-0000-00008F320000}"/>
    <cellStyle name="Normal 20 9 3" xfId="25489" xr:uid="{00000000-0005-0000-0000-000090320000}"/>
    <cellStyle name="Normal 200" xfId="10617" xr:uid="{00000000-0005-0000-0000-000091320000}"/>
    <cellStyle name="Normal 201" xfId="10620" xr:uid="{00000000-0005-0000-0000-000092320000}"/>
    <cellStyle name="Normal 202" xfId="10623" xr:uid="{00000000-0005-0000-0000-000093320000}"/>
    <cellStyle name="Normal 203" xfId="10626" xr:uid="{00000000-0005-0000-0000-000094320000}"/>
    <cellStyle name="Normal 204" xfId="10629" xr:uid="{00000000-0005-0000-0000-000095320000}"/>
    <cellStyle name="Normal 205" xfId="10632" xr:uid="{00000000-0005-0000-0000-000096320000}"/>
    <cellStyle name="Normal 206" xfId="10635" xr:uid="{00000000-0005-0000-0000-000097320000}"/>
    <cellStyle name="Normal 207" xfId="10638" xr:uid="{00000000-0005-0000-0000-000098320000}"/>
    <cellStyle name="Normal 208" xfId="10641" xr:uid="{00000000-0005-0000-0000-000099320000}"/>
    <cellStyle name="Normal 209" xfId="10644" xr:uid="{00000000-0005-0000-0000-00009A320000}"/>
    <cellStyle name="Normal 21" xfId="3665" xr:uid="{00000000-0005-0000-0000-00009B320000}"/>
    <cellStyle name="Normal 21 10" xfId="13084" xr:uid="{00000000-0005-0000-0000-00009C320000}"/>
    <cellStyle name="Normal 21 10 2" xfId="29627" xr:uid="{00000000-0005-0000-0000-00009D320000}"/>
    <cellStyle name="Normal 21 11" xfId="21584" xr:uid="{00000000-0005-0000-0000-00009E320000}"/>
    <cellStyle name="Normal 21 2" xfId="3666" xr:uid="{00000000-0005-0000-0000-00009F320000}"/>
    <cellStyle name="Normal 21 2 2" xfId="3667" xr:uid="{00000000-0005-0000-0000-0000A0320000}"/>
    <cellStyle name="Normal 21 2 3" xfId="13085" xr:uid="{00000000-0005-0000-0000-0000A1320000}"/>
    <cellStyle name="Normal 21 2 3 2" xfId="29628" xr:uid="{00000000-0005-0000-0000-0000A2320000}"/>
    <cellStyle name="Normal 21 2 4" xfId="21585" xr:uid="{00000000-0005-0000-0000-0000A3320000}"/>
    <cellStyle name="Normal 21 3" xfId="3668" xr:uid="{00000000-0005-0000-0000-0000A4320000}"/>
    <cellStyle name="Normal 21 3 2" xfId="3669" xr:uid="{00000000-0005-0000-0000-0000A5320000}"/>
    <cellStyle name="Normal 21 3 2 2" xfId="3670" xr:uid="{00000000-0005-0000-0000-0000A6320000}"/>
    <cellStyle name="Normal 21 3 2 2 2" xfId="3671" xr:uid="{00000000-0005-0000-0000-0000A7320000}"/>
    <cellStyle name="Normal 21 3 2 2 2 2" xfId="7785" xr:uid="{00000000-0005-0000-0000-0000A8320000}"/>
    <cellStyle name="Normal 21 3 2 2 2 2 2" xfId="16963" xr:uid="{00000000-0005-0000-0000-0000A9320000}"/>
    <cellStyle name="Normal 21 3 2 2 2 2 2 2" xfId="33537" xr:uid="{00000000-0005-0000-0000-0000AA320000}"/>
    <cellStyle name="Normal 21 3 2 2 2 2 3" xfId="25490" xr:uid="{00000000-0005-0000-0000-0000AB320000}"/>
    <cellStyle name="Normal 21 3 2 2 2 3" xfId="13088" xr:uid="{00000000-0005-0000-0000-0000AC320000}"/>
    <cellStyle name="Normal 21 3 2 2 2 3 2" xfId="29631" xr:uid="{00000000-0005-0000-0000-0000AD320000}"/>
    <cellStyle name="Normal 21 3 2 2 2 4" xfId="21588" xr:uid="{00000000-0005-0000-0000-0000AE320000}"/>
    <cellStyle name="Normal 21 3 2 2 3" xfId="7786" xr:uid="{00000000-0005-0000-0000-0000AF320000}"/>
    <cellStyle name="Normal 21 3 2 2 3 2" xfId="16964" xr:uid="{00000000-0005-0000-0000-0000B0320000}"/>
    <cellStyle name="Normal 21 3 2 2 3 2 2" xfId="33538" xr:uid="{00000000-0005-0000-0000-0000B1320000}"/>
    <cellStyle name="Normal 21 3 2 2 3 3" xfId="25491" xr:uid="{00000000-0005-0000-0000-0000B2320000}"/>
    <cellStyle name="Normal 21 3 2 2 4" xfId="13087" xr:uid="{00000000-0005-0000-0000-0000B3320000}"/>
    <cellStyle name="Normal 21 3 2 2 4 2" xfId="29630" xr:uid="{00000000-0005-0000-0000-0000B4320000}"/>
    <cellStyle name="Normal 21 3 2 2 5" xfId="21587" xr:uid="{00000000-0005-0000-0000-0000B5320000}"/>
    <cellStyle name="Normal 21 3 2 3" xfId="3672" xr:uid="{00000000-0005-0000-0000-0000B6320000}"/>
    <cellStyle name="Normal 21 3 2 3 2" xfId="7787" xr:uid="{00000000-0005-0000-0000-0000B7320000}"/>
    <cellStyle name="Normal 21 3 2 3 2 2" xfId="16965" xr:uid="{00000000-0005-0000-0000-0000B8320000}"/>
    <cellStyle name="Normal 21 3 2 3 2 2 2" xfId="33539" xr:uid="{00000000-0005-0000-0000-0000B9320000}"/>
    <cellStyle name="Normal 21 3 2 3 2 3" xfId="25492" xr:uid="{00000000-0005-0000-0000-0000BA320000}"/>
    <cellStyle name="Normal 21 3 2 3 3" xfId="13089" xr:uid="{00000000-0005-0000-0000-0000BB320000}"/>
    <cellStyle name="Normal 21 3 2 3 3 2" xfId="29632" xr:uid="{00000000-0005-0000-0000-0000BC320000}"/>
    <cellStyle name="Normal 21 3 2 3 4" xfId="21589" xr:uid="{00000000-0005-0000-0000-0000BD320000}"/>
    <cellStyle name="Normal 21 3 2 4" xfId="7788" xr:uid="{00000000-0005-0000-0000-0000BE320000}"/>
    <cellStyle name="Normal 21 3 2 4 2" xfId="16966" xr:uid="{00000000-0005-0000-0000-0000BF320000}"/>
    <cellStyle name="Normal 21 3 2 4 2 2" xfId="33540" xr:uid="{00000000-0005-0000-0000-0000C0320000}"/>
    <cellStyle name="Normal 21 3 2 4 3" xfId="25493" xr:uid="{00000000-0005-0000-0000-0000C1320000}"/>
    <cellStyle name="Normal 21 3 2 5" xfId="13086" xr:uid="{00000000-0005-0000-0000-0000C2320000}"/>
    <cellStyle name="Normal 21 3 2 5 2" xfId="29629" xr:uid="{00000000-0005-0000-0000-0000C3320000}"/>
    <cellStyle name="Normal 21 3 2 6" xfId="21586" xr:uid="{00000000-0005-0000-0000-0000C4320000}"/>
    <cellStyle name="Normal 21 3 3" xfId="3673" xr:uid="{00000000-0005-0000-0000-0000C5320000}"/>
    <cellStyle name="Normal 21 3 3 2" xfId="3674" xr:uid="{00000000-0005-0000-0000-0000C6320000}"/>
    <cellStyle name="Normal 21 3 3 2 2" xfId="7789" xr:uid="{00000000-0005-0000-0000-0000C7320000}"/>
    <cellStyle name="Normal 21 3 3 2 2 2" xfId="16967" xr:uid="{00000000-0005-0000-0000-0000C8320000}"/>
    <cellStyle name="Normal 21 3 3 2 2 2 2" xfId="33541" xr:uid="{00000000-0005-0000-0000-0000C9320000}"/>
    <cellStyle name="Normal 21 3 3 2 2 3" xfId="25494" xr:uid="{00000000-0005-0000-0000-0000CA320000}"/>
    <cellStyle name="Normal 21 3 3 2 3" xfId="13091" xr:uid="{00000000-0005-0000-0000-0000CB320000}"/>
    <cellStyle name="Normal 21 3 3 2 3 2" xfId="29634" xr:uid="{00000000-0005-0000-0000-0000CC320000}"/>
    <cellStyle name="Normal 21 3 3 2 4" xfId="21591" xr:uid="{00000000-0005-0000-0000-0000CD320000}"/>
    <cellStyle name="Normal 21 3 3 3" xfId="7790" xr:uid="{00000000-0005-0000-0000-0000CE320000}"/>
    <cellStyle name="Normal 21 3 3 3 2" xfId="16968" xr:uid="{00000000-0005-0000-0000-0000CF320000}"/>
    <cellStyle name="Normal 21 3 3 3 2 2" xfId="33542" xr:uid="{00000000-0005-0000-0000-0000D0320000}"/>
    <cellStyle name="Normal 21 3 3 3 3" xfId="25495" xr:uid="{00000000-0005-0000-0000-0000D1320000}"/>
    <cellStyle name="Normal 21 3 3 4" xfId="13090" xr:uid="{00000000-0005-0000-0000-0000D2320000}"/>
    <cellStyle name="Normal 21 3 3 4 2" xfId="29633" xr:uid="{00000000-0005-0000-0000-0000D3320000}"/>
    <cellStyle name="Normal 21 3 3 5" xfId="21590" xr:uid="{00000000-0005-0000-0000-0000D4320000}"/>
    <cellStyle name="Normal 21 3 4" xfId="3675" xr:uid="{00000000-0005-0000-0000-0000D5320000}"/>
    <cellStyle name="Normal 21 3 4 2" xfId="7791" xr:uid="{00000000-0005-0000-0000-0000D6320000}"/>
    <cellStyle name="Normal 21 3 4 2 2" xfId="16969" xr:uid="{00000000-0005-0000-0000-0000D7320000}"/>
    <cellStyle name="Normal 21 3 4 2 2 2" xfId="33543" xr:uid="{00000000-0005-0000-0000-0000D8320000}"/>
    <cellStyle name="Normal 21 3 4 2 3" xfId="25496" xr:uid="{00000000-0005-0000-0000-0000D9320000}"/>
    <cellStyle name="Normal 21 3 4 3" xfId="13092" xr:uid="{00000000-0005-0000-0000-0000DA320000}"/>
    <cellStyle name="Normal 21 3 4 3 2" xfId="29635" xr:uid="{00000000-0005-0000-0000-0000DB320000}"/>
    <cellStyle name="Normal 21 3 4 4" xfId="21592" xr:uid="{00000000-0005-0000-0000-0000DC320000}"/>
    <cellStyle name="Normal 21 3 5" xfId="3676" xr:uid="{00000000-0005-0000-0000-0000DD320000}"/>
    <cellStyle name="Normal 21 3 5 2" xfId="13093" xr:uid="{00000000-0005-0000-0000-0000DE320000}"/>
    <cellStyle name="Normal 21 3 5 2 2" xfId="29636" xr:uid="{00000000-0005-0000-0000-0000DF320000}"/>
    <cellStyle name="Normal 21 3 5 3" xfId="21593" xr:uid="{00000000-0005-0000-0000-0000E0320000}"/>
    <cellStyle name="Normal 21 4" xfId="3677" xr:uid="{00000000-0005-0000-0000-0000E1320000}"/>
    <cellStyle name="Normal 21 4 2" xfId="3678" xr:uid="{00000000-0005-0000-0000-0000E2320000}"/>
    <cellStyle name="Normal 21 4 2 2" xfId="3679" xr:uid="{00000000-0005-0000-0000-0000E3320000}"/>
    <cellStyle name="Normal 21 4 2 2 2" xfId="3680" xr:uid="{00000000-0005-0000-0000-0000E4320000}"/>
    <cellStyle name="Normal 21 4 2 2 2 2" xfId="7792" xr:uid="{00000000-0005-0000-0000-0000E5320000}"/>
    <cellStyle name="Normal 21 4 2 2 2 2 2" xfId="16970" xr:uid="{00000000-0005-0000-0000-0000E6320000}"/>
    <cellStyle name="Normal 21 4 2 2 2 2 2 2" xfId="33544" xr:uid="{00000000-0005-0000-0000-0000E7320000}"/>
    <cellStyle name="Normal 21 4 2 2 2 2 3" xfId="25497" xr:uid="{00000000-0005-0000-0000-0000E8320000}"/>
    <cellStyle name="Normal 21 4 2 2 2 3" xfId="13097" xr:uid="{00000000-0005-0000-0000-0000E9320000}"/>
    <cellStyle name="Normal 21 4 2 2 2 3 2" xfId="29640" xr:uid="{00000000-0005-0000-0000-0000EA320000}"/>
    <cellStyle name="Normal 21 4 2 2 2 4" xfId="21597" xr:uid="{00000000-0005-0000-0000-0000EB320000}"/>
    <cellStyle name="Normal 21 4 2 2 3" xfId="7793" xr:uid="{00000000-0005-0000-0000-0000EC320000}"/>
    <cellStyle name="Normal 21 4 2 2 3 2" xfId="16971" xr:uid="{00000000-0005-0000-0000-0000ED320000}"/>
    <cellStyle name="Normal 21 4 2 2 3 2 2" xfId="33545" xr:uid="{00000000-0005-0000-0000-0000EE320000}"/>
    <cellStyle name="Normal 21 4 2 2 3 3" xfId="25498" xr:uid="{00000000-0005-0000-0000-0000EF320000}"/>
    <cellStyle name="Normal 21 4 2 2 4" xfId="13096" xr:uid="{00000000-0005-0000-0000-0000F0320000}"/>
    <cellStyle name="Normal 21 4 2 2 4 2" xfId="29639" xr:uid="{00000000-0005-0000-0000-0000F1320000}"/>
    <cellStyle name="Normal 21 4 2 2 5" xfId="21596" xr:uid="{00000000-0005-0000-0000-0000F2320000}"/>
    <cellStyle name="Normal 21 4 2 3" xfId="3681" xr:uid="{00000000-0005-0000-0000-0000F3320000}"/>
    <cellStyle name="Normal 21 4 2 3 2" xfId="7794" xr:uid="{00000000-0005-0000-0000-0000F4320000}"/>
    <cellStyle name="Normal 21 4 2 3 2 2" xfId="16972" xr:uid="{00000000-0005-0000-0000-0000F5320000}"/>
    <cellStyle name="Normal 21 4 2 3 2 2 2" xfId="33546" xr:uid="{00000000-0005-0000-0000-0000F6320000}"/>
    <cellStyle name="Normal 21 4 2 3 2 3" xfId="25499" xr:uid="{00000000-0005-0000-0000-0000F7320000}"/>
    <cellStyle name="Normal 21 4 2 3 3" xfId="13098" xr:uid="{00000000-0005-0000-0000-0000F8320000}"/>
    <cellStyle name="Normal 21 4 2 3 3 2" xfId="29641" xr:uid="{00000000-0005-0000-0000-0000F9320000}"/>
    <cellStyle name="Normal 21 4 2 3 4" xfId="21598" xr:uid="{00000000-0005-0000-0000-0000FA320000}"/>
    <cellStyle name="Normal 21 4 2 4" xfId="7795" xr:uid="{00000000-0005-0000-0000-0000FB320000}"/>
    <cellStyle name="Normal 21 4 2 4 2" xfId="16973" xr:uid="{00000000-0005-0000-0000-0000FC320000}"/>
    <cellStyle name="Normal 21 4 2 4 2 2" xfId="33547" xr:uid="{00000000-0005-0000-0000-0000FD320000}"/>
    <cellStyle name="Normal 21 4 2 4 3" xfId="25500" xr:uid="{00000000-0005-0000-0000-0000FE320000}"/>
    <cellStyle name="Normal 21 4 2 5" xfId="13095" xr:uid="{00000000-0005-0000-0000-0000FF320000}"/>
    <cellStyle name="Normal 21 4 2 5 2" xfId="29638" xr:uid="{00000000-0005-0000-0000-000000330000}"/>
    <cellStyle name="Normal 21 4 2 6" xfId="21595" xr:uid="{00000000-0005-0000-0000-000001330000}"/>
    <cellStyle name="Normal 21 4 3" xfId="3682" xr:uid="{00000000-0005-0000-0000-000002330000}"/>
    <cellStyle name="Normal 21 4 3 2" xfId="3683" xr:uid="{00000000-0005-0000-0000-000003330000}"/>
    <cellStyle name="Normal 21 4 3 2 2" xfId="7796" xr:uid="{00000000-0005-0000-0000-000004330000}"/>
    <cellStyle name="Normal 21 4 3 2 2 2" xfId="16974" xr:uid="{00000000-0005-0000-0000-000005330000}"/>
    <cellStyle name="Normal 21 4 3 2 2 2 2" xfId="33548" xr:uid="{00000000-0005-0000-0000-000006330000}"/>
    <cellStyle name="Normal 21 4 3 2 2 3" xfId="25501" xr:uid="{00000000-0005-0000-0000-000007330000}"/>
    <cellStyle name="Normal 21 4 3 2 3" xfId="13100" xr:uid="{00000000-0005-0000-0000-000008330000}"/>
    <cellStyle name="Normal 21 4 3 2 3 2" xfId="29643" xr:uid="{00000000-0005-0000-0000-000009330000}"/>
    <cellStyle name="Normal 21 4 3 2 4" xfId="21600" xr:uid="{00000000-0005-0000-0000-00000A330000}"/>
    <cellStyle name="Normal 21 4 3 3" xfId="7797" xr:uid="{00000000-0005-0000-0000-00000B330000}"/>
    <cellStyle name="Normal 21 4 3 3 2" xfId="16975" xr:uid="{00000000-0005-0000-0000-00000C330000}"/>
    <cellStyle name="Normal 21 4 3 3 2 2" xfId="33549" xr:uid="{00000000-0005-0000-0000-00000D330000}"/>
    <cellStyle name="Normal 21 4 3 3 3" xfId="25502" xr:uid="{00000000-0005-0000-0000-00000E330000}"/>
    <cellStyle name="Normal 21 4 3 4" xfId="13099" xr:uid="{00000000-0005-0000-0000-00000F330000}"/>
    <cellStyle name="Normal 21 4 3 4 2" xfId="29642" xr:uid="{00000000-0005-0000-0000-000010330000}"/>
    <cellStyle name="Normal 21 4 3 5" xfId="21599" xr:uid="{00000000-0005-0000-0000-000011330000}"/>
    <cellStyle name="Normal 21 4 4" xfId="3684" xr:uid="{00000000-0005-0000-0000-000012330000}"/>
    <cellStyle name="Normal 21 4 4 2" xfId="7798" xr:uid="{00000000-0005-0000-0000-000013330000}"/>
    <cellStyle name="Normal 21 4 4 2 2" xfId="16976" xr:uid="{00000000-0005-0000-0000-000014330000}"/>
    <cellStyle name="Normal 21 4 4 2 2 2" xfId="33550" xr:uid="{00000000-0005-0000-0000-000015330000}"/>
    <cellStyle name="Normal 21 4 4 2 3" xfId="25503" xr:uid="{00000000-0005-0000-0000-000016330000}"/>
    <cellStyle name="Normal 21 4 4 3" xfId="13101" xr:uid="{00000000-0005-0000-0000-000017330000}"/>
    <cellStyle name="Normal 21 4 4 3 2" xfId="29644" xr:uid="{00000000-0005-0000-0000-000018330000}"/>
    <cellStyle name="Normal 21 4 4 4" xfId="21601" xr:uid="{00000000-0005-0000-0000-000019330000}"/>
    <cellStyle name="Normal 21 4 5" xfId="7799" xr:uid="{00000000-0005-0000-0000-00001A330000}"/>
    <cellStyle name="Normal 21 4 5 2" xfId="16977" xr:uid="{00000000-0005-0000-0000-00001B330000}"/>
    <cellStyle name="Normal 21 4 5 2 2" xfId="33551" xr:uid="{00000000-0005-0000-0000-00001C330000}"/>
    <cellStyle name="Normal 21 4 5 3" xfId="25504" xr:uid="{00000000-0005-0000-0000-00001D330000}"/>
    <cellStyle name="Normal 21 4 6" xfId="13094" xr:uid="{00000000-0005-0000-0000-00001E330000}"/>
    <cellStyle name="Normal 21 4 6 2" xfId="29637" xr:uid="{00000000-0005-0000-0000-00001F330000}"/>
    <cellStyle name="Normal 21 4 7" xfId="21594" xr:uid="{00000000-0005-0000-0000-000020330000}"/>
    <cellStyle name="Normal 21 5" xfId="3685" xr:uid="{00000000-0005-0000-0000-000021330000}"/>
    <cellStyle name="Normal 21 5 2" xfId="3686" xr:uid="{00000000-0005-0000-0000-000022330000}"/>
    <cellStyle name="Normal 21 5 2 2" xfId="3687" xr:uid="{00000000-0005-0000-0000-000023330000}"/>
    <cellStyle name="Normal 21 5 2 2 2" xfId="3688" xr:uid="{00000000-0005-0000-0000-000024330000}"/>
    <cellStyle name="Normal 21 5 2 2 2 2" xfId="7800" xr:uid="{00000000-0005-0000-0000-000025330000}"/>
    <cellStyle name="Normal 21 5 2 2 2 2 2" xfId="16978" xr:uid="{00000000-0005-0000-0000-000026330000}"/>
    <cellStyle name="Normal 21 5 2 2 2 2 2 2" xfId="33552" xr:uid="{00000000-0005-0000-0000-000027330000}"/>
    <cellStyle name="Normal 21 5 2 2 2 2 3" xfId="25505" xr:uid="{00000000-0005-0000-0000-000028330000}"/>
    <cellStyle name="Normal 21 5 2 2 2 3" xfId="13105" xr:uid="{00000000-0005-0000-0000-000029330000}"/>
    <cellStyle name="Normal 21 5 2 2 2 3 2" xfId="29648" xr:uid="{00000000-0005-0000-0000-00002A330000}"/>
    <cellStyle name="Normal 21 5 2 2 2 4" xfId="21605" xr:uid="{00000000-0005-0000-0000-00002B330000}"/>
    <cellStyle name="Normal 21 5 2 2 3" xfId="7801" xr:uid="{00000000-0005-0000-0000-00002C330000}"/>
    <cellStyle name="Normal 21 5 2 2 3 2" xfId="16979" xr:uid="{00000000-0005-0000-0000-00002D330000}"/>
    <cellStyle name="Normal 21 5 2 2 3 2 2" xfId="33553" xr:uid="{00000000-0005-0000-0000-00002E330000}"/>
    <cellStyle name="Normal 21 5 2 2 3 3" xfId="25506" xr:uid="{00000000-0005-0000-0000-00002F330000}"/>
    <cellStyle name="Normal 21 5 2 2 4" xfId="13104" xr:uid="{00000000-0005-0000-0000-000030330000}"/>
    <cellStyle name="Normal 21 5 2 2 4 2" xfId="29647" xr:uid="{00000000-0005-0000-0000-000031330000}"/>
    <cellStyle name="Normal 21 5 2 2 5" xfId="21604" xr:uid="{00000000-0005-0000-0000-000032330000}"/>
    <cellStyle name="Normal 21 5 2 3" xfId="3689" xr:uid="{00000000-0005-0000-0000-000033330000}"/>
    <cellStyle name="Normal 21 5 2 3 2" xfId="7802" xr:uid="{00000000-0005-0000-0000-000034330000}"/>
    <cellStyle name="Normal 21 5 2 3 2 2" xfId="16980" xr:uid="{00000000-0005-0000-0000-000035330000}"/>
    <cellStyle name="Normal 21 5 2 3 2 2 2" xfId="33554" xr:uid="{00000000-0005-0000-0000-000036330000}"/>
    <cellStyle name="Normal 21 5 2 3 2 3" xfId="25507" xr:uid="{00000000-0005-0000-0000-000037330000}"/>
    <cellStyle name="Normal 21 5 2 3 3" xfId="13106" xr:uid="{00000000-0005-0000-0000-000038330000}"/>
    <cellStyle name="Normal 21 5 2 3 3 2" xfId="29649" xr:uid="{00000000-0005-0000-0000-000039330000}"/>
    <cellStyle name="Normal 21 5 2 3 4" xfId="21606" xr:uid="{00000000-0005-0000-0000-00003A330000}"/>
    <cellStyle name="Normal 21 5 2 4" xfId="7803" xr:uid="{00000000-0005-0000-0000-00003B330000}"/>
    <cellStyle name="Normal 21 5 2 4 2" xfId="16981" xr:uid="{00000000-0005-0000-0000-00003C330000}"/>
    <cellStyle name="Normal 21 5 2 4 2 2" xfId="33555" xr:uid="{00000000-0005-0000-0000-00003D330000}"/>
    <cellStyle name="Normal 21 5 2 4 3" xfId="25508" xr:uid="{00000000-0005-0000-0000-00003E330000}"/>
    <cellStyle name="Normal 21 5 2 5" xfId="13103" xr:uid="{00000000-0005-0000-0000-00003F330000}"/>
    <cellStyle name="Normal 21 5 2 5 2" xfId="29646" xr:uid="{00000000-0005-0000-0000-000040330000}"/>
    <cellStyle name="Normal 21 5 2 6" xfId="21603" xr:uid="{00000000-0005-0000-0000-000041330000}"/>
    <cellStyle name="Normal 21 5 3" xfId="3690" xr:uid="{00000000-0005-0000-0000-000042330000}"/>
    <cellStyle name="Normal 21 5 3 2" xfId="3691" xr:uid="{00000000-0005-0000-0000-000043330000}"/>
    <cellStyle name="Normal 21 5 3 2 2" xfId="7804" xr:uid="{00000000-0005-0000-0000-000044330000}"/>
    <cellStyle name="Normal 21 5 3 2 2 2" xfId="16982" xr:uid="{00000000-0005-0000-0000-000045330000}"/>
    <cellStyle name="Normal 21 5 3 2 2 2 2" xfId="33556" xr:uid="{00000000-0005-0000-0000-000046330000}"/>
    <cellStyle name="Normal 21 5 3 2 2 3" xfId="25509" xr:uid="{00000000-0005-0000-0000-000047330000}"/>
    <cellStyle name="Normal 21 5 3 2 3" xfId="13108" xr:uid="{00000000-0005-0000-0000-000048330000}"/>
    <cellStyle name="Normal 21 5 3 2 3 2" xfId="29651" xr:uid="{00000000-0005-0000-0000-000049330000}"/>
    <cellStyle name="Normal 21 5 3 2 4" xfId="21608" xr:uid="{00000000-0005-0000-0000-00004A330000}"/>
    <cellStyle name="Normal 21 5 3 3" xfId="7805" xr:uid="{00000000-0005-0000-0000-00004B330000}"/>
    <cellStyle name="Normal 21 5 3 3 2" xfId="16983" xr:uid="{00000000-0005-0000-0000-00004C330000}"/>
    <cellStyle name="Normal 21 5 3 3 2 2" xfId="33557" xr:uid="{00000000-0005-0000-0000-00004D330000}"/>
    <cellStyle name="Normal 21 5 3 3 3" xfId="25510" xr:uid="{00000000-0005-0000-0000-00004E330000}"/>
    <cellStyle name="Normal 21 5 3 4" xfId="13107" xr:uid="{00000000-0005-0000-0000-00004F330000}"/>
    <cellStyle name="Normal 21 5 3 4 2" xfId="29650" xr:uid="{00000000-0005-0000-0000-000050330000}"/>
    <cellStyle name="Normal 21 5 3 5" xfId="21607" xr:uid="{00000000-0005-0000-0000-000051330000}"/>
    <cellStyle name="Normal 21 5 4" xfId="3692" xr:uid="{00000000-0005-0000-0000-000052330000}"/>
    <cellStyle name="Normal 21 5 4 2" xfId="7806" xr:uid="{00000000-0005-0000-0000-000053330000}"/>
    <cellStyle name="Normal 21 5 4 2 2" xfId="16984" xr:uid="{00000000-0005-0000-0000-000054330000}"/>
    <cellStyle name="Normal 21 5 4 2 2 2" xfId="33558" xr:uid="{00000000-0005-0000-0000-000055330000}"/>
    <cellStyle name="Normal 21 5 4 2 3" xfId="25511" xr:uid="{00000000-0005-0000-0000-000056330000}"/>
    <cellStyle name="Normal 21 5 4 3" xfId="13109" xr:uid="{00000000-0005-0000-0000-000057330000}"/>
    <cellStyle name="Normal 21 5 4 3 2" xfId="29652" xr:uid="{00000000-0005-0000-0000-000058330000}"/>
    <cellStyle name="Normal 21 5 4 4" xfId="21609" xr:uid="{00000000-0005-0000-0000-000059330000}"/>
    <cellStyle name="Normal 21 5 5" xfId="7807" xr:uid="{00000000-0005-0000-0000-00005A330000}"/>
    <cellStyle name="Normal 21 5 5 2" xfId="16985" xr:uid="{00000000-0005-0000-0000-00005B330000}"/>
    <cellStyle name="Normal 21 5 5 2 2" xfId="33559" xr:uid="{00000000-0005-0000-0000-00005C330000}"/>
    <cellStyle name="Normal 21 5 5 3" xfId="25512" xr:uid="{00000000-0005-0000-0000-00005D330000}"/>
    <cellStyle name="Normal 21 5 6" xfId="13102" xr:uid="{00000000-0005-0000-0000-00005E330000}"/>
    <cellStyle name="Normal 21 5 6 2" xfId="29645" xr:uid="{00000000-0005-0000-0000-00005F330000}"/>
    <cellStyle name="Normal 21 5 7" xfId="21602" xr:uid="{00000000-0005-0000-0000-000060330000}"/>
    <cellStyle name="Normal 21 6" xfId="3693" xr:uid="{00000000-0005-0000-0000-000061330000}"/>
    <cellStyle name="Normal 21 6 2" xfId="3694" xr:uid="{00000000-0005-0000-0000-000062330000}"/>
    <cellStyle name="Normal 21 6 2 2" xfId="3695" xr:uid="{00000000-0005-0000-0000-000063330000}"/>
    <cellStyle name="Normal 21 6 2 2 2" xfId="7808" xr:uid="{00000000-0005-0000-0000-000064330000}"/>
    <cellStyle name="Normal 21 6 2 2 2 2" xfId="16986" xr:uid="{00000000-0005-0000-0000-000065330000}"/>
    <cellStyle name="Normal 21 6 2 2 2 2 2" xfId="33560" xr:uid="{00000000-0005-0000-0000-000066330000}"/>
    <cellStyle name="Normal 21 6 2 2 2 3" xfId="25513" xr:uid="{00000000-0005-0000-0000-000067330000}"/>
    <cellStyle name="Normal 21 6 2 2 3" xfId="13112" xr:uid="{00000000-0005-0000-0000-000068330000}"/>
    <cellStyle name="Normal 21 6 2 2 3 2" xfId="29655" xr:uid="{00000000-0005-0000-0000-000069330000}"/>
    <cellStyle name="Normal 21 6 2 2 4" xfId="21612" xr:uid="{00000000-0005-0000-0000-00006A330000}"/>
    <cellStyle name="Normal 21 6 2 3" xfId="7809" xr:uid="{00000000-0005-0000-0000-00006B330000}"/>
    <cellStyle name="Normal 21 6 2 3 2" xfId="16987" xr:uid="{00000000-0005-0000-0000-00006C330000}"/>
    <cellStyle name="Normal 21 6 2 3 2 2" xfId="33561" xr:uid="{00000000-0005-0000-0000-00006D330000}"/>
    <cellStyle name="Normal 21 6 2 3 3" xfId="25514" xr:uid="{00000000-0005-0000-0000-00006E330000}"/>
    <cellStyle name="Normal 21 6 2 4" xfId="13111" xr:uid="{00000000-0005-0000-0000-00006F330000}"/>
    <cellStyle name="Normal 21 6 2 4 2" xfId="29654" xr:uid="{00000000-0005-0000-0000-000070330000}"/>
    <cellStyle name="Normal 21 6 2 5" xfId="21611" xr:uid="{00000000-0005-0000-0000-000071330000}"/>
    <cellStyle name="Normal 21 6 3" xfId="3696" xr:uid="{00000000-0005-0000-0000-000072330000}"/>
    <cellStyle name="Normal 21 6 3 2" xfId="7810" xr:uid="{00000000-0005-0000-0000-000073330000}"/>
    <cellStyle name="Normal 21 6 3 2 2" xfId="16988" xr:uid="{00000000-0005-0000-0000-000074330000}"/>
    <cellStyle name="Normal 21 6 3 2 2 2" xfId="33562" xr:uid="{00000000-0005-0000-0000-000075330000}"/>
    <cellStyle name="Normal 21 6 3 2 3" xfId="25515" xr:uid="{00000000-0005-0000-0000-000076330000}"/>
    <cellStyle name="Normal 21 6 3 3" xfId="13113" xr:uid="{00000000-0005-0000-0000-000077330000}"/>
    <cellStyle name="Normal 21 6 3 3 2" xfId="29656" xr:uid="{00000000-0005-0000-0000-000078330000}"/>
    <cellStyle name="Normal 21 6 3 4" xfId="21613" xr:uid="{00000000-0005-0000-0000-000079330000}"/>
    <cellStyle name="Normal 21 6 4" xfId="7811" xr:uid="{00000000-0005-0000-0000-00007A330000}"/>
    <cellStyle name="Normal 21 6 4 2" xfId="16989" xr:uid="{00000000-0005-0000-0000-00007B330000}"/>
    <cellStyle name="Normal 21 6 4 2 2" xfId="33563" xr:uid="{00000000-0005-0000-0000-00007C330000}"/>
    <cellStyle name="Normal 21 6 4 3" xfId="25516" xr:uid="{00000000-0005-0000-0000-00007D330000}"/>
    <cellStyle name="Normal 21 6 5" xfId="13110" xr:uid="{00000000-0005-0000-0000-00007E330000}"/>
    <cellStyle name="Normal 21 6 5 2" xfId="29653" xr:uid="{00000000-0005-0000-0000-00007F330000}"/>
    <cellStyle name="Normal 21 6 6" xfId="21610" xr:uid="{00000000-0005-0000-0000-000080330000}"/>
    <cellStyle name="Normal 21 7" xfId="3697" xr:uid="{00000000-0005-0000-0000-000081330000}"/>
    <cellStyle name="Normal 21 7 2" xfId="3698" xr:uid="{00000000-0005-0000-0000-000082330000}"/>
    <cellStyle name="Normal 21 7 2 2" xfId="7812" xr:uid="{00000000-0005-0000-0000-000083330000}"/>
    <cellStyle name="Normal 21 7 2 2 2" xfId="16990" xr:uid="{00000000-0005-0000-0000-000084330000}"/>
    <cellStyle name="Normal 21 7 2 2 2 2" xfId="33564" xr:uid="{00000000-0005-0000-0000-000085330000}"/>
    <cellStyle name="Normal 21 7 2 2 3" xfId="25517" xr:uid="{00000000-0005-0000-0000-000086330000}"/>
    <cellStyle name="Normal 21 7 2 3" xfId="13115" xr:uid="{00000000-0005-0000-0000-000087330000}"/>
    <cellStyle name="Normal 21 7 2 3 2" xfId="29658" xr:uid="{00000000-0005-0000-0000-000088330000}"/>
    <cellStyle name="Normal 21 7 2 4" xfId="21615" xr:uid="{00000000-0005-0000-0000-000089330000}"/>
    <cellStyle name="Normal 21 7 3" xfId="7813" xr:uid="{00000000-0005-0000-0000-00008A330000}"/>
    <cellStyle name="Normal 21 7 3 2" xfId="16991" xr:uid="{00000000-0005-0000-0000-00008B330000}"/>
    <cellStyle name="Normal 21 7 3 2 2" xfId="33565" xr:uid="{00000000-0005-0000-0000-00008C330000}"/>
    <cellStyle name="Normal 21 7 3 3" xfId="25518" xr:uid="{00000000-0005-0000-0000-00008D330000}"/>
    <cellStyle name="Normal 21 7 4" xfId="13114" xr:uid="{00000000-0005-0000-0000-00008E330000}"/>
    <cellStyle name="Normal 21 7 4 2" xfId="29657" xr:uid="{00000000-0005-0000-0000-00008F330000}"/>
    <cellStyle name="Normal 21 7 5" xfId="21614" xr:uid="{00000000-0005-0000-0000-000090330000}"/>
    <cellStyle name="Normal 21 8" xfId="3699" xr:uid="{00000000-0005-0000-0000-000091330000}"/>
    <cellStyle name="Normal 21 8 2" xfId="7814" xr:uid="{00000000-0005-0000-0000-000092330000}"/>
    <cellStyle name="Normal 21 8 2 2" xfId="16992" xr:uid="{00000000-0005-0000-0000-000093330000}"/>
    <cellStyle name="Normal 21 8 2 2 2" xfId="33566" xr:uid="{00000000-0005-0000-0000-000094330000}"/>
    <cellStyle name="Normal 21 8 2 3" xfId="25519" xr:uid="{00000000-0005-0000-0000-000095330000}"/>
    <cellStyle name="Normal 21 8 3" xfId="13116" xr:uid="{00000000-0005-0000-0000-000096330000}"/>
    <cellStyle name="Normal 21 8 3 2" xfId="29659" xr:uid="{00000000-0005-0000-0000-000097330000}"/>
    <cellStyle name="Normal 21 8 4" xfId="21616" xr:uid="{00000000-0005-0000-0000-000098330000}"/>
    <cellStyle name="Normal 21 9" xfId="7815" xr:uid="{00000000-0005-0000-0000-000099330000}"/>
    <cellStyle name="Normal 21 9 2" xfId="16993" xr:uid="{00000000-0005-0000-0000-00009A330000}"/>
    <cellStyle name="Normal 21 9 2 2" xfId="33567" xr:uid="{00000000-0005-0000-0000-00009B330000}"/>
    <cellStyle name="Normal 21 9 3" xfId="25520" xr:uid="{00000000-0005-0000-0000-00009C330000}"/>
    <cellStyle name="Normal 210" xfId="10647" xr:uid="{00000000-0005-0000-0000-00009D330000}"/>
    <cellStyle name="Normal 211" xfId="10650" xr:uid="{00000000-0005-0000-0000-00009E330000}"/>
    <cellStyle name="Normal 212" xfId="10653" xr:uid="{00000000-0005-0000-0000-00009F330000}"/>
    <cellStyle name="Normal 213" xfId="10656" xr:uid="{00000000-0005-0000-0000-0000A0330000}"/>
    <cellStyle name="Normal 214" xfId="10659" xr:uid="{00000000-0005-0000-0000-0000A1330000}"/>
    <cellStyle name="Normal 215" xfId="10662" xr:uid="{00000000-0005-0000-0000-0000A2330000}"/>
    <cellStyle name="Normal 216" xfId="10665" xr:uid="{00000000-0005-0000-0000-0000A3330000}"/>
    <cellStyle name="Normal 217" xfId="10668" xr:uid="{00000000-0005-0000-0000-0000A4330000}"/>
    <cellStyle name="Normal 218" xfId="10671" xr:uid="{00000000-0005-0000-0000-0000A5330000}"/>
    <cellStyle name="Normal 219" xfId="10674" xr:uid="{00000000-0005-0000-0000-0000A6330000}"/>
    <cellStyle name="Normal 22" xfId="3700" xr:uid="{00000000-0005-0000-0000-0000A7330000}"/>
    <cellStyle name="Normal 22 10" xfId="13117" xr:uid="{00000000-0005-0000-0000-0000A8330000}"/>
    <cellStyle name="Normal 22 10 2" xfId="29660" xr:uid="{00000000-0005-0000-0000-0000A9330000}"/>
    <cellStyle name="Normal 22 11" xfId="21617" xr:uid="{00000000-0005-0000-0000-0000AA330000}"/>
    <cellStyle name="Normal 22 2" xfId="3701" xr:uid="{00000000-0005-0000-0000-0000AB330000}"/>
    <cellStyle name="Normal 22 2 2" xfId="3702" xr:uid="{00000000-0005-0000-0000-0000AC330000}"/>
    <cellStyle name="Normal 22 2 3" xfId="13118" xr:uid="{00000000-0005-0000-0000-0000AD330000}"/>
    <cellStyle name="Normal 22 2 3 2" xfId="29661" xr:uid="{00000000-0005-0000-0000-0000AE330000}"/>
    <cellStyle name="Normal 22 2 4" xfId="21618" xr:uid="{00000000-0005-0000-0000-0000AF330000}"/>
    <cellStyle name="Normal 22 3" xfId="3703" xr:uid="{00000000-0005-0000-0000-0000B0330000}"/>
    <cellStyle name="Normal 22 3 2" xfId="3704" xr:uid="{00000000-0005-0000-0000-0000B1330000}"/>
    <cellStyle name="Normal 22 3 2 2" xfId="3705" xr:uid="{00000000-0005-0000-0000-0000B2330000}"/>
    <cellStyle name="Normal 22 3 2 2 2" xfId="3706" xr:uid="{00000000-0005-0000-0000-0000B3330000}"/>
    <cellStyle name="Normal 22 3 2 2 2 2" xfId="7816" xr:uid="{00000000-0005-0000-0000-0000B4330000}"/>
    <cellStyle name="Normal 22 3 2 2 2 2 2" xfId="16994" xr:uid="{00000000-0005-0000-0000-0000B5330000}"/>
    <cellStyle name="Normal 22 3 2 2 2 2 2 2" xfId="33568" xr:uid="{00000000-0005-0000-0000-0000B6330000}"/>
    <cellStyle name="Normal 22 3 2 2 2 2 3" xfId="25521" xr:uid="{00000000-0005-0000-0000-0000B7330000}"/>
    <cellStyle name="Normal 22 3 2 2 2 3" xfId="13121" xr:uid="{00000000-0005-0000-0000-0000B8330000}"/>
    <cellStyle name="Normal 22 3 2 2 2 3 2" xfId="29664" xr:uid="{00000000-0005-0000-0000-0000B9330000}"/>
    <cellStyle name="Normal 22 3 2 2 2 4" xfId="21621" xr:uid="{00000000-0005-0000-0000-0000BA330000}"/>
    <cellStyle name="Normal 22 3 2 2 3" xfId="7817" xr:uid="{00000000-0005-0000-0000-0000BB330000}"/>
    <cellStyle name="Normal 22 3 2 2 3 2" xfId="16995" xr:uid="{00000000-0005-0000-0000-0000BC330000}"/>
    <cellStyle name="Normal 22 3 2 2 3 2 2" xfId="33569" xr:uid="{00000000-0005-0000-0000-0000BD330000}"/>
    <cellStyle name="Normal 22 3 2 2 3 3" xfId="25522" xr:uid="{00000000-0005-0000-0000-0000BE330000}"/>
    <cellStyle name="Normal 22 3 2 2 4" xfId="13120" xr:uid="{00000000-0005-0000-0000-0000BF330000}"/>
    <cellStyle name="Normal 22 3 2 2 4 2" xfId="29663" xr:uid="{00000000-0005-0000-0000-0000C0330000}"/>
    <cellStyle name="Normal 22 3 2 2 5" xfId="21620" xr:uid="{00000000-0005-0000-0000-0000C1330000}"/>
    <cellStyle name="Normal 22 3 2 3" xfId="3707" xr:uid="{00000000-0005-0000-0000-0000C2330000}"/>
    <cellStyle name="Normal 22 3 2 3 2" xfId="7818" xr:uid="{00000000-0005-0000-0000-0000C3330000}"/>
    <cellStyle name="Normal 22 3 2 3 2 2" xfId="16996" xr:uid="{00000000-0005-0000-0000-0000C4330000}"/>
    <cellStyle name="Normal 22 3 2 3 2 2 2" xfId="33570" xr:uid="{00000000-0005-0000-0000-0000C5330000}"/>
    <cellStyle name="Normal 22 3 2 3 2 3" xfId="25523" xr:uid="{00000000-0005-0000-0000-0000C6330000}"/>
    <cellStyle name="Normal 22 3 2 3 3" xfId="13122" xr:uid="{00000000-0005-0000-0000-0000C7330000}"/>
    <cellStyle name="Normal 22 3 2 3 3 2" xfId="29665" xr:uid="{00000000-0005-0000-0000-0000C8330000}"/>
    <cellStyle name="Normal 22 3 2 3 4" xfId="21622" xr:uid="{00000000-0005-0000-0000-0000C9330000}"/>
    <cellStyle name="Normal 22 3 2 4" xfId="7819" xr:uid="{00000000-0005-0000-0000-0000CA330000}"/>
    <cellStyle name="Normal 22 3 2 4 2" xfId="16997" xr:uid="{00000000-0005-0000-0000-0000CB330000}"/>
    <cellStyle name="Normal 22 3 2 4 2 2" xfId="33571" xr:uid="{00000000-0005-0000-0000-0000CC330000}"/>
    <cellStyle name="Normal 22 3 2 4 3" xfId="25524" xr:uid="{00000000-0005-0000-0000-0000CD330000}"/>
    <cellStyle name="Normal 22 3 2 5" xfId="13119" xr:uid="{00000000-0005-0000-0000-0000CE330000}"/>
    <cellStyle name="Normal 22 3 2 5 2" xfId="29662" xr:uid="{00000000-0005-0000-0000-0000CF330000}"/>
    <cellStyle name="Normal 22 3 2 6" xfId="21619" xr:uid="{00000000-0005-0000-0000-0000D0330000}"/>
    <cellStyle name="Normal 22 3 3" xfId="3708" xr:uid="{00000000-0005-0000-0000-0000D1330000}"/>
    <cellStyle name="Normal 22 3 3 2" xfId="3709" xr:uid="{00000000-0005-0000-0000-0000D2330000}"/>
    <cellStyle name="Normal 22 3 3 2 2" xfId="7820" xr:uid="{00000000-0005-0000-0000-0000D3330000}"/>
    <cellStyle name="Normal 22 3 3 2 2 2" xfId="16998" xr:uid="{00000000-0005-0000-0000-0000D4330000}"/>
    <cellStyle name="Normal 22 3 3 2 2 2 2" xfId="33572" xr:uid="{00000000-0005-0000-0000-0000D5330000}"/>
    <cellStyle name="Normal 22 3 3 2 2 3" xfId="25525" xr:uid="{00000000-0005-0000-0000-0000D6330000}"/>
    <cellStyle name="Normal 22 3 3 2 3" xfId="13124" xr:uid="{00000000-0005-0000-0000-0000D7330000}"/>
    <cellStyle name="Normal 22 3 3 2 3 2" xfId="29667" xr:uid="{00000000-0005-0000-0000-0000D8330000}"/>
    <cellStyle name="Normal 22 3 3 2 4" xfId="21624" xr:uid="{00000000-0005-0000-0000-0000D9330000}"/>
    <cellStyle name="Normal 22 3 3 3" xfId="7821" xr:uid="{00000000-0005-0000-0000-0000DA330000}"/>
    <cellStyle name="Normal 22 3 3 3 2" xfId="16999" xr:uid="{00000000-0005-0000-0000-0000DB330000}"/>
    <cellStyle name="Normal 22 3 3 3 2 2" xfId="33573" xr:uid="{00000000-0005-0000-0000-0000DC330000}"/>
    <cellStyle name="Normal 22 3 3 3 3" xfId="25526" xr:uid="{00000000-0005-0000-0000-0000DD330000}"/>
    <cellStyle name="Normal 22 3 3 4" xfId="13123" xr:uid="{00000000-0005-0000-0000-0000DE330000}"/>
    <cellStyle name="Normal 22 3 3 4 2" xfId="29666" xr:uid="{00000000-0005-0000-0000-0000DF330000}"/>
    <cellStyle name="Normal 22 3 3 5" xfId="21623" xr:uid="{00000000-0005-0000-0000-0000E0330000}"/>
    <cellStyle name="Normal 22 3 4" xfId="3710" xr:uid="{00000000-0005-0000-0000-0000E1330000}"/>
    <cellStyle name="Normal 22 3 4 2" xfId="7822" xr:uid="{00000000-0005-0000-0000-0000E2330000}"/>
    <cellStyle name="Normal 22 3 4 2 2" xfId="17000" xr:uid="{00000000-0005-0000-0000-0000E3330000}"/>
    <cellStyle name="Normal 22 3 4 2 2 2" xfId="33574" xr:uid="{00000000-0005-0000-0000-0000E4330000}"/>
    <cellStyle name="Normal 22 3 4 2 3" xfId="25527" xr:uid="{00000000-0005-0000-0000-0000E5330000}"/>
    <cellStyle name="Normal 22 3 4 3" xfId="13125" xr:uid="{00000000-0005-0000-0000-0000E6330000}"/>
    <cellStyle name="Normal 22 3 4 3 2" xfId="29668" xr:uid="{00000000-0005-0000-0000-0000E7330000}"/>
    <cellStyle name="Normal 22 3 4 4" xfId="21625" xr:uid="{00000000-0005-0000-0000-0000E8330000}"/>
    <cellStyle name="Normal 22 3 5" xfId="3711" xr:uid="{00000000-0005-0000-0000-0000E9330000}"/>
    <cellStyle name="Normal 22 3 5 2" xfId="13126" xr:uid="{00000000-0005-0000-0000-0000EA330000}"/>
    <cellStyle name="Normal 22 3 5 2 2" xfId="29669" xr:uid="{00000000-0005-0000-0000-0000EB330000}"/>
    <cellStyle name="Normal 22 3 5 3" xfId="21626" xr:uid="{00000000-0005-0000-0000-0000EC330000}"/>
    <cellStyle name="Normal 22 4" xfId="3712" xr:uid="{00000000-0005-0000-0000-0000ED330000}"/>
    <cellStyle name="Normal 22 4 2" xfId="3713" xr:uid="{00000000-0005-0000-0000-0000EE330000}"/>
    <cellStyle name="Normal 22 4 2 2" xfId="3714" xr:uid="{00000000-0005-0000-0000-0000EF330000}"/>
    <cellStyle name="Normal 22 4 2 2 2" xfId="3715" xr:uid="{00000000-0005-0000-0000-0000F0330000}"/>
    <cellStyle name="Normal 22 4 2 2 2 2" xfId="7823" xr:uid="{00000000-0005-0000-0000-0000F1330000}"/>
    <cellStyle name="Normal 22 4 2 2 2 2 2" xfId="17001" xr:uid="{00000000-0005-0000-0000-0000F2330000}"/>
    <cellStyle name="Normal 22 4 2 2 2 2 2 2" xfId="33575" xr:uid="{00000000-0005-0000-0000-0000F3330000}"/>
    <cellStyle name="Normal 22 4 2 2 2 2 3" xfId="25528" xr:uid="{00000000-0005-0000-0000-0000F4330000}"/>
    <cellStyle name="Normal 22 4 2 2 2 3" xfId="13130" xr:uid="{00000000-0005-0000-0000-0000F5330000}"/>
    <cellStyle name="Normal 22 4 2 2 2 3 2" xfId="29673" xr:uid="{00000000-0005-0000-0000-0000F6330000}"/>
    <cellStyle name="Normal 22 4 2 2 2 4" xfId="21630" xr:uid="{00000000-0005-0000-0000-0000F7330000}"/>
    <cellStyle name="Normal 22 4 2 2 3" xfId="7824" xr:uid="{00000000-0005-0000-0000-0000F8330000}"/>
    <cellStyle name="Normal 22 4 2 2 3 2" xfId="17002" xr:uid="{00000000-0005-0000-0000-0000F9330000}"/>
    <cellStyle name="Normal 22 4 2 2 3 2 2" xfId="33576" xr:uid="{00000000-0005-0000-0000-0000FA330000}"/>
    <cellStyle name="Normal 22 4 2 2 3 3" xfId="25529" xr:uid="{00000000-0005-0000-0000-0000FB330000}"/>
    <cellStyle name="Normal 22 4 2 2 4" xfId="13129" xr:uid="{00000000-0005-0000-0000-0000FC330000}"/>
    <cellStyle name="Normal 22 4 2 2 4 2" xfId="29672" xr:uid="{00000000-0005-0000-0000-0000FD330000}"/>
    <cellStyle name="Normal 22 4 2 2 5" xfId="21629" xr:uid="{00000000-0005-0000-0000-0000FE330000}"/>
    <cellStyle name="Normal 22 4 2 3" xfId="3716" xr:uid="{00000000-0005-0000-0000-0000FF330000}"/>
    <cellStyle name="Normal 22 4 2 3 2" xfId="7825" xr:uid="{00000000-0005-0000-0000-000000340000}"/>
    <cellStyle name="Normal 22 4 2 3 2 2" xfId="17003" xr:uid="{00000000-0005-0000-0000-000001340000}"/>
    <cellStyle name="Normal 22 4 2 3 2 2 2" xfId="33577" xr:uid="{00000000-0005-0000-0000-000002340000}"/>
    <cellStyle name="Normal 22 4 2 3 2 3" xfId="25530" xr:uid="{00000000-0005-0000-0000-000003340000}"/>
    <cellStyle name="Normal 22 4 2 3 3" xfId="13131" xr:uid="{00000000-0005-0000-0000-000004340000}"/>
    <cellStyle name="Normal 22 4 2 3 3 2" xfId="29674" xr:uid="{00000000-0005-0000-0000-000005340000}"/>
    <cellStyle name="Normal 22 4 2 3 4" xfId="21631" xr:uid="{00000000-0005-0000-0000-000006340000}"/>
    <cellStyle name="Normal 22 4 2 4" xfId="7826" xr:uid="{00000000-0005-0000-0000-000007340000}"/>
    <cellStyle name="Normal 22 4 2 4 2" xfId="17004" xr:uid="{00000000-0005-0000-0000-000008340000}"/>
    <cellStyle name="Normal 22 4 2 4 2 2" xfId="33578" xr:uid="{00000000-0005-0000-0000-000009340000}"/>
    <cellStyle name="Normal 22 4 2 4 3" xfId="25531" xr:uid="{00000000-0005-0000-0000-00000A340000}"/>
    <cellStyle name="Normal 22 4 2 5" xfId="13128" xr:uid="{00000000-0005-0000-0000-00000B340000}"/>
    <cellStyle name="Normal 22 4 2 5 2" xfId="29671" xr:uid="{00000000-0005-0000-0000-00000C340000}"/>
    <cellStyle name="Normal 22 4 2 6" xfId="21628" xr:uid="{00000000-0005-0000-0000-00000D340000}"/>
    <cellStyle name="Normal 22 4 3" xfId="3717" xr:uid="{00000000-0005-0000-0000-00000E340000}"/>
    <cellStyle name="Normal 22 4 3 2" xfId="3718" xr:uid="{00000000-0005-0000-0000-00000F340000}"/>
    <cellStyle name="Normal 22 4 3 2 2" xfId="7827" xr:uid="{00000000-0005-0000-0000-000010340000}"/>
    <cellStyle name="Normal 22 4 3 2 2 2" xfId="17005" xr:uid="{00000000-0005-0000-0000-000011340000}"/>
    <cellStyle name="Normal 22 4 3 2 2 2 2" xfId="33579" xr:uid="{00000000-0005-0000-0000-000012340000}"/>
    <cellStyle name="Normal 22 4 3 2 2 3" xfId="25532" xr:uid="{00000000-0005-0000-0000-000013340000}"/>
    <cellStyle name="Normal 22 4 3 2 3" xfId="13133" xr:uid="{00000000-0005-0000-0000-000014340000}"/>
    <cellStyle name="Normal 22 4 3 2 3 2" xfId="29676" xr:uid="{00000000-0005-0000-0000-000015340000}"/>
    <cellStyle name="Normal 22 4 3 2 4" xfId="21633" xr:uid="{00000000-0005-0000-0000-000016340000}"/>
    <cellStyle name="Normal 22 4 3 3" xfId="7828" xr:uid="{00000000-0005-0000-0000-000017340000}"/>
    <cellStyle name="Normal 22 4 3 3 2" xfId="17006" xr:uid="{00000000-0005-0000-0000-000018340000}"/>
    <cellStyle name="Normal 22 4 3 3 2 2" xfId="33580" xr:uid="{00000000-0005-0000-0000-000019340000}"/>
    <cellStyle name="Normal 22 4 3 3 3" xfId="25533" xr:uid="{00000000-0005-0000-0000-00001A340000}"/>
    <cellStyle name="Normal 22 4 3 4" xfId="13132" xr:uid="{00000000-0005-0000-0000-00001B340000}"/>
    <cellStyle name="Normal 22 4 3 4 2" xfId="29675" xr:uid="{00000000-0005-0000-0000-00001C340000}"/>
    <cellStyle name="Normal 22 4 3 5" xfId="21632" xr:uid="{00000000-0005-0000-0000-00001D340000}"/>
    <cellStyle name="Normal 22 4 4" xfId="3719" xr:uid="{00000000-0005-0000-0000-00001E340000}"/>
    <cellStyle name="Normal 22 4 4 2" xfId="7829" xr:uid="{00000000-0005-0000-0000-00001F340000}"/>
    <cellStyle name="Normal 22 4 4 2 2" xfId="17007" xr:uid="{00000000-0005-0000-0000-000020340000}"/>
    <cellStyle name="Normal 22 4 4 2 2 2" xfId="33581" xr:uid="{00000000-0005-0000-0000-000021340000}"/>
    <cellStyle name="Normal 22 4 4 2 3" xfId="25534" xr:uid="{00000000-0005-0000-0000-000022340000}"/>
    <cellStyle name="Normal 22 4 4 3" xfId="13134" xr:uid="{00000000-0005-0000-0000-000023340000}"/>
    <cellStyle name="Normal 22 4 4 3 2" xfId="29677" xr:uid="{00000000-0005-0000-0000-000024340000}"/>
    <cellStyle name="Normal 22 4 4 4" xfId="21634" xr:uid="{00000000-0005-0000-0000-000025340000}"/>
    <cellStyle name="Normal 22 4 5" xfId="7830" xr:uid="{00000000-0005-0000-0000-000026340000}"/>
    <cellStyle name="Normal 22 4 5 2" xfId="17008" xr:uid="{00000000-0005-0000-0000-000027340000}"/>
    <cellStyle name="Normal 22 4 5 2 2" xfId="33582" xr:uid="{00000000-0005-0000-0000-000028340000}"/>
    <cellStyle name="Normal 22 4 5 3" xfId="25535" xr:uid="{00000000-0005-0000-0000-000029340000}"/>
    <cellStyle name="Normal 22 4 6" xfId="13127" xr:uid="{00000000-0005-0000-0000-00002A340000}"/>
    <cellStyle name="Normal 22 4 6 2" xfId="29670" xr:uid="{00000000-0005-0000-0000-00002B340000}"/>
    <cellStyle name="Normal 22 4 7" xfId="21627" xr:uid="{00000000-0005-0000-0000-00002C340000}"/>
    <cellStyle name="Normal 22 5" xfId="3720" xr:uid="{00000000-0005-0000-0000-00002D340000}"/>
    <cellStyle name="Normal 22 5 2" xfId="3721" xr:uid="{00000000-0005-0000-0000-00002E340000}"/>
    <cellStyle name="Normal 22 5 2 2" xfId="3722" xr:uid="{00000000-0005-0000-0000-00002F340000}"/>
    <cellStyle name="Normal 22 5 2 2 2" xfId="3723" xr:uid="{00000000-0005-0000-0000-000030340000}"/>
    <cellStyle name="Normal 22 5 2 2 2 2" xfId="7831" xr:uid="{00000000-0005-0000-0000-000031340000}"/>
    <cellStyle name="Normal 22 5 2 2 2 2 2" xfId="17009" xr:uid="{00000000-0005-0000-0000-000032340000}"/>
    <cellStyle name="Normal 22 5 2 2 2 2 2 2" xfId="33583" xr:uid="{00000000-0005-0000-0000-000033340000}"/>
    <cellStyle name="Normal 22 5 2 2 2 2 3" xfId="25536" xr:uid="{00000000-0005-0000-0000-000034340000}"/>
    <cellStyle name="Normal 22 5 2 2 2 3" xfId="13138" xr:uid="{00000000-0005-0000-0000-000035340000}"/>
    <cellStyle name="Normal 22 5 2 2 2 3 2" xfId="29681" xr:uid="{00000000-0005-0000-0000-000036340000}"/>
    <cellStyle name="Normal 22 5 2 2 2 4" xfId="21638" xr:uid="{00000000-0005-0000-0000-000037340000}"/>
    <cellStyle name="Normal 22 5 2 2 3" xfId="7832" xr:uid="{00000000-0005-0000-0000-000038340000}"/>
    <cellStyle name="Normal 22 5 2 2 3 2" xfId="17010" xr:uid="{00000000-0005-0000-0000-000039340000}"/>
    <cellStyle name="Normal 22 5 2 2 3 2 2" xfId="33584" xr:uid="{00000000-0005-0000-0000-00003A340000}"/>
    <cellStyle name="Normal 22 5 2 2 3 3" xfId="25537" xr:uid="{00000000-0005-0000-0000-00003B340000}"/>
    <cellStyle name="Normal 22 5 2 2 4" xfId="13137" xr:uid="{00000000-0005-0000-0000-00003C340000}"/>
    <cellStyle name="Normal 22 5 2 2 4 2" xfId="29680" xr:uid="{00000000-0005-0000-0000-00003D340000}"/>
    <cellStyle name="Normal 22 5 2 2 5" xfId="21637" xr:uid="{00000000-0005-0000-0000-00003E340000}"/>
    <cellStyle name="Normal 22 5 2 3" xfId="3724" xr:uid="{00000000-0005-0000-0000-00003F340000}"/>
    <cellStyle name="Normal 22 5 2 3 2" xfId="7833" xr:uid="{00000000-0005-0000-0000-000040340000}"/>
    <cellStyle name="Normal 22 5 2 3 2 2" xfId="17011" xr:uid="{00000000-0005-0000-0000-000041340000}"/>
    <cellStyle name="Normal 22 5 2 3 2 2 2" xfId="33585" xr:uid="{00000000-0005-0000-0000-000042340000}"/>
    <cellStyle name="Normal 22 5 2 3 2 3" xfId="25538" xr:uid="{00000000-0005-0000-0000-000043340000}"/>
    <cellStyle name="Normal 22 5 2 3 3" xfId="13139" xr:uid="{00000000-0005-0000-0000-000044340000}"/>
    <cellStyle name="Normal 22 5 2 3 3 2" xfId="29682" xr:uid="{00000000-0005-0000-0000-000045340000}"/>
    <cellStyle name="Normal 22 5 2 3 4" xfId="21639" xr:uid="{00000000-0005-0000-0000-000046340000}"/>
    <cellStyle name="Normal 22 5 2 4" xfId="7834" xr:uid="{00000000-0005-0000-0000-000047340000}"/>
    <cellStyle name="Normal 22 5 2 4 2" xfId="17012" xr:uid="{00000000-0005-0000-0000-000048340000}"/>
    <cellStyle name="Normal 22 5 2 4 2 2" xfId="33586" xr:uid="{00000000-0005-0000-0000-000049340000}"/>
    <cellStyle name="Normal 22 5 2 4 3" xfId="25539" xr:uid="{00000000-0005-0000-0000-00004A340000}"/>
    <cellStyle name="Normal 22 5 2 5" xfId="13136" xr:uid="{00000000-0005-0000-0000-00004B340000}"/>
    <cellStyle name="Normal 22 5 2 5 2" xfId="29679" xr:uid="{00000000-0005-0000-0000-00004C340000}"/>
    <cellStyle name="Normal 22 5 2 6" xfId="21636" xr:uid="{00000000-0005-0000-0000-00004D340000}"/>
    <cellStyle name="Normal 22 5 3" xfId="3725" xr:uid="{00000000-0005-0000-0000-00004E340000}"/>
    <cellStyle name="Normal 22 5 3 2" xfId="3726" xr:uid="{00000000-0005-0000-0000-00004F340000}"/>
    <cellStyle name="Normal 22 5 3 2 2" xfId="7835" xr:uid="{00000000-0005-0000-0000-000050340000}"/>
    <cellStyle name="Normal 22 5 3 2 2 2" xfId="17013" xr:uid="{00000000-0005-0000-0000-000051340000}"/>
    <cellStyle name="Normal 22 5 3 2 2 2 2" xfId="33587" xr:uid="{00000000-0005-0000-0000-000052340000}"/>
    <cellStyle name="Normal 22 5 3 2 2 3" xfId="25540" xr:uid="{00000000-0005-0000-0000-000053340000}"/>
    <cellStyle name="Normal 22 5 3 2 3" xfId="13141" xr:uid="{00000000-0005-0000-0000-000054340000}"/>
    <cellStyle name="Normal 22 5 3 2 3 2" xfId="29684" xr:uid="{00000000-0005-0000-0000-000055340000}"/>
    <cellStyle name="Normal 22 5 3 2 4" xfId="21641" xr:uid="{00000000-0005-0000-0000-000056340000}"/>
    <cellStyle name="Normal 22 5 3 3" xfId="7836" xr:uid="{00000000-0005-0000-0000-000057340000}"/>
    <cellStyle name="Normal 22 5 3 3 2" xfId="17014" xr:uid="{00000000-0005-0000-0000-000058340000}"/>
    <cellStyle name="Normal 22 5 3 3 2 2" xfId="33588" xr:uid="{00000000-0005-0000-0000-000059340000}"/>
    <cellStyle name="Normal 22 5 3 3 3" xfId="25541" xr:uid="{00000000-0005-0000-0000-00005A340000}"/>
    <cellStyle name="Normal 22 5 3 4" xfId="13140" xr:uid="{00000000-0005-0000-0000-00005B340000}"/>
    <cellStyle name="Normal 22 5 3 4 2" xfId="29683" xr:uid="{00000000-0005-0000-0000-00005C340000}"/>
    <cellStyle name="Normal 22 5 3 5" xfId="21640" xr:uid="{00000000-0005-0000-0000-00005D340000}"/>
    <cellStyle name="Normal 22 5 4" xfId="3727" xr:uid="{00000000-0005-0000-0000-00005E340000}"/>
    <cellStyle name="Normal 22 5 4 2" xfId="7837" xr:uid="{00000000-0005-0000-0000-00005F340000}"/>
    <cellStyle name="Normal 22 5 4 2 2" xfId="17015" xr:uid="{00000000-0005-0000-0000-000060340000}"/>
    <cellStyle name="Normal 22 5 4 2 2 2" xfId="33589" xr:uid="{00000000-0005-0000-0000-000061340000}"/>
    <cellStyle name="Normal 22 5 4 2 3" xfId="25542" xr:uid="{00000000-0005-0000-0000-000062340000}"/>
    <cellStyle name="Normal 22 5 4 3" xfId="13142" xr:uid="{00000000-0005-0000-0000-000063340000}"/>
    <cellStyle name="Normal 22 5 4 3 2" xfId="29685" xr:uid="{00000000-0005-0000-0000-000064340000}"/>
    <cellStyle name="Normal 22 5 4 4" xfId="21642" xr:uid="{00000000-0005-0000-0000-000065340000}"/>
    <cellStyle name="Normal 22 5 5" xfId="7838" xr:uid="{00000000-0005-0000-0000-000066340000}"/>
    <cellStyle name="Normal 22 5 5 2" xfId="17016" xr:uid="{00000000-0005-0000-0000-000067340000}"/>
    <cellStyle name="Normal 22 5 5 2 2" xfId="33590" xr:uid="{00000000-0005-0000-0000-000068340000}"/>
    <cellStyle name="Normal 22 5 5 3" xfId="25543" xr:uid="{00000000-0005-0000-0000-000069340000}"/>
    <cellStyle name="Normal 22 5 6" xfId="13135" xr:uid="{00000000-0005-0000-0000-00006A340000}"/>
    <cellStyle name="Normal 22 5 6 2" xfId="29678" xr:uid="{00000000-0005-0000-0000-00006B340000}"/>
    <cellStyle name="Normal 22 5 7" xfId="21635" xr:uid="{00000000-0005-0000-0000-00006C340000}"/>
    <cellStyle name="Normal 22 6" xfId="3728" xr:uid="{00000000-0005-0000-0000-00006D340000}"/>
    <cellStyle name="Normal 22 6 2" xfId="3729" xr:uid="{00000000-0005-0000-0000-00006E340000}"/>
    <cellStyle name="Normal 22 6 2 2" xfId="3730" xr:uid="{00000000-0005-0000-0000-00006F340000}"/>
    <cellStyle name="Normal 22 6 2 2 2" xfId="7839" xr:uid="{00000000-0005-0000-0000-000070340000}"/>
    <cellStyle name="Normal 22 6 2 2 2 2" xfId="17017" xr:uid="{00000000-0005-0000-0000-000071340000}"/>
    <cellStyle name="Normal 22 6 2 2 2 2 2" xfId="33591" xr:uid="{00000000-0005-0000-0000-000072340000}"/>
    <cellStyle name="Normal 22 6 2 2 2 3" xfId="25544" xr:uid="{00000000-0005-0000-0000-000073340000}"/>
    <cellStyle name="Normal 22 6 2 2 3" xfId="13145" xr:uid="{00000000-0005-0000-0000-000074340000}"/>
    <cellStyle name="Normal 22 6 2 2 3 2" xfId="29688" xr:uid="{00000000-0005-0000-0000-000075340000}"/>
    <cellStyle name="Normal 22 6 2 2 4" xfId="21645" xr:uid="{00000000-0005-0000-0000-000076340000}"/>
    <cellStyle name="Normal 22 6 2 3" xfId="7840" xr:uid="{00000000-0005-0000-0000-000077340000}"/>
    <cellStyle name="Normal 22 6 2 3 2" xfId="17018" xr:uid="{00000000-0005-0000-0000-000078340000}"/>
    <cellStyle name="Normal 22 6 2 3 2 2" xfId="33592" xr:uid="{00000000-0005-0000-0000-000079340000}"/>
    <cellStyle name="Normal 22 6 2 3 3" xfId="25545" xr:uid="{00000000-0005-0000-0000-00007A340000}"/>
    <cellStyle name="Normal 22 6 2 4" xfId="13144" xr:uid="{00000000-0005-0000-0000-00007B340000}"/>
    <cellStyle name="Normal 22 6 2 4 2" xfId="29687" xr:uid="{00000000-0005-0000-0000-00007C340000}"/>
    <cellStyle name="Normal 22 6 2 5" xfId="21644" xr:uid="{00000000-0005-0000-0000-00007D340000}"/>
    <cellStyle name="Normal 22 6 3" xfId="3731" xr:uid="{00000000-0005-0000-0000-00007E340000}"/>
    <cellStyle name="Normal 22 6 3 2" xfId="7841" xr:uid="{00000000-0005-0000-0000-00007F340000}"/>
    <cellStyle name="Normal 22 6 3 2 2" xfId="17019" xr:uid="{00000000-0005-0000-0000-000080340000}"/>
    <cellStyle name="Normal 22 6 3 2 2 2" xfId="33593" xr:uid="{00000000-0005-0000-0000-000081340000}"/>
    <cellStyle name="Normal 22 6 3 2 3" xfId="25546" xr:uid="{00000000-0005-0000-0000-000082340000}"/>
    <cellStyle name="Normal 22 6 3 3" xfId="13146" xr:uid="{00000000-0005-0000-0000-000083340000}"/>
    <cellStyle name="Normal 22 6 3 3 2" xfId="29689" xr:uid="{00000000-0005-0000-0000-000084340000}"/>
    <cellStyle name="Normal 22 6 3 4" xfId="21646" xr:uid="{00000000-0005-0000-0000-000085340000}"/>
    <cellStyle name="Normal 22 6 4" xfId="7842" xr:uid="{00000000-0005-0000-0000-000086340000}"/>
    <cellStyle name="Normal 22 6 4 2" xfId="17020" xr:uid="{00000000-0005-0000-0000-000087340000}"/>
    <cellStyle name="Normal 22 6 4 2 2" xfId="33594" xr:uid="{00000000-0005-0000-0000-000088340000}"/>
    <cellStyle name="Normal 22 6 4 3" xfId="25547" xr:uid="{00000000-0005-0000-0000-000089340000}"/>
    <cellStyle name="Normal 22 6 5" xfId="13143" xr:uid="{00000000-0005-0000-0000-00008A340000}"/>
    <cellStyle name="Normal 22 6 5 2" xfId="29686" xr:uid="{00000000-0005-0000-0000-00008B340000}"/>
    <cellStyle name="Normal 22 6 6" xfId="21643" xr:uid="{00000000-0005-0000-0000-00008C340000}"/>
    <cellStyle name="Normal 22 7" xfId="3732" xr:uid="{00000000-0005-0000-0000-00008D340000}"/>
    <cellStyle name="Normal 22 7 2" xfId="3733" xr:uid="{00000000-0005-0000-0000-00008E340000}"/>
    <cellStyle name="Normal 22 7 2 2" xfId="7843" xr:uid="{00000000-0005-0000-0000-00008F340000}"/>
    <cellStyle name="Normal 22 7 2 2 2" xfId="17021" xr:uid="{00000000-0005-0000-0000-000090340000}"/>
    <cellStyle name="Normal 22 7 2 2 2 2" xfId="33595" xr:uid="{00000000-0005-0000-0000-000091340000}"/>
    <cellStyle name="Normal 22 7 2 2 3" xfId="25548" xr:uid="{00000000-0005-0000-0000-000092340000}"/>
    <cellStyle name="Normal 22 7 2 3" xfId="13148" xr:uid="{00000000-0005-0000-0000-000093340000}"/>
    <cellStyle name="Normal 22 7 2 3 2" xfId="29691" xr:uid="{00000000-0005-0000-0000-000094340000}"/>
    <cellStyle name="Normal 22 7 2 4" xfId="21648" xr:uid="{00000000-0005-0000-0000-000095340000}"/>
    <cellStyle name="Normal 22 7 3" xfId="7844" xr:uid="{00000000-0005-0000-0000-000096340000}"/>
    <cellStyle name="Normal 22 7 3 2" xfId="17022" xr:uid="{00000000-0005-0000-0000-000097340000}"/>
    <cellStyle name="Normal 22 7 3 2 2" xfId="33596" xr:uid="{00000000-0005-0000-0000-000098340000}"/>
    <cellStyle name="Normal 22 7 3 3" xfId="25549" xr:uid="{00000000-0005-0000-0000-000099340000}"/>
    <cellStyle name="Normal 22 7 4" xfId="13147" xr:uid="{00000000-0005-0000-0000-00009A340000}"/>
    <cellStyle name="Normal 22 7 4 2" xfId="29690" xr:uid="{00000000-0005-0000-0000-00009B340000}"/>
    <cellStyle name="Normal 22 7 5" xfId="21647" xr:uid="{00000000-0005-0000-0000-00009C340000}"/>
    <cellStyle name="Normal 22 8" xfId="3734" xr:uid="{00000000-0005-0000-0000-00009D340000}"/>
    <cellStyle name="Normal 22 8 2" xfId="7845" xr:uid="{00000000-0005-0000-0000-00009E340000}"/>
    <cellStyle name="Normal 22 8 2 2" xfId="17023" xr:uid="{00000000-0005-0000-0000-00009F340000}"/>
    <cellStyle name="Normal 22 8 2 2 2" xfId="33597" xr:uid="{00000000-0005-0000-0000-0000A0340000}"/>
    <cellStyle name="Normal 22 8 2 3" xfId="25550" xr:uid="{00000000-0005-0000-0000-0000A1340000}"/>
    <cellStyle name="Normal 22 8 3" xfId="13149" xr:uid="{00000000-0005-0000-0000-0000A2340000}"/>
    <cellStyle name="Normal 22 8 3 2" xfId="29692" xr:uid="{00000000-0005-0000-0000-0000A3340000}"/>
    <cellStyle name="Normal 22 8 4" xfId="21649" xr:uid="{00000000-0005-0000-0000-0000A4340000}"/>
    <cellStyle name="Normal 22 9" xfId="7846" xr:uid="{00000000-0005-0000-0000-0000A5340000}"/>
    <cellStyle name="Normal 22 9 2" xfId="17024" xr:uid="{00000000-0005-0000-0000-0000A6340000}"/>
    <cellStyle name="Normal 22 9 2 2" xfId="33598" xr:uid="{00000000-0005-0000-0000-0000A7340000}"/>
    <cellStyle name="Normal 22 9 3" xfId="25551" xr:uid="{00000000-0005-0000-0000-0000A8340000}"/>
    <cellStyle name="Normal 220" xfId="10677" xr:uid="{00000000-0005-0000-0000-0000A9340000}"/>
    <cellStyle name="Normal 221" xfId="10680" xr:uid="{00000000-0005-0000-0000-0000AA340000}"/>
    <cellStyle name="Normal 222" xfId="10683" xr:uid="{00000000-0005-0000-0000-0000AB340000}"/>
    <cellStyle name="Normal 223" xfId="10686" xr:uid="{00000000-0005-0000-0000-0000AC340000}"/>
    <cellStyle name="Normal 224" xfId="10689" xr:uid="{00000000-0005-0000-0000-0000AD340000}"/>
    <cellStyle name="Normal 225" xfId="10692" xr:uid="{00000000-0005-0000-0000-0000AE340000}"/>
    <cellStyle name="Normal 226" xfId="10695" xr:uid="{00000000-0005-0000-0000-0000AF340000}"/>
    <cellStyle name="Normal 227" xfId="10698" xr:uid="{00000000-0005-0000-0000-0000B0340000}"/>
    <cellStyle name="Normal 228" xfId="10701" xr:uid="{00000000-0005-0000-0000-0000B1340000}"/>
    <cellStyle name="Normal 229" xfId="10704" xr:uid="{00000000-0005-0000-0000-0000B2340000}"/>
    <cellStyle name="Normal 23" xfId="3735" xr:uid="{00000000-0005-0000-0000-0000B3340000}"/>
    <cellStyle name="Normal 23 10" xfId="13150" xr:uid="{00000000-0005-0000-0000-0000B4340000}"/>
    <cellStyle name="Normal 23 10 2" xfId="29693" xr:uid="{00000000-0005-0000-0000-0000B5340000}"/>
    <cellStyle name="Normal 23 11" xfId="21650" xr:uid="{00000000-0005-0000-0000-0000B6340000}"/>
    <cellStyle name="Normal 23 2" xfId="3736" xr:uid="{00000000-0005-0000-0000-0000B7340000}"/>
    <cellStyle name="Normal 23 2 2" xfId="3737" xr:uid="{00000000-0005-0000-0000-0000B8340000}"/>
    <cellStyle name="Normal 23 2 3" xfId="13151" xr:uid="{00000000-0005-0000-0000-0000B9340000}"/>
    <cellStyle name="Normal 23 2 3 2" xfId="29694" xr:uid="{00000000-0005-0000-0000-0000BA340000}"/>
    <cellStyle name="Normal 23 2 4" xfId="21651" xr:uid="{00000000-0005-0000-0000-0000BB340000}"/>
    <cellStyle name="Normal 23 3" xfId="3738" xr:uid="{00000000-0005-0000-0000-0000BC340000}"/>
    <cellStyle name="Normal 23 3 2" xfId="3739" xr:uid="{00000000-0005-0000-0000-0000BD340000}"/>
    <cellStyle name="Normal 23 3 2 2" xfId="3740" xr:uid="{00000000-0005-0000-0000-0000BE340000}"/>
    <cellStyle name="Normal 23 3 2 2 2" xfId="3741" xr:uid="{00000000-0005-0000-0000-0000BF340000}"/>
    <cellStyle name="Normal 23 3 2 2 2 2" xfId="7847" xr:uid="{00000000-0005-0000-0000-0000C0340000}"/>
    <cellStyle name="Normal 23 3 2 2 2 2 2" xfId="17025" xr:uid="{00000000-0005-0000-0000-0000C1340000}"/>
    <cellStyle name="Normal 23 3 2 2 2 2 2 2" xfId="33599" xr:uid="{00000000-0005-0000-0000-0000C2340000}"/>
    <cellStyle name="Normal 23 3 2 2 2 2 3" xfId="25552" xr:uid="{00000000-0005-0000-0000-0000C3340000}"/>
    <cellStyle name="Normal 23 3 2 2 2 3" xfId="13154" xr:uid="{00000000-0005-0000-0000-0000C4340000}"/>
    <cellStyle name="Normal 23 3 2 2 2 3 2" xfId="29697" xr:uid="{00000000-0005-0000-0000-0000C5340000}"/>
    <cellStyle name="Normal 23 3 2 2 2 4" xfId="21654" xr:uid="{00000000-0005-0000-0000-0000C6340000}"/>
    <cellStyle name="Normal 23 3 2 2 3" xfId="7848" xr:uid="{00000000-0005-0000-0000-0000C7340000}"/>
    <cellStyle name="Normal 23 3 2 2 3 2" xfId="17026" xr:uid="{00000000-0005-0000-0000-0000C8340000}"/>
    <cellStyle name="Normal 23 3 2 2 3 2 2" xfId="33600" xr:uid="{00000000-0005-0000-0000-0000C9340000}"/>
    <cellStyle name="Normal 23 3 2 2 3 3" xfId="25553" xr:uid="{00000000-0005-0000-0000-0000CA340000}"/>
    <cellStyle name="Normal 23 3 2 2 4" xfId="13153" xr:uid="{00000000-0005-0000-0000-0000CB340000}"/>
    <cellStyle name="Normal 23 3 2 2 4 2" xfId="29696" xr:uid="{00000000-0005-0000-0000-0000CC340000}"/>
    <cellStyle name="Normal 23 3 2 2 5" xfId="21653" xr:uid="{00000000-0005-0000-0000-0000CD340000}"/>
    <cellStyle name="Normal 23 3 2 3" xfId="3742" xr:uid="{00000000-0005-0000-0000-0000CE340000}"/>
    <cellStyle name="Normal 23 3 2 3 2" xfId="7849" xr:uid="{00000000-0005-0000-0000-0000CF340000}"/>
    <cellStyle name="Normal 23 3 2 3 2 2" xfId="17027" xr:uid="{00000000-0005-0000-0000-0000D0340000}"/>
    <cellStyle name="Normal 23 3 2 3 2 2 2" xfId="33601" xr:uid="{00000000-0005-0000-0000-0000D1340000}"/>
    <cellStyle name="Normal 23 3 2 3 2 3" xfId="25554" xr:uid="{00000000-0005-0000-0000-0000D2340000}"/>
    <cellStyle name="Normal 23 3 2 3 3" xfId="13155" xr:uid="{00000000-0005-0000-0000-0000D3340000}"/>
    <cellStyle name="Normal 23 3 2 3 3 2" xfId="29698" xr:uid="{00000000-0005-0000-0000-0000D4340000}"/>
    <cellStyle name="Normal 23 3 2 3 4" xfId="21655" xr:uid="{00000000-0005-0000-0000-0000D5340000}"/>
    <cellStyle name="Normal 23 3 2 4" xfId="7850" xr:uid="{00000000-0005-0000-0000-0000D6340000}"/>
    <cellStyle name="Normal 23 3 2 4 2" xfId="17028" xr:uid="{00000000-0005-0000-0000-0000D7340000}"/>
    <cellStyle name="Normal 23 3 2 4 2 2" xfId="33602" xr:uid="{00000000-0005-0000-0000-0000D8340000}"/>
    <cellStyle name="Normal 23 3 2 4 3" xfId="25555" xr:uid="{00000000-0005-0000-0000-0000D9340000}"/>
    <cellStyle name="Normal 23 3 2 5" xfId="13152" xr:uid="{00000000-0005-0000-0000-0000DA340000}"/>
    <cellStyle name="Normal 23 3 2 5 2" xfId="29695" xr:uid="{00000000-0005-0000-0000-0000DB340000}"/>
    <cellStyle name="Normal 23 3 2 6" xfId="21652" xr:uid="{00000000-0005-0000-0000-0000DC340000}"/>
    <cellStyle name="Normal 23 3 3" xfId="3743" xr:uid="{00000000-0005-0000-0000-0000DD340000}"/>
    <cellStyle name="Normal 23 3 3 2" xfId="3744" xr:uid="{00000000-0005-0000-0000-0000DE340000}"/>
    <cellStyle name="Normal 23 3 3 2 2" xfId="7851" xr:uid="{00000000-0005-0000-0000-0000DF340000}"/>
    <cellStyle name="Normal 23 3 3 2 2 2" xfId="17029" xr:uid="{00000000-0005-0000-0000-0000E0340000}"/>
    <cellStyle name="Normal 23 3 3 2 2 2 2" xfId="33603" xr:uid="{00000000-0005-0000-0000-0000E1340000}"/>
    <cellStyle name="Normal 23 3 3 2 2 3" xfId="25556" xr:uid="{00000000-0005-0000-0000-0000E2340000}"/>
    <cellStyle name="Normal 23 3 3 2 3" xfId="13157" xr:uid="{00000000-0005-0000-0000-0000E3340000}"/>
    <cellStyle name="Normal 23 3 3 2 3 2" xfId="29700" xr:uid="{00000000-0005-0000-0000-0000E4340000}"/>
    <cellStyle name="Normal 23 3 3 2 4" xfId="21657" xr:uid="{00000000-0005-0000-0000-0000E5340000}"/>
    <cellStyle name="Normal 23 3 3 3" xfId="7852" xr:uid="{00000000-0005-0000-0000-0000E6340000}"/>
    <cellStyle name="Normal 23 3 3 3 2" xfId="17030" xr:uid="{00000000-0005-0000-0000-0000E7340000}"/>
    <cellStyle name="Normal 23 3 3 3 2 2" xfId="33604" xr:uid="{00000000-0005-0000-0000-0000E8340000}"/>
    <cellStyle name="Normal 23 3 3 3 3" xfId="25557" xr:uid="{00000000-0005-0000-0000-0000E9340000}"/>
    <cellStyle name="Normal 23 3 3 4" xfId="13156" xr:uid="{00000000-0005-0000-0000-0000EA340000}"/>
    <cellStyle name="Normal 23 3 3 4 2" xfId="29699" xr:uid="{00000000-0005-0000-0000-0000EB340000}"/>
    <cellStyle name="Normal 23 3 3 5" xfId="21656" xr:uid="{00000000-0005-0000-0000-0000EC340000}"/>
    <cellStyle name="Normal 23 3 4" xfId="3745" xr:uid="{00000000-0005-0000-0000-0000ED340000}"/>
    <cellStyle name="Normal 23 3 4 2" xfId="7853" xr:uid="{00000000-0005-0000-0000-0000EE340000}"/>
    <cellStyle name="Normal 23 3 4 2 2" xfId="17031" xr:uid="{00000000-0005-0000-0000-0000EF340000}"/>
    <cellStyle name="Normal 23 3 4 2 2 2" xfId="33605" xr:uid="{00000000-0005-0000-0000-0000F0340000}"/>
    <cellStyle name="Normal 23 3 4 2 3" xfId="25558" xr:uid="{00000000-0005-0000-0000-0000F1340000}"/>
    <cellStyle name="Normal 23 3 4 3" xfId="13158" xr:uid="{00000000-0005-0000-0000-0000F2340000}"/>
    <cellStyle name="Normal 23 3 4 3 2" xfId="29701" xr:uid="{00000000-0005-0000-0000-0000F3340000}"/>
    <cellStyle name="Normal 23 3 4 4" xfId="21658" xr:uid="{00000000-0005-0000-0000-0000F4340000}"/>
    <cellStyle name="Normal 23 3 5" xfId="3746" xr:uid="{00000000-0005-0000-0000-0000F5340000}"/>
    <cellStyle name="Normal 23 3 5 2" xfId="13159" xr:uid="{00000000-0005-0000-0000-0000F6340000}"/>
    <cellStyle name="Normal 23 3 5 2 2" xfId="29702" xr:uid="{00000000-0005-0000-0000-0000F7340000}"/>
    <cellStyle name="Normal 23 3 5 3" xfId="21659" xr:uid="{00000000-0005-0000-0000-0000F8340000}"/>
    <cellStyle name="Normal 23 4" xfId="3747" xr:uid="{00000000-0005-0000-0000-0000F9340000}"/>
    <cellStyle name="Normal 23 4 2" xfId="3748" xr:uid="{00000000-0005-0000-0000-0000FA340000}"/>
    <cellStyle name="Normal 23 4 2 2" xfId="3749" xr:uid="{00000000-0005-0000-0000-0000FB340000}"/>
    <cellStyle name="Normal 23 4 2 2 2" xfId="3750" xr:uid="{00000000-0005-0000-0000-0000FC340000}"/>
    <cellStyle name="Normal 23 4 2 2 2 2" xfId="7854" xr:uid="{00000000-0005-0000-0000-0000FD340000}"/>
    <cellStyle name="Normal 23 4 2 2 2 2 2" xfId="17032" xr:uid="{00000000-0005-0000-0000-0000FE340000}"/>
    <cellStyle name="Normal 23 4 2 2 2 2 2 2" xfId="33606" xr:uid="{00000000-0005-0000-0000-0000FF340000}"/>
    <cellStyle name="Normal 23 4 2 2 2 2 3" xfId="25559" xr:uid="{00000000-0005-0000-0000-000000350000}"/>
    <cellStyle name="Normal 23 4 2 2 2 3" xfId="13163" xr:uid="{00000000-0005-0000-0000-000001350000}"/>
    <cellStyle name="Normal 23 4 2 2 2 3 2" xfId="29706" xr:uid="{00000000-0005-0000-0000-000002350000}"/>
    <cellStyle name="Normal 23 4 2 2 2 4" xfId="21663" xr:uid="{00000000-0005-0000-0000-000003350000}"/>
    <cellStyle name="Normal 23 4 2 2 3" xfId="7855" xr:uid="{00000000-0005-0000-0000-000004350000}"/>
    <cellStyle name="Normal 23 4 2 2 3 2" xfId="17033" xr:uid="{00000000-0005-0000-0000-000005350000}"/>
    <cellStyle name="Normal 23 4 2 2 3 2 2" xfId="33607" xr:uid="{00000000-0005-0000-0000-000006350000}"/>
    <cellStyle name="Normal 23 4 2 2 3 3" xfId="25560" xr:uid="{00000000-0005-0000-0000-000007350000}"/>
    <cellStyle name="Normal 23 4 2 2 4" xfId="13162" xr:uid="{00000000-0005-0000-0000-000008350000}"/>
    <cellStyle name="Normal 23 4 2 2 4 2" xfId="29705" xr:uid="{00000000-0005-0000-0000-000009350000}"/>
    <cellStyle name="Normal 23 4 2 2 5" xfId="21662" xr:uid="{00000000-0005-0000-0000-00000A350000}"/>
    <cellStyle name="Normal 23 4 2 3" xfId="3751" xr:uid="{00000000-0005-0000-0000-00000B350000}"/>
    <cellStyle name="Normal 23 4 2 3 2" xfId="7856" xr:uid="{00000000-0005-0000-0000-00000C350000}"/>
    <cellStyle name="Normal 23 4 2 3 2 2" xfId="17034" xr:uid="{00000000-0005-0000-0000-00000D350000}"/>
    <cellStyle name="Normal 23 4 2 3 2 2 2" xfId="33608" xr:uid="{00000000-0005-0000-0000-00000E350000}"/>
    <cellStyle name="Normal 23 4 2 3 2 3" xfId="25561" xr:uid="{00000000-0005-0000-0000-00000F350000}"/>
    <cellStyle name="Normal 23 4 2 3 3" xfId="13164" xr:uid="{00000000-0005-0000-0000-000010350000}"/>
    <cellStyle name="Normal 23 4 2 3 3 2" xfId="29707" xr:uid="{00000000-0005-0000-0000-000011350000}"/>
    <cellStyle name="Normal 23 4 2 3 4" xfId="21664" xr:uid="{00000000-0005-0000-0000-000012350000}"/>
    <cellStyle name="Normal 23 4 2 4" xfId="7857" xr:uid="{00000000-0005-0000-0000-000013350000}"/>
    <cellStyle name="Normal 23 4 2 4 2" xfId="17035" xr:uid="{00000000-0005-0000-0000-000014350000}"/>
    <cellStyle name="Normal 23 4 2 4 2 2" xfId="33609" xr:uid="{00000000-0005-0000-0000-000015350000}"/>
    <cellStyle name="Normal 23 4 2 4 3" xfId="25562" xr:uid="{00000000-0005-0000-0000-000016350000}"/>
    <cellStyle name="Normal 23 4 2 5" xfId="13161" xr:uid="{00000000-0005-0000-0000-000017350000}"/>
    <cellStyle name="Normal 23 4 2 5 2" xfId="29704" xr:uid="{00000000-0005-0000-0000-000018350000}"/>
    <cellStyle name="Normal 23 4 2 6" xfId="21661" xr:uid="{00000000-0005-0000-0000-000019350000}"/>
    <cellStyle name="Normal 23 4 3" xfId="3752" xr:uid="{00000000-0005-0000-0000-00001A350000}"/>
    <cellStyle name="Normal 23 4 3 2" xfId="3753" xr:uid="{00000000-0005-0000-0000-00001B350000}"/>
    <cellStyle name="Normal 23 4 3 2 2" xfId="7858" xr:uid="{00000000-0005-0000-0000-00001C350000}"/>
    <cellStyle name="Normal 23 4 3 2 2 2" xfId="17036" xr:uid="{00000000-0005-0000-0000-00001D350000}"/>
    <cellStyle name="Normal 23 4 3 2 2 2 2" xfId="33610" xr:uid="{00000000-0005-0000-0000-00001E350000}"/>
    <cellStyle name="Normal 23 4 3 2 2 3" xfId="25563" xr:uid="{00000000-0005-0000-0000-00001F350000}"/>
    <cellStyle name="Normal 23 4 3 2 3" xfId="13166" xr:uid="{00000000-0005-0000-0000-000020350000}"/>
    <cellStyle name="Normal 23 4 3 2 3 2" xfId="29709" xr:uid="{00000000-0005-0000-0000-000021350000}"/>
    <cellStyle name="Normal 23 4 3 2 4" xfId="21666" xr:uid="{00000000-0005-0000-0000-000022350000}"/>
    <cellStyle name="Normal 23 4 3 3" xfId="7859" xr:uid="{00000000-0005-0000-0000-000023350000}"/>
    <cellStyle name="Normal 23 4 3 3 2" xfId="17037" xr:uid="{00000000-0005-0000-0000-000024350000}"/>
    <cellStyle name="Normal 23 4 3 3 2 2" xfId="33611" xr:uid="{00000000-0005-0000-0000-000025350000}"/>
    <cellStyle name="Normal 23 4 3 3 3" xfId="25564" xr:uid="{00000000-0005-0000-0000-000026350000}"/>
    <cellStyle name="Normal 23 4 3 4" xfId="13165" xr:uid="{00000000-0005-0000-0000-000027350000}"/>
    <cellStyle name="Normal 23 4 3 4 2" xfId="29708" xr:uid="{00000000-0005-0000-0000-000028350000}"/>
    <cellStyle name="Normal 23 4 3 5" xfId="21665" xr:uid="{00000000-0005-0000-0000-000029350000}"/>
    <cellStyle name="Normal 23 4 4" xfId="3754" xr:uid="{00000000-0005-0000-0000-00002A350000}"/>
    <cellStyle name="Normal 23 4 4 2" xfId="7860" xr:uid="{00000000-0005-0000-0000-00002B350000}"/>
    <cellStyle name="Normal 23 4 4 2 2" xfId="17038" xr:uid="{00000000-0005-0000-0000-00002C350000}"/>
    <cellStyle name="Normal 23 4 4 2 2 2" xfId="33612" xr:uid="{00000000-0005-0000-0000-00002D350000}"/>
    <cellStyle name="Normal 23 4 4 2 3" xfId="25565" xr:uid="{00000000-0005-0000-0000-00002E350000}"/>
    <cellStyle name="Normal 23 4 4 3" xfId="13167" xr:uid="{00000000-0005-0000-0000-00002F350000}"/>
    <cellStyle name="Normal 23 4 4 3 2" xfId="29710" xr:uid="{00000000-0005-0000-0000-000030350000}"/>
    <cellStyle name="Normal 23 4 4 4" xfId="21667" xr:uid="{00000000-0005-0000-0000-000031350000}"/>
    <cellStyle name="Normal 23 4 5" xfId="7861" xr:uid="{00000000-0005-0000-0000-000032350000}"/>
    <cellStyle name="Normal 23 4 5 2" xfId="17039" xr:uid="{00000000-0005-0000-0000-000033350000}"/>
    <cellStyle name="Normal 23 4 5 2 2" xfId="33613" xr:uid="{00000000-0005-0000-0000-000034350000}"/>
    <cellStyle name="Normal 23 4 5 3" xfId="25566" xr:uid="{00000000-0005-0000-0000-000035350000}"/>
    <cellStyle name="Normal 23 4 6" xfId="13160" xr:uid="{00000000-0005-0000-0000-000036350000}"/>
    <cellStyle name="Normal 23 4 6 2" xfId="29703" xr:uid="{00000000-0005-0000-0000-000037350000}"/>
    <cellStyle name="Normal 23 4 7" xfId="21660" xr:uid="{00000000-0005-0000-0000-000038350000}"/>
    <cellStyle name="Normal 23 5" xfId="3755" xr:uid="{00000000-0005-0000-0000-000039350000}"/>
    <cellStyle name="Normal 23 5 2" xfId="3756" xr:uid="{00000000-0005-0000-0000-00003A350000}"/>
    <cellStyle name="Normal 23 5 2 2" xfId="3757" xr:uid="{00000000-0005-0000-0000-00003B350000}"/>
    <cellStyle name="Normal 23 5 2 2 2" xfId="3758" xr:uid="{00000000-0005-0000-0000-00003C350000}"/>
    <cellStyle name="Normal 23 5 2 2 2 2" xfId="7862" xr:uid="{00000000-0005-0000-0000-00003D350000}"/>
    <cellStyle name="Normal 23 5 2 2 2 2 2" xfId="17040" xr:uid="{00000000-0005-0000-0000-00003E350000}"/>
    <cellStyle name="Normal 23 5 2 2 2 2 2 2" xfId="33614" xr:uid="{00000000-0005-0000-0000-00003F350000}"/>
    <cellStyle name="Normal 23 5 2 2 2 2 3" xfId="25567" xr:uid="{00000000-0005-0000-0000-000040350000}"/>
    <cellStyle name="Normal 23 5 2 2 2 3" xfId="13171" xr:uid="{00000000-0005-0000-0000-000041350000}"/>
    <cellStyle name="Normal 23 5 2 2 2 3 2" xfId="29714" xr:uid="{00000000-0005-0000-0000-000042350000}"/>
    <cellStyle name="Normal 23 5 2 2 2 4" xfId="21671" xr:uid="{00000000-0005-0000-0000-000043350000}"/>
    <cellStyle name="Normal 23 5 2 2 3" xfId="7863" xr:uid="{00000000-0005-0000-0000-000044350000}"/>
    <cellStyle name="Normal 23 5 2 2 3 2" xfId="17041" xr:uid="{00000000-0005-0000-0000-000045350000}"/>
    <cellStyle name="Normal 23 5 2 2 3 2 2" xfId="33615" xr:uid="{00000000-0005-0000-0000-000046350000}"/>
    <cellStyle name="Normal 23 5 2 2 3 3" xfId="25568" xr:uid="{00000000-0005-0000-0000-000047350000}"/>
    <cellStyle name="Normal 23 5 2 2 4" xfId="13170" xr:uid="{00000000-0005-0000-0000-000048350000}"/>
    <cellStyle name="Normal 23 5 2 2 4 2" xfId="29713" xr:uid="{00000000-0005-0000-0000-000049350000}"/>
    <cellStyle name="Normal 23 5 2 2 5" xfId="21670" xr:uid="{00000000-0005-0000-0000-00004A350000}"/>
    <cellStyle name="Normal 23 5 2 3" xfId="3759" xr:uid="{00000000-0005-0000-0000-00004B350000}"/>
    <cellStyle name="Normal 23 5 2 3 2" xfId="7864" xr:uid="{00000000-0005-0000-0000-00004C350000}"/>
    <cellStyle name="Normal 23 5 2 3 2 2" xfId="17042" xr:uid="{00000000-0005-0000-0000-00004D350000}"/>
    <cellStyle name="Normal 23 5 2 3 2 2 2" xfId="33616" xr:uid="{00000000-0005-0000-0000-00004E350000}"/>
    <cellStyle name="Normal 23 5 2 3 2 3" xfId="25569" xr:uid="{00000000-0005-0000-0000-00004F350000}"/>
    <cellStyle name="Normal 23 5 2 3 3" xfId="13172" xr:uid="{00000000-0005-0000-0000-000050350000}"/>
    <cellStyle name="Normal 23 5 2 3 3 2" xfId="29715" xr:uid="{00000000-0005-0000-0000-000051350000}"/>
    <cellStyle name="Normal 23 5 2 3 4" xfId="21672" xr:uid="{00000000-0005-0000-0000-000052350000}"/>
    <cellStyle name="Normal 23 5 2 4" xfId="7865" xr:uid="{00000000-0005-0000-0000-000053350000}"/>
    <cellStyle name="Normal 23 5 2 4 2" xfId="17043" xr:uid="{00000000-0005-0000-0000-000054350000}"/>
    <cellStyle name="Normal 23 5 2 4 2 2" xfId="33617" xr:uid="{00000000-0005-0000-0000-000055350000}"/>
    <cellStyle name="Normal 23 5 2 4 3" xfId="25570" xr:uid="{00000000-0005-0000-0000-000056350000}"/>
    <cellStyle name="Normal 23 5 2 5" xfId="13169" xr:uid="{00000000-0005-0000-0000-000057350000}"/>
    <cellStyle name="Normal 23 5 2 5 2" xfId="29712" xr:uid="{00000000-0005-0000-0000-000058350000}"/>
    <cellStyle name="Normal 23 5 2 6" xfId="21669" xr:uid="{00000000-0005-0000-0000-000059350000}"/>
    <cellStyle name="Normal 23 5 3" xfId="3760" xr:uid="{00000000-0005-0000-0000-00005A350000}"/>
    <cellStyle name="Normal 23 5 3 2" xfId="3761" xr:uid="{00000000-0005-0000-0000-00005B350000}"/>
    <cellStyle name="Normal 23 5 3 2 2" xfId="7866" xr:uid="{00000000-0005-0000-0000-00005C350000}"/>
    <cellStyle name="Normal 23 5 3 2 2 2" xfId="17044" xr:uid="{00000000-0005-0000-0000-00005D350000}"/>
    <cellStyle name="Normal 23 5 3 2 2 2 2" xfId="33618" xr:uid="{00000000-0005-0000-0000-00005E350000}"/>
    <cellStyle name="Normal 23 5 3 2 2 3" xfId="25571" xr:uid="{00000000-0005-0000-0000-00005F350000}"/>
    <cellStyle name="Normal 23 5 3 2 3" xfId="13174" xr:uid="{00000000-0005-0000-0000-000060350000}"/>
    <cellStyle name="Normal 23 5 3 2 3 2" xfId="29717" xr:uid="{00000000-0005-0000-0000-000061350000}"/>
    <cellStyle name="Normal 23 5 3 2 4" xfId="21674" xr:uid="{00000000-0005-0000-0000-000062350000}"/>
    <cellStyle name="Normal 23 5 3 3" xfId="7867" xr:uid="{00000000-0005-0000-0000-000063350000}"/>
    <cellStyle name="Normal 23 5 3 3 2" xfId="17045" xr:uid="{00000000-0005-0000-0000-000064350000}"/>
    <cellStyle name="Normal 23 5 3 3 2 2" xfId="33619" xr:uid="{00000000-0005-0000-0000-000065350000}"/>
    <cellStyle name="Normal 23 5 3 3 3" xfId="25572" xr:uid="{00000000-0005-0000-0000-000066350000}"/>
    <cellStyle name="Normal 23 5 3 4" xfId="13173" xr:uid="{00000000-0005-0000-0000-000067350000}"/>
    <cellStyle name="Normal 23 5 3 4 2" xfId="29716" xr:uid="{00000000-0005-0000-0000-000068350000}"/>
    <cellStyle name="Normal 23 5 3 5" xfId="21673" xr:uid="{00000000-0005-0000-0000-000069350000}"/>
    <cellStyle name="Normal 23 5 4" xfId="3762" xr:uid="{00000000-0005-0000-0000-00006A350000}"/>
    <cellStyle name="Normal 23 5 4 2" xfId="7868" xr:uid="{00000000-0005-0000-0000-00006B350000}"/>
    <cellStyle name="Normal 23 5 4 2 2" xfId="17046" xr:uid="{00000000-0005-0000-0000-00006C350000}"/>
    <cellStyle name="Normal 23 5 4 2 2 2" xfId="33620" xr:uid="{00000000-0005-0000-0000-00006D350000}"/>
    <cellStyle name="Normal 23 5 4 2 3" xfId="25573" xr:uid="{00000000-0005-0000-0000-00006E350000}"/>
    <cellStyle name="Normal 23 5 4 3" xfId="13175" xr:uid="{00000000-0005-0000-0000-00006F350000}"/>
    <cellStyle name="Normal 23 5 4 3 2" xfId="29718" xr:uid="{00000000-0005-0000-0000-000070350000}"/>
    <cellStyle name="Normal 23 5 4 4" xfId="21675" xr:uid="{00000000-0005-0000-0000-000071350000}"/>
    <cellStyle name="Normal 23 5 5" xfId="7869" xr:uid="{00000000-0005-0000-0000-000072350000}"/>
    <cellStyle name="Normal 23 5 5 2" xfId="17047" xr:uid="{00000000-0005-0000-0000-000073350000}"/>
    <cellStyle name="Normal 23 5 5 2 2" xfId="33621" xr:uid="{00000000-0005-0000-0000-000074350000}"/>
    <cellStyle name="Normal 23 5 5 3" xfId="25574" xr:uid="{00000000-0005-0000-0000-000075350000}"/>
    <cellStyle name="Normal 23 5 6" xfId="13168" xr:uid="{00000000-0005-0000-0000-000076350000}"/>
    <cellStyle name="Normal 23 5 6 2" xfId="29711" xr:uid="{00000000-0005-0000-0000-000077350000}"/>
    <cellStyle name="Normal 23 5 7" xfId="21668" xr:uid="{00000000-0005-0000-0000-000078350000}"/>
    <cellStyle name="Normal 23 6" xfId="3763" xr:uid="{00000000-0005-0000-0000-000079350000}"/>
    <cellStyle name="Normal 23 6 2" xfId="3764" xr:uid="{00000000-0005-0000-0000-00007A350000}"/>
    <cellStyle name="Normal 23 6 2 2" xfId="3765" xr:uid="{00000000-0005-0000-0000-00007B350000}"/>
    <cellStyle name="Normal 23 6 2 2 2" xfId="7870" xr:uid="{00000000-0005-0000-0000-00007C350000}"/>
    <cellStyle name="Normal 23 6 2 2 2 2" xfId="17048" xr:uid="{00000000-0005-0000-0000-00007D350000}"/>
    <cellStyle name="Normal 23 6 2 2 2 2 2" xfId="33622" xr:uid="{00000000-0005-0000-0000-00007E350000}"/>
    <cellStyle name="Normal 23 6 2 2 2 3" xfId="25575" xr:uid="{00000000-0005-0000-0000-00007F350000}"/>
    <cellStyle name="Normal 23 6 2 2 3" xfId="13178" xr:uid="{00000000-0005-0000-0000-000080350000}"/>
    <cellStyle name="Normal 23 6 2 2 3 2" xfId="29721" xr:uid="{00000000-0005-0000-0000-000081350000}"/>
    <cellStyle name="Normal 23 6 2 2 4" xfId="21678" xr:uid="{00000000-0005-0000-0000-000082350000}"/>
    <cellStyle name="Normal 23 6 2 3" xfId="7871" xr:uid="{00000000-0005-0000-0000-000083350000}"/>
    <cellStyle name="Normal 23 6 2 3 2" xfId="17049" xr:uid="{00000000-0005-0000-0000-000084350000}"/>
    <cellStyle name="Normal 23 6 2 3 2 2" xfId="33623" xr:uid="{00000000-0005-0000-0000-000085350000}"/>
    <cellStyle name="Normal 23 6 2 3 3" xfId="25576" xr:uid="{00000000-0005-0000-0000-000086350000}"/>
    <cellStyle name="Normal 23 6 2 4" xfId="13177" xr:uid="{00000000-0005-0000-0000-000087350000}"/>
    <cellStyle name="Normal 23 6 2 4 2" xfId="29720" xr:uid="{00000000-0005-0000-0000-000088350000}"/>
    <cellStyle name="Normal 23 6 2 5" xfId="21677" xr:uid="{00000000-0005-0000-0000-000089350000}"/>
    <cellStyle name="Normal 23 6 3" xfId="3766" xr:uid="{00000000-0005-0000-0000-00008A350000}"/>
    <cellStyle name="Normal 23 6 3 2" xfId="7872" xr:uid="{00000000-0005-0000-0000-00008B350000}"/>
    <cellStyle name="Normal 23 6 3 2 2" xfId="17050" xr:uid="{00000000-0005-0000-0000-00008C350000}"/>
    <cellStyle name="Normal 23 6 3 2 2 2" xfId="33624" xr:uid="{00000000-0005-0000-0000-00008D350000}"/>
    <cellStyle name="Normal 23 6 3 2 3" xfId="25577" xr:uid="{00000000-0005-0000-0000-00008E350000}"/>
    <cellStyle name="Normal 23 6 3 3" xfId="13179" xr:uid="{00000000-0005-0000-0000-00008F350000}"/>
    <cellStyle name="Normal 23 6 3 3 2" xfId="29722" xr:uid="{00000000-0005-0000-0000-000090350000}"/>
    <cellStyle name="Normal 23 6 3 4" xfId="21679" xr:uid="{00000000-0005-0000-0000-000091350000}"/>
    <cellStyle name="Normal 23 6 4" xfId="7873" xr:uid="{00000000-0005-0000-0000-000092350000}"/>
    <cellStyle name="Normal 23 6 4 2" xfId="17051" xr:uid="{00000000-0005-0000-0000-000093350000}"/>
    <cellStyle name="Normal 23 6 4 2 2" xfId="33625" xr:uid="{00000000-0005-0000-0000-000094350000}"/>
    <cellStyle name="Normal 23 6 4 3" xfId="25578" xr:uid="{00000000-0005-0000-0000-000095350000}"/>
    <cellStyle name="Normal 23 6 5" xfId="13176" xr:uid="{00000000-0005-0000-0000-000096350000}"/>
    <cellStyle name="Normal 23 6 5 2" xfId="29719" xr:uid="{00000000-0005-0000-0000-000097350000}"/>
    <cellStyle name="Normal 23 6 6" xfId="21676" xr:uid="{00000000-0005-0000-0000-000098350000}"/>
    <cellStyle name="Normal 23 7" xfId="3767" xr:uid="{00000000-0005-0000-0000-000099350000}"/>
    <cellStyle name="Normal 23 7 2" xfId="3768" xr:uid="{00000000-0005-0000-0000-00009A350000}"/>
    <cellStyle name="Normal 23 7 2 2" xfId="7874" xr:uid="{00000000-0005-0000-0000-00009B350000}"/>
    <cellStyle name="Normal 23 7 2 2 2" xfId="17052" xr:uid="{00000000-0005-0000-0000-00009C350000}"/>
    <cellStyle name="Normal 23 7 2 2 2 2" xfId="33626" xr:uid="{00000000-0005-0000-0000-00009D350000}"/>
    <cellStyle name="Normal 23 7 2 2 3" xfId="25579" xr:uid="{00000000-0005-0000-0000-00009E350000}"/>
    <cellStyle name="Normal 23 7 2 3" xfId="13181" xr:uid="{00000000-0005-0000-0000-00009F350000}"/>
    <cellStyle name="Normal 23 7 2 3 2" xfId="29724" xr:uid="{00000000-0005-0000-0000-0000A0350000}"/>
    <cellStyle name="Normal 23 7 2 4" xfId="21681" xr:uid="{00000000-0005-0000-0000-0000A1350000}"/>
    <cellStyle name="Normal 23 7 3" xfId="7875" xr:uid="{00000000-0005-0000-0000-0000A2350000}"/>
    <cellStyle name="Normal 23 7 3 2" xfId="17053" xr:uid="{00000000-0005-0000-0000-0000A3350000}"/>
    <cellStyle name="Normal 23 7 3 2 2" xfId="33627" xr:uid="{00000000-0005-0000-0000-0000A4350000}"/>
    <cellStyle name="Normal 23 7 3 3" xfId="25580" xr:uid="{00000000-0005-0000-0000-0000A5350000}"/>
    <cellStyle name="Normal 23 7 4" xfId="13180" xr:uid="{00000000-0005-0000-0000-0000A6350000}"/>
    <cellStyle name="Normal 23 7 4 2" xfId="29723" xr:uid="{00000000-0005-0000-0000-0000A7350000}"/>
    <cellStyle name="Normal 23 7 5" xfId="21680" xr:uid="{00000000-0005-0000-0000-0000A8350000}"/>
    <cellStyle name="Normal 23 8" xfId="3769" xr:uid="{00000000-0005-0000-0000-0000A9350000}"/>
    <cellStyle name="Normal 23 8 2" xfId="7876" xr:uid="{00000000-0005-0000-0000-0000AA350000}"/>
    <cellStyle name="Normal 23 8 2 2" xfId="17054" xr:uid="{00000000-0005-0000-0000-0000AB350000}"/>
    <cellStyle name="Normal 23 8 2 2 2" xfId="33628" xr:uid="{00000000-0005-0000-0000-0000AC350000}"/>
    <cellStyle name="Normal 23 8 2 3" xfId="25581" xr:uid="{00000000-0005-0000-0000-0000AD350000}"/>
    <cellStyle name="Normal 23 8 3" xfId="13182" xr:uid="{00000000-0005-0000-0000-0000AE350000}"/>
    <cellStyle name="Normal 23 8 3 2" xfId="29725" xr:uid="{00000000-0005-0000-0000-0000AF350000}"/>
    <cellStyle name="Normal 23 8 4" xfId="21682" xr:uid="{00000000-0005-0000-0000-0000B0350000}"/>
    <cellStyle name="Normal 23 9" xfId="7877" xr:uid="{00000000-0005-0000-0000-0000B1350000}"/>
    <cellStyle name="Normal 23 9 2" xfId="17055" xr:uid="{00000000-0005-0000-0000-0000B2350000}"/>
    <cellStyle name="Normal 23 9 2 2" xfId="33629" xr:uid="{00000000-0005-0000-0000-0000B3350000}"/>
    <cellStyle name="Normal 23 9 3" xfId="25582" xr:uid="{00000000-0005-0000-0000-0000B4350000}"/>
    <cellStyle name="Normal 230" xfId="10707" xr:uid="{00000000-0005-0000-0000-0000B5350000}"/>
    <cellStyle name="Normal 231" xfId="10710" xr:uid="{00000000-0005-0000-0000-0000B6350000}"/>
    <cellStyle name="Normal 232" xfId="10713" xr:uid="{00000000-0005-0000-0000-0000B7350000}"/>
    <cellStyle name="Normal 233" xfId="10716" xr:uid="{00000000-0005-0000-0000-0000B8350000}"/>
    <cellStyle name="Normal 234" xfId="10719" xr:uid="{00000000-0005-0000-0000-0000B9350000}"/>
    <cellStyle name="Normal 235" xfId="10722" xr:uid="{00000000-0005-0000-0000-0000BA350000}"/>
    <cellStyle name="Normal 236" xfId="10725" xr:uid="{00000000-0005-0000-0000-0000BB350000}"/>
    <cellStyle name="Normal 237" xfId="10728" xr:uid="{00000000-0005-0000-0000-0000BC350000}"/>
    <cellStyle name="Normal 238" xfId="10731" xr:uid="{00000000-0005-0000-0000-0000BD350000}"/>
    <cellStyle name="Normal 239" xfId="10734" xr:uid="{00000000-0005-0000-0000-0000BE350000}"/>
    <cellStyle name="Normal 24" xfId="3770" xr:uid="{00000000-0005-0000-0000-0000BF350000}"/>
    <cellStyle name="Normal 24 10" xfId="13183" xr:uid="{00000000-0005-0000-0000-0000C0350000}"/>
    <cellStyle name="Normal 24 10 2" xfId="29726" xr:uid="{00000000-0005-0000-0000-0000C1350000}"/>
    <cellStyle name="Normal 24 11" xfId="21683" xr:uid="{00000000-0005-0000-0000-0000C2350000}"/>
    <cellStyle name="Normal 24 2" xfId="3771" xr:uid="{00000000-0005-0000-0000-0000C3350000}"/>
    <cellStyle name="Normal 24 2 2" xfId="3772" xr:uid="{00000000-0005-0000-0000-0000C4350000}"/>
    <cellStyle name="Normal 24 2 3" xfId="13184" xr:uid="{00000000-0005-0000-0000-0000C5350000}"/>
    <cellStyle name="Normal 24 2 3 2" xfId="29727" xr:uid="{00000000-0005-0000-0000-0000C6350000}"/>
    <cellStyle name="Normal 24 2 4" xfId="21684" xr:uid="{00000000-0005-0000-0000-0000C7350000}"/>
    <cellStyle name="Normal 24 3" xfId="3773" xr:uid="{00000000-0005-0000-0000-0000C8350000}"/>
    <cellStyle name="Normal 24 3 2" xfId="3774" xr:uid="{00000000-0005-0000-0000-0000C9350000}"/>
    <cellStyle name="Normal 24 3 2 2" xfId="3775" xr:uid="{00000000-0005-0000-0000-0000CA350000}"/>
    <cellStyle name="Normal 24 3 2 2 2" xfId="3776" xr:uid="{00000000-0005-0000-0000-0000CB350000}"/>
    <cellStyle name="Normal 24 3 2 2 2 2" xfId="7878" xr:uid="{00000000-0005-0000-0000-0000CC350000}"/>
    <cellStyle name="Normal 24 3 2 2 2 2 2" xfId="17056" xr:uid="{00000000-0005-0000-0000-0000CD350000}"/>
    <cellStyle name="Normal 24 3 2 2 2 2 2 2" xfId="33630" xr:uid="{00000000-0005-0000-0000-0000CE350000}"/>
    <cellStyle name="Normal 24 3 2 2 2 2 3" xfId="25583" xr:uid="{00000000-0005-0000-0000-0000CF350000}"/>
    <cellStyle name="Normal 24 3 2 2 2 3" xfId="13187" xr:uid="{00000000-0005-0000-0000-0000D0350000}"/>
    <cellStyle name="Normal 24 3 2 2 2 3 2" xfId="29730" xr:uid="{00000000-0005-0000-0000-0000D1350000}"/>
    <cellStyle name="Normal 24 3 2 2 2 4" xfId="21687" xr:uid="{00000000-0005-0000-0000-0000D2350000}"/>
    <cellStyle name="Normal 24 3 2 2 3" xfId="7879" xr:uid="{00000000-0005-0000-0000-0000D3350000}"/>
    <cellStyle name="Normal 24 3 2 2 3 2" xfId="17057" xr:uid="{00000000-0005-0000-0000-0000D4350000}"/>
    <cellStyle name="Normal 24 3 2 2 3 2 2" xfId="33631" xr:uid="{00000000-0005-0000-0000-0000D5350000}"/>
    <cellStyle name="Normal 24 3 2 2 3 3" xfId="25584" xr:uid="{00000000-0005-0000-0000-0000D6350000}"/>
    <cellStyle name="Normal 24 3 2 2 4" xfId="13186" xr:uid="{00000000-0005-0000-0000-0000D7350000}"/>
    <cellStyle name="Normal 24 3 2 2 4 2" xfId="29729" xr:uid="{00000000-0005-0000-0000-0000D8350000}"/>
    <cellStyle name="Normal 24 3 2 2 5" xfId="21686" xr:uid="{00000000-0005-0000-0000-0000D9350000}"/>
    <cellStyle name="Normal 24 3 2 3" xfId="3777" xr:uid="{00000000-0005-0000-0000-0000DA350000}"/>
    <cellStyle name="Normal 24 3 2 3 2" xfId="7880" xr:uid="{00000000-0005-0000-0000-0000DB350000}"/>
    <cellStyle name="Normal 24 3 2 3 2 2" xfId="17058" xr:uid="{00000000-0005-0000-0000-0000DC350000}"/>
    <cellStyle name="Normal 24 3 2 3 2 2 2" xfId="33632" xr:uid="{00000000-0005-0000-0000-0000DD350000}"/>
    <cellStyle name="Normal 24 3 2 3 2 3" xfId="25585" xr:uid="{00000000-0005-0000-0000-0000DE350000}"/>
    <cellStyle name="Normal 24 3 2 3 3" xfId="13188" xr:uid="{00000000-0005-0000-0000-0000DF350000}"/>
    <cellStyle name="Normal 24 3 2 3 3 2" xfId="29731" xr:uid="{00000000-0005-0000-0000-0000E0350000}"/>
    <cellStyle name="Normal 24 3 2 3 4" xfId="21688" xr:uid="{00000000-0005-0000-0000-0000E1350000}"/>
    <cellStyle name="Normal 24 3 2 4" xfId="7881" xr:uid="{00000000-0005-0000-0000-0000E2350000}"/>
    <cellStyle name="Normal 24 3 2 4 2" xfId="17059" xr:uid="{00000000-0005-0000-0000-0000E3350000}"/>
    <cellStyle name="Normal 24 3 2 4 2 2" xfId="33633" xr:uid="{00000000-0005-0000-0000-0000E4350000}"/>
    <cellStyle name="Normal 24 3 2 4 3" xfId="25586" xr:uid="{00000000-0005-0000-0000-0000E5350000}"/>
    <cellStyle name="Normal 24 3 2 5" xfId="13185" xr:uid="{00000000-0005-0000-0000-0000E6350000}"/>
    <cellStyle name="Normal 24 3 2 5 2" xfId="29728" xr:uid="{00000000-0005-0000-0000-0000E7350000}"/>
    <cellStyle name="Normal 24 3 2 6" xfId="21685" xr:uid="{00000000-0005-0000-0000-0000E8350000}"/>
    <cellStyle name="Normal 24 3 3" xfId="3778" xr:uid="{00000000-0005-0000-0000-0000E9350000}"/>
    <cellStyle name="Normal 24 3 3 2" xfId="3779" xr:uid="{00000000-0005-0000-0000-0000EA350000}"/>
    <cellStyle name="Normal 24 3 3 2 2" xfId="7882" xr:uid="{00000000-0005-0000-0000-0000EB350000}"/>
    <cellStyle name="Normal 24 3 3 2 2 2" xfId="17060" xr:uid="{00000000-0005-0000-0000-0000EC350000}"/>
    <cellStyle name="Normal 24 3 3 2 2 2 2" xfId="33634" xr:uid="{00000000-0005-0000-0000-0000ED350000}"/>
    <cellStyle name="Normal 24 3 3 2 2 3" xfId="25587" xr:uid="{00000000-0005-0000-0000-0000EE350000}"/>
    <cellStyle name="Normal 24 3 3 2 3" xfId="13190" xr:uid="{00000000-0005-0000-0000-0000EF350000}"/>
    <cellStyle name="Normal 24 3 3 2 3 2" xfId="29733" xr:uid="{00000000-0005-0000-0000-0000F0350000}"/>
    <cellStyle name="Normal 24 3 3 2 4" xfId="21690" xr:uid="{00000000-0005-0000-0000-0000F1350000}"/>
    <cellStyle name="Normal 24 3 3 3" xfId="7883" xr:uid="{00000000-0005-0000-0000-0000F2350000}"/>
    <cellStyle name="Normal 24 3 3 3 2" xfId="17061" xr:uid="{00000000-0005-0000-0000-0000F3350000}"/>
    <cellStyle name="Normal 24 3 3 3 2 2" xfId="33635" xr:uid="{00000000-0005-0000-0000-0000F4350000}"/>
    <cellStyle name="Normal 24 3 3 3 3" xfId="25588" xr:uid="{00000000-0005-0000-0000-0000F5350000}"/>
    <cellStyle name="Normal 24 3 3 4" xfId="13189" xr:uid="{00000000-0005-0000-0000-0000F6350000}"/>
    <cellStyle name="Normal 24 3 3 4 2" xfId="29732" xr:uid="{00000000-0005-0000-0000-0000F7350000}"/>
    <cellStyle name="Normal 24 3 3 5" xfId="21689" xr:uid="{00000000-0005-0000-0000-0000F8350000}"/>
    <cellStyle name="Normal 24 3 4" xfId="3780" xr:uid="{00000000-0005-0000-0000-0000F9350000}"/>
    <cellStyle name="Normal 24 3 4 2" xfId="7884" xr:uid="{00000000-0005-0000-0000-0000FA350000}"/>
    <cellStyle name="Normal 24 3 4 2 2" xfId="17062" xr:uid="{00000000-0005-0000-0000-0000FB350000}"/>
    <cellStyle name="Normal 24 3 4 2 2 2" xfId="33636" xr:uid="{00000000-0005-0000-0000-0000FC350000}"/>
    <cellStyle name="Normal 24 3 4 2 3" xfId="25589" xr:uid="{00000000-0005-0000-0000-0000FD350000}"/>
    <cellStyle name="Normal 24 3 4 3" xfId="13191" xr:uid="{00000000-0005-0000-0000-0000FE350000}"/>
    <cellStyle name="Normal 24 3 4 3 2" xfId="29734" xr:uid="{00000000-0005-0000-0000-0000FF350000}"/>
    <cellStyle name="Normal 24 3 4 4" xfId="21691" xr:uid="{00000000-0005-0000-0000-000000360000}"/>
    <cellStyle name="Normal 24 3 5" xfId="3781" xr:uid="{00000000-0005-0000-0000-000001360000}"/>
    <cellStyle name="Normal 24 3 5 2" xfId="13192" xr:uid="{00000000-0005-0000-0000-000002360000}"/>
    <cellStyle name="Normal 24 3 5 2 2" xfId="29735" xr:uid="{00000000-0005-0000-0000-000003360000}"/>
    <cellStyle name="Normal 24 3 5 3" xfId="21692" xr:uid="{00000000-0005-0000-0000-000004360000}"/>
    <cellStyle name="Normal 24 4" xfId="3782" xr:uid="{00000000-0005-0000-0000-000005360000}"/>
    <cellStyle name="Normal 24 4 2" xfId="3783" xr:uid="{00000000-0005-0000-0000-000006360000}"/>
    <cellStyle name="Normal 24 4 2 2" xfId="3784" xr:uid="{00000000-0005-0000-0000-000007360000}"/>
    <cellStyle name="Normal 24 4 2 2 2" xfId="3785" xr:uid="{00000000-0005-0000-0000-000008360000}"/>
    <cellStyle name="Normal 24 4 2 2 2 2" xfId="7885" xr:uid="{00000000-0005-0000-0000-000009360000}"/>
    <cellStyle name="Normal 24 4 2 2 2 2 2" xfId="17063" xr:uid="{00000000-0005-0000-0000-00000A360000}"/>
    <cellStyle name="Normal 24 4 2 2 2 2 2 2" xfId="33637" xr:uid="{00000000-0005-0000-0000-00000B360000}"/>
    <cellStyle name="Normal 24 4 2 2 2 2 3" xfId="25590" xr:uid="{00000000-0005-0000-0000-00000C360000}"/>
    <cellStyle name="Normal 24 4 2 2 2 3" xfId="13196" xr:uid="{00000000-0005-0000-0000-00000D360000}"/>
    <cellStyle name="Normal 24 4 2 2 2 3 2" xfId="29739" xr:uid="{00000000-0005-0000-0000-00000E360000}"/>
    <cellStyle name="Normal 24 4 2 2 2 4" xfId="21696" xr:uid="{00000000-0005-0000-0000-00000F360000}"/>
    <cellStyle name="Normal 24 4 2 2 3" xfId="7886" xr:uid="{00000000-0005-0000-0000-000010360000}"/>
    <cellStyle name="Normal 24 4 2 2 3 2" xfId="17064" xr:uid="{00000000-0005-0000-0000-000011360000}"/>
    <cellStyle name="Normal 24 4 2 2 3 2 2" xfId="33638" xr:uid="{00000000-0005-0000-0000-000012360000}"/>
    <cellStyle name="Normal 24 4 2 2 3 3" xfId="25591" xr:uid="{00000000-0005-0000-0000-000013360000}"/>
    <cellStyle name="Normal 24 4 2 2 4" xfId="13195" xr:uid="{00000000-0005-0000-0000-000014360000}"/>
    <cellStyle name="Normal 24 4 2 2 4 2" xfId="29738" xr:uid="{00000000-0005-0000-0000-000015360000}"/>
    <cellStyle name="Normal 24 4 2 2 5" xfId="21695" xr:uid="{00000000-0005-0000-0000-000016360000}"/>
    <cellStyle name="Normal 24 4 2 3" xfId="3786" xr:uid="{00000000-0005-0000-0000-000017360000}"/>
    <cellStyle name="Normal 24 4 2 3 2" xfId="7887" xr:uid="{00000000-0005-0000-0000-000018360000}"/>
    <cellStyle name="Normal 24 4 2 3 2 2" xfId="17065" xr:uid="{00000000-0005-0000-0000-000019360000}"/>
    <cellStyle name="Normal 24 4 2 3 2 2 2" xfId="33639" xr:uid="{00000000-0005-0000-0000-00001A360000}"/>
    <cellStyle name="Normal 24 4 2 3 2 3" xfId="25592" xr:uid="{00000000-0005-0000-0000-00001B360000}"/>
    <cellStyle name="Normal 24 4 2 3 3" xfId="13197" xr:uid="{00000000-0005-0000-0000-00001C360000}"/>
    <cellStyle name="Normal 24 4 2 3 3 2" xfId="29740" xr:uid="{00000000-0005-0000-0000-00001D360000}"/>
    <cellStyle name="Normal 24 4 2 3 4" xfId="21697" xr:uid="{00000000-0005-0000-0000-00001E360000}"/>
    <cellStyle name="Normal 24 4 2 4" xfId="7888" xr:uid="{00000000-0005-0000-0000-00001F360000}"/>
    <cellStyle name="Normal 24 4 2 4 2" xfId="17066" xr:uid="{00000000-0005-0000-0000-000020360000}"/>
    <cellStyle name="Normal 24 4 2 4 2 2" xfId="33640" xr:uid="{00000000-0005-0000-0000-000021360000}"/>
    <cellStyle name="Normal 24 4 2 4 3" xfId="25593" xr:uid="{00000000-0005-0000-0000-000022360000}"/>
    <cellStyle name="Normal 24 4 2 5" xfId="13194" xr:uid="{00000000-0005-0000-0000-000023360000}"/>
    <cellStyle name="Normal 24 4 2 5 2" xfId="29737" xr:uid="{00000000-0005-0000-0000-000024360000}"/>
    <cellStyle name="Normal 24 4 2 6" xfId="21694" xr:uid="{00000000-0005-0000-0000-000025360000}"/>
    <cellStyle name="Normal 24 4 3" xfId="3787" xr:uid="{00000000-0005-0000-0000-000026360000}"/>
    <cellStyle name="Normal 24 4 3 2" xfId="3788" xr:uid="{00000000-0005-0000-0000-000027360000}"/>
    <cellStyle name="Normal 24 4 3 2 2" xfId="7889" xr:uid="{00000000-0005-0000-0000-000028360000}"/>
    <cellStyle name="Normal 24 4 3 2 2 2" xfId="17067" xr:uid="{00000000-0005-0000-0000-000029360000}"/>
    <cellStyle name="Normal 24 4 3 2 2 2 2" xfId="33641" xr:uid="{00000000-0005-0000-0000-00002A360000}"/>
    <cellStyle name="Normal 24 4 3 2 2 3" xfId="25594" xr:uid="{00000000-0005-0000-0000-00002B360000}"/>
    <cellStyle name="Normal 24 4 3 2 3" xfId="13199" xr:uid="{00000000-0005-0000-0000-00002C360000}"/>
    <cellStyle name="Normal 24 4 3 2 3 2" xfId="29742" xr:uid="{00000000-0005-0000-0000-00002D360000}"/>
    <cellStyle name="Normal 24 4 3 2 4" xfId="21699" xr:uid="{00000000-0005-0000-0000-00002E360000}"/>
    <cellStyle name="Normal 24 4 3 3" xfId="7890" xr:uid="{00000000-0005-0000-0000-00002F360000}"/>
    <cellStyle name="Normal 24 4 3 3 2" xfId="17068" xr:uid="{00000000-0005-0000-0000-000030360000}"/>
    <cellStyle name="Normal 24 4 3 3 2 2" xfId="33642" xr:uid="{00000000-0005-0000-0000-000031360000}"/>
    <cellStyle name="Normal 24 4 3 3 3" xfId="25595" xr:uid="{00000000-0005-0000-0000-000032360000}"/>
    <cellStyle name="Normal 24 4 3 4" xfId="13198" xr:uid="{00000000-0005-0000-0000-000033360000}"/>
    <cellStyle name="Normal 24 4 3 4 2" xfId="29741" xr:uid="{00000000-0005-0000-0000-000034360000}"/>
    <cellStyle name="Normal 24 4 3 5" xfId="21698" xr:uid="{00000000-0005-0000-0000-000035360000}"/>
    <cellStyle name="Normal 24 4 4" xfId="3789" xr:uid="{00000000-0005-0000-0000-000036360000}"/>
    <cellStyle name="Normal 24 4 4 2" xfId="7891" xr:uid="{00000000-0005-0000-0000-000037360000}"/>
    <cellStyle name="Normal 24 4 4 2 2" xfId="17069" xr:uid="{00000000-0005-0000-0000-000038360000}"/>
    <cellStyle name="Normal 24 4 4 2 2 2" xfId="33643" xr:uid="{00000000-0005-0000-0000-000039360000}"/>
    <cellStyle name="Normal 24 4 4 2 3" xfId="25596" xr:uid="{00000000-0005-0000-0000-00003A360000}"/>
    <cellStyle name="Normal 24 4 4 3" xfId="13200" xr:uid="{00000000-0005-0000-0000-00003B360000}"/>
    <cellStyle name="Normal 24 4 4 3 2" xfId="29743" xr:uid="{00000000-0005-0000-0000-00003C360000}"/>
    <cellStyle name="Normal 24 4 4 4" xfId="21700" xr:uid="{00000000-0005-0000-0000-00003D360000}"/>
    <cellStyle name="Normal 24 4 5" xfId="7892" xr:uid="{00000000-0005-0000-0000-00003E360000}"/>
    <cellStyle name="Normal 24 4 5 2" xfId="17070" xr:uid="{00000000-0005-0000-0000-00003F360000}"/>
    <cellStyle name="Normal 24 4 5 2 2" xfId="33644" xr:uid="{00000000-0005-0000-0000-000040360000}"/>
    <cellStyle name="Normal 24 4 5 3" xfId="25597" xr:uid="{00000000-0005-0000-0000-000041360000}"/>
    <cellStyle name="Normal 24 4 6" xfId="13193" xr:uid="{00000000-0005-0000-0000-000042360000}"/>
    <cellStyle name="Normal 24 4 6 2" xfId="29736" xr:uid="{00000000-0005-0000-0000-000043360000}"/>
    <cellStyle name="Normal 24 4 7" xfId="21693" xr:uid="{00000000-0005-0000-0000-000044360000}"/>
    <cellStyle name="Normal 24 5" xfId="3790" xr:uid="{00000000-0005-0000-0000-000045360000}"/>
    <cellStyle name="Normal 24 5 2" xfId="3791" xr:uid="{00000000-0005-0000-0000-000046360000}"/>
    <cellStyle name="Normal 24 5 2 2" xfId="3792" xr:uid="{00000000-0005-0000-0000-000047360000}"/>
    <cellStyle name="Normal 24 5 2 2 2" xfId="3793" xr:uid="{00000000-0005-0000-0000-000048360000}"/>
    <cellStyle name="Normal 24 5 2 2 2 2" xfId="7893" xr:uid="{00000000-0005-0000-0000-000049360000}"/>
    <cellStyle name="Normal 24 5 2 2 2 2 2" xfId="17071" xr:uid="{00000000-0005-0000-0000-00004A360000}"/>
    <cellStyle name="Normal 24 5 2 2 2 2 2 2" xfId="33645" xr:uid="{00000000-0005-0000-0000-00004B360000}"/>
    <cellStyle name="Normal 24 5 2 2 2 2 3" xfId="25598" xr:uid="{00000000-0005-0000-0000-00004C360000}"/>
    <cellStyle name="Normal 24 5 2 2 2 3" xfId="13204" xr:uid="{00000000-0005-0000-0000-00004D360000}"/>
    <cellStyle name="Normal 24 5 2 2 2 3 2" xfId="29747" xr:uid="{00000000-0005-0000-0000-00004E360000}"/>
    <cellStyle name="Normal 24 5 2 2 2 4" xfId="21704" xr:uid="{00000000-0005-0000-0000-00004F360000}"/>
    <cellStyle name="Normal 24 5 2 2 3" xfId="7894" xr:uid="{00000000-0005-0000-0000-000050360000}"/>
    <cellStyle name="Normal 24 5 2 2 3 2" xfId="17072" xr:uid="{00000000-0005-0000-0000-000051360000}"/>
    <cellStyle name="Normal 24 5 2 2 3 2 2" xfId="33646" xr:uid="{00000000-0005-0000-0000-000052360000}"/>
    <cellStyle name="Normal 24 5 2 2 3 3" xfId="25599" xr:uid="{00000000-0005-0000-0000-000053360000}"/>
    <cellStyle name="Normal 24 5 2 2 4" xfId="13203" xr:uid="{00000000-0005-0000-0000-000054360000}"/>
    <cellStyle name="Normal 24 5 2 2 4 2" xfId="29746" xr:uid="{00000000-0005-0000-0000-000055360000}"/>
    <cellStyle name="Normal 24 5 2 2 5" xfId="21703" xr:uid="{00000000-0005-0000-0000-000056360000}"/>
    <cellStyle name="Normal 24 5 2 3" xfId="3794" xr:uid="{00000000-0005-0000-0000-000057360000}"/>
    <cellStyle name="Normal 24 5 2 3 2" xfId="7895" xr:uid="{00000000-0005-0000-0000-000058360000}"/>
    <cellStyle name="Normal 24 5 2 3 2 2" xfId="17073" xr:uid="{00000000-0005-0000-0000-000059360000}"/>
    <cellStyle name="Normal 24 5 2 3 2 2 2" xfId="33647" xr:uid="{00000000-0005-0000-0000-00005A360000}"/>
    <cellStyle name="Normal 24 5 2 3 2 3" xfId="25600" xr:uid="{00000000-0005-0000-0000-00005B360000}"/>
    <cellStyle name="Normal 24 5 2 3 3" xfId="13205" xr:uid="{00000000-0005-0000-0000-00005C360000}"/>
    <cellStyle name="Normal 24 5 2 3 3 2" xfId="29748" xr:uid="{00000000-0005-0000-0000-00005D360000}"/>
    <cellStyle name="Normal 24 5 2 3 4" xfId="21705" xr:uid="{00000000-0005-0000-0000-00005E360000}"/>
    <cellStyle name="Normal 24 5 2 4" xfId="7896" xr:uid="{00000000-0005-0000-0000-00005F360000}"/>
    <cellStyle name="Normal 24 5 2 4 2" xfId="17074" xr:uid="{00000000-0005-0000-0000-000060360000}"/>
    <cellStyle name="Normal 24 5 2 4 2 2" xfId="33648" xr:uid="{00000000-0005-0000-0000-000061360000}"/>
    <cellStyle name="Normal 24 5 2 4 3" xfId="25601" xr:uid="{00000000-0005-0000-0000-000062360000}"/>
    <cellStyle name="Normal 24 5 2 5" xfId="13202" xr:uid="{00000000-0005-0000-0000-000063360000}"/>
    <cellStyle name="Normal 24 5 2 5 2" xfId="29745" xr:uid="{00000000-0005-0000-0000-000064360000}"/>
    <cellStyle name="Normal 24 5 2 6" xfId="21702" xr:uid="{00000000-0005-0000-0000-000065360000}"/>
    <cellStyle name="Normal 24 5 3" xfId="3795" xr:uid="{00000000-0005-0000-0000-000066360000}"/>
    <cellStyle name="Normal 24 5 3 2" xfId="3796" xr:uid="{00000000-0005-0000-0000-000067360000}"/>
    <cellStyle name="Normal 24 5 3 2 2" xfId="7897" xr:uid="{00000000-0005-0000-0000-000068360000}"/>
    <cellStyle name="Normal 24 5 3 2 2 2" xfId="17075" xr:uid="{00000000-0005-0000-0000-000069360000}"/>
    <cellStyle name="Normal 24 5 3 2 2 2 2" xfId="33649" xr:uid="{00000000-0005-0000-0000-00006A360000}"/>
    <cellStyle name="Normal 24 5 3 2 2 3" xfId="25602" xr:uid="{00000000-0005-0000-0000-00006B360000}"/>
    <cellStyle name="Normal 24 5 3 2 3" xfId="13207" xr:uid="{00000000-0005-0000-0000-00006C360000}"/>
    <cellStyle name="Normal 24 5 3 2 3 2" xfId="29750" xr:uid="{00000000-0005-0000-0000-00006D360000}"/>
    <cellStyle name="Normal 24 5 3 2 4" xfId="21707" xr:uid="{00000000-0005-0000-0000-00006E360000}"/>
    <cellStyle name="Normal 24 5 3 3" xfId="7898" xr:uid="{00000000-0005-0000-0000-00006F360000}"/>
    <cellStyle name="Normal 24 5 3 3 2" xfId="17076" xr:uid="{00000000-0005-0000-0000-000070360000}"/>
    <cellStyle name="Normal 24 5 3 3 2 2" xfId="33650" xr:uid="{00000000-0005-0000-0000-000071360000}"/>
    <cellStyle name="Normal 24 5 3 3 3" xfId="25603" xr:uid="{00000000-0005-0000-0000-000072360000}"/>
    <cellStyle name="Normal 24 5 3 4" xfId="13206" xr:uid="{00000000-0005-0000-0000-000073360000}"/>
    <cellStyle name="Normal 24 5 3 4 2" xfId="29749" xr:uid="{00000000-0005-0000-0000-000074360000}"/>
    <cellStyle name="Normal 24 5 3 5" xfId="21706" xr:uid="{00000000-0005-0000-0000-000075360000}"/>
    <cellStyle name="Normal 24 5 4" xfId="3797" xr:uid="{00000000-0005-0000-0000-000076360000}"/>
    <cellStyle name="Normal 24 5 4 2" xfId="7899" xr:uid="{00000000-0005-0000-0000-000077360000}"/>
    <cellStyle name="Normal 24 5 4 2 2" xfId="17077" xr:uid="{00000000-0005-0000-0000-000078360000}"/>
    <cellStyle name="Normal 24 5 4 2 2 2" xfId="33651" xr:uid="{00000000-0005-0000-0000-000079360000}"/>
    <cellStyle name="Normal 24 5 4 2 3" xfId="25604" xr:uid="{00000000-0005-0000-0000-00007A360000}"/>
    <cellStyle name="Normal 24 5 4 3" xfId="13208" xr:uid="{00000000-0005-0000-0000-00007B360000}"/>
    <cellStyle name="Normal 24 5 4 3 2" xfId="29751" xr:uid="{00000000-0005-0000-0000-00007C360000}"/>
    <cellStyle name="Normal 24 5 4 4" xfId="21708" xr:uid="{00000000-0005-0000-0000-00007D360000}"/>
    <cellStyle name="Normal 24 5 5" xfId="7900" xr:uid="{00000000-0005-0000-0000-00007E360000}"/>
    <cellStyle name="Normal 24 5 5 2" xfId="17078" xr:uid="{00000000-0005-0000-0000-00007F360000}"/>
    <cellStyle name="Normal 24 5 5 2 2" xfId="33652" xr:uid="{00000000-0005-0000-0000-000080360000}"/>
    <cellStyle name="Normal 24 5 5 3" xfId="25605" xr:uid="{00000000-0005-0000-0000-000081360000}"/>
    <cellStyle name="Normal 24 5 6" xfId="13201" xr:uid="{00000000-0005-0000-0000-000082360000}"/>
    <cellStyle name="Normal 24 5 6 2" xfId="29744" xr:uid="{00000000-0005-0000-0000-000083360000}"/>
    <cellStyle name="Normal 24 5 7" xfId="21701" xr:uid="{00000000-0005-0000-0000-000084360000}"/>
    <cellStyle name="Normal 24 6" xfId="3798" xr:uid="{00000000-0005-0000-0000-000085360000}"/>
    <cellStyle name="Normal 24 6 2" xfId="3799" xr:uid="{00000000-0005-0000-0000-000086360000}"/>
    <cellStyle name="Normal 24 6 2 2" xfId="3800" xr:uid="{00000000-0005-0000-0000-000087360000}"/>
    <cellStyle name="Normal 24 6 2 2 2" xfId="7901" xr:uid="{00000000-0005-0000-0000-000088360000}"/>
    <cellStyle name="Normal 24 6 2 2 2 2" xfId="17079" xr:uid="{00000000-0005-0000-0000-000089360000}"/>
    <cellStyle name="Normal 24 6 2 2 2 2 2" xfId="33653" xr:uid="{00000000-0005-0000-0000-00008A360000}"/>
    <cellStyle name="Normal 24 6 2 2 2 3" xfId="25606" xr:uid="{00000000-0005-0000-0000-00008B360000}"/>
    <cellStyle name="Normal 24 6 2 2 3" xfId="13211" xr:uid="{00000000-0005-0000-0000-00008C360000}"/>
    <cellStyle name="Normal 24 6 2 2 3 2" xfId="29754" xr:uid="{00000000-0005-0000-0000-00008D360000}"/>
    <cellStyle name="Normal 24 6 2 2 4" xfId="21711" xr:uid="{00000000-0005-0000-0000-00008E360000}"/>
    <cellStyle name="Normal 24 6 2 3" xfId="7902" xr:uid="{00000000-0005-0000-0000-00008F360000}"/>
    <cellStyle name="Normal 24 6 2 3 2" xfId="17080" xr:uid="{00000000-0005-0000-0000-000090360000}"/>
    <cellStyle name="Normal 24 6 2 3 2 2" xfId="33654" xr:uid="{00000000-0005-0000-0000-000091360000}"/>
    <cellStyle name="Normal 24 6 2 3 3" xfId="25607" xr:uid="{00000000-0005-0000-0000-000092360000}"/>
    <cellStyle name="Normal 24 6 2 4" xfId="13210" xr:uid="{00000000-0005-0000-0000-000093360000}"/>
    <cellStyle name="Normal 24 6 2 4 2" xfId="29753" xr:uid="{00000000-0005-0000-0000-000094360000}"/>
    <cellStyle name="Normal 24 6 2 5" xfId="21710" xr:uid="{00000000-0005-0000-0000-000095360000}"/>
    <cellStyle name="Normal 24 6 3" xfId="3801" xr:uid="{00000000-0005-0000-0000-000096360000}"/>
    <cellStyle name="Normal 24 6 3 2" xfId="7903" xr:uid="{00000000-0005-0000-0000-000097360000}"/>
    <cellStyle name="Normal 24 6 3 2 2" xfId="17081" xr:uid="{00000000-0005-0000-0000-000098360000}"/>
    <cellStyle name="Normal 24 6 3 2 2 2" xfId="33655" xr:uid="{00000000-0005-0000-0000-000099360000}"/>
    <cellStyle name="Normal 24 6 3 2 3" xfId="25608" xr:uid="{00000000-0005-0000-0000-00009A360000}"/>
    <cellStyle name="Normal 24 6 3 3" xfId="13212" xr:uid="{00000000-0005-0000-0000-00009B360000}"/>
    <cellStyle name="Normal 24 6 3 3 2" xfId="29755" xr:uid="{00000000-0005-0000-0000-00009C360000}"/>
    <cellStyle name="Normal 24 6 3 4" xfId="21712" xr:uid="{00000000-0005-0000-0000-00009D360000}"/>
    <cellStyle name="Normal 24 6 4" xfId="7904" xr:uid="{00000000-0005-0000-0000-00009E360000}"/>
    <cellStyle name="Normal 24 6 4 2" xfId="17082" xr:uid="{00000000-0005-0000-0000-00009F360000}"/>
    <cellStyle name="Normal 24 6 4 2 2" xfId="33656" xr:uid="{00000000-0005-0000-0000-0000A0360000}"/>
    <cellStyle name="Normal 24 6 4 3" xfId="25609" xr:uid="{00000000-0005-0000-0000-0000A1360000}"/>
    <cellStyle name="Normal 24 6 5" xfId="13209" xr:uid="{00000000-0005-0000-0000-0000A2360000}"/>
    <cellStyle name="Normal 24 6 5 2" xfId="29752" xr:uid="{00000000-0005-0000-0000-0000A3360000}"/>
    <cellStyle name="Normal 24 6 6" xfId="21709" xr:uid="{00000000-0005-0000-0000-0000A4360000}"/>
    <cellStyle name="Normal 24 7" xfId="3802" xr:uid="{00000000-0005-0000-0000-0000A5360000}"/>
    <cellStyle name="Normal 24 7 2" xfId="3803" xr:uid="{00000000-0005-0000-0000-0000A6360000}"/>
    <cellStyle name="Normal 24 7 2 2" xfId="7905" xr:uid="{00000000-0005-0000-0000-0000A7360000}"/>
    <cellStyle name="Normal 24 7 2 2 2" xfId="17083" xr:uid="{00000000-0005-0000-0000-0000A8360000}"/>
    <cellStyle name="Normal 24 7 2 2 2 2" xfId="33657" xr:uid="{00000000-0005-0000-0000-0000A9360000}"/>
    <cellStyle name="Normal 24 7 2 2 3" xfId="25610" xr:uid="{00000000-0005-0000-0000-0000AA360000}"/>
    <cellStyle name="Normal 24 7 2 3" xfId="13214" xr:uid="{00000000-0005-0000-0000-0000AB360000}"/>
    <cellStyle name="Normal 24 7 2 3 2" xfId="29757" xr:uid="{00000000-0005-0000-0000-0000AC360000}"/>
    <cellStyle name="Normal 24 7 2 4" xfId="21714" xr:uid="{00000000-0005-0000-0000-0000AD360000}"/>
    <cellStyle name="Normal 24 7 3" xfId="7906" xr:uid="{00000000-0005-0000-0000-0000AE360000}"/>
    <cellStyle name="Normal 24 7 3 2" xfId="17084" xr:uid="{00000000-0005-0000-0000-0000AF360000}"/>
    <cellStyle name="Normal 24 7 3 2 2" xfId="33658" xr:uid="{00000000-0005-0000-0000-0000B0360000}"/>
    <cellStyle name="Normal 24 7 3 3" xfId="25611" xr:uid="{00000000-0005-0000-0000-0000B1360000}"/>
    <cellStyle name="Normal 24 7 4" xfId="13213" xr:uid="{00000000-0005-0000-0000-0000B2360000}"/>
    <cellStyle name="Normal 24 7 4 2" xfId="29756" xr:uid="{00000000-0005-0000-0000-0000B3360000}"/>
    <cellStyle name="Normal 24 7 5" xfId="21713" xr:uid="{00000000-0005-0000-0000-0000B4360000}"/>
    <cellStyle name="Normal 24 8" xfId="3804" xr:uid="{00000000-0005-0000-0000-0000B5360000}"/>
    <cellStyle name="Normal 24 8 2" xfId="7907" xr:uid="{00000000-0005-0000-0000-0000B6360000}"/>
    <cellStyle name="Normal 24 8 2 2" xfId="17085" xr:uid="{00000000-0005-0000-0000-0000B7360000}"/>
    <cellStyle name="Normal 24 8 2 2 2" xfId="33659" xr:uid="{00000000-0005-0000-0000-0000B8360000}"/>
    <cellStyle name="Normal 24 8 2 3" xfId="25612" xr:uid="{00000000-0005-0000-0000-0000B9360000}"/>
    <cellStyle name="Normal 24 8 3" xfId="13215" xr:uid="{00000000-0005-0000-0000-0000BA360000}"/>
    <cellStyle name="Normal 24 8 3 2" xfId="29758" xr:uid="{00000000-0005-0000-0000-0000BB360000}"/>
    <cellStyle name="Normal 24 8 4" xfId="21715" xr:uid="{00000000-0005-0000-0000-0000BC360000}"/>
    <cellStyle name="Normal 24 9" xfId="7908" xr:uid="{00000000-0005-0000-0000-0000BD360000}"/>
    <cellStyle name="Normal 24 9 2" xfId="17086" xr:uid="{00000000-0005-0000-0000-0000BE360000}"/>
    <cellStyle name="Normal 24 9 2 2" xfId="33660" xr:uid="{00000000-0005-0000-0000-0000BF360000}"/>
    <cellStyle name="Normal 24 9 3" xfId="25613" xr:uid="{00000000-0005-0000-0000-0000C0360000}"/>
    <cellStyle name="Normal 240" xfId="10737" xr:uid="{00000000-0005-0000-0000-0000C1360000}"/>
    <cellStyle name="Normal 241" xfId="10740" xr:uid="{00000000-0005-0000-0000-0000C2360000}"/>
    <cellStyle name="Normal 242" xfId="10743" xr:uid="{00000000-0005-0000-0000-0000C3360000}"/>
    <cellStyle name="Normal 243" xfId="10746" xr:uid="{00000000-0005-0000-0000-0000C4360000}"/>
    <cellStyle name="Normal 244" xfId="10749" xr:uid="{00000000-0005-0000-0000-0000C5360000}"/>
    <cellStyle name="Normal 245" xfId="10752" xr:uid="{00000000-0005-0000-0000-0000C6360000}"/>
    <cellStyle name="Normal 246" xfId="10755" xr:uid="{00000000-0005-0000-0000-0000C7360000}"/>
    <cellStyle name="Normal 247" xfId="10758" xr:uid="{00000000-0005-0000-0000-0000C8360000}"/>
    <cellStyle name="Normal 248" xfId="10761" xr:uid="{00000000-0005-0000-0000-0000C9360000}"/>
    <cellStyle name="Normal 249" xfId="10764" xr:uid="{00000000-0005-0000-0000-0000CA360000}"/>
    <cellStyle name="Normal 25" xfId="3805" xr:uid="{00000000-0005-0000-0000-0000CB360000}"/>
    <cellStyle name="Normal 25 10" xfId="13216" xr:uid="{00000000-0005-0000-0000-0000CC360000}"/>
    <cellStyle name="Normal 25 10 2" xfId="29759" xr:uid="{00000000-0005-0000-0000-0000CD360000}"/>
    <cellStyle name="Normal 25 11" xfId="21716" xr:uid="{00000000-0005-0000-0000-0000CE360000}"/>
    <cellStyle name="Normal 25 2" xfId="3806" xr:uid="{00000000-0005-0000-0000-0000CF360000}"/>
    <cellStyle name="Normal 25 2 2" xfId="3807" xr:uid="{00000000-0005-0000-0000-0000D0360000}"/>
    <cellStyle name="Normal 25 2 3" xfId="13217" xr:uid="{00000000-0005-0000-0000-0000D1360000}"/>
    <cellStyle name="Normal 25 2 3 2" xfId="29760" xr:uid="{00000000-0005-0000-0000-0000D2360000}"/>
    <cellStyle name="Normal 25 2 4" xfId="21717" xr:uid="{00000000-0005-0000-0000-0000D3360000}"/>
    <cellStyle name="Normal 25 3" xfId="3808" xr:uid="{00000000-0005-0000-0000-0000D4360000}"/>
    <cellStyle name="Normal 25 3 2" xfId="3809" xr:uid="{00000000-0005-0000-0000-0000D5360000}"/>
    <cellStyle name="Normal 25 3 2 2" xfId="3810" xr:uid="{00000000-0005-0000-0000-0000D6360000}"/>
    <cellStyle name="Normal 25 3 2 2 2" xfId="3811" xr:uid="{00000000-0005-0000-0000-0000D7360000}"/>
    <cellStyle name="Normal 25 3 2 2 2 2" xfId="7909" xr:uid="{00000000-0005-0000-0000-0000D8360000}"/>
    <cellStyle name="Normal 25 3 2 2 2 2 2" xfId="17087" xr:uid="{00000000-0005-0000-0000-0000D9360000}"/>
    <cellStyle name="Normal 25 3 2 2 2 2 2 2" xfId="33661" xr:uid="{00000000-0005-0000-0000-0000DA360000}"/>
    <cellStyle name="Normal 25 3 2 2 2 2 3" xfId="25614" xr:uid="{00000000-0005-0000-0000-0000DB360000}"/>
    <cellStyle name="Normal 25 3 2 2 2 3" xfId="13220" xr:uid="{00000000-0005-0000-0000-0000DC360000}"/>
    <cellStyle name="Normal 25 3 2 2 2 3 2" xfId="29763" xr:uid="{00000000-0005-0000-0000-0000DD360000}"/>
    <cellStyle name="Normal 25 3 2 2 2 4" xfId="21720" xr:uid="{00000000-0005-0000-0000-0000DE360000}"/>
    <cellStyle name="Normal 25 3 2 2 3" xfId="7910" xr:uid="{00000000-0005-0000-0000-0000DF360000}"/>
    <cellStyle name="Normal 25 3 2 2 3 2" xfId="17088" xr:uid="{00000000-0005-0000-0000-0000E0360000}"/>
    <cellStyle name="Normal 25 3 2 2 3 2 2" xfId="33662" xr:uid="{00000000-0005-0000-0000-0000E1360000}"/>
    <cellStyle name="Normal 25 3 2 2 3 3" xfId="25615" xr:uid="{00000000-0005-0000-0000-0000E2360000}"/>
    <cellStyle name="Normal 25 3 2 2 4" xfId="13219" xr:uid="{00000000-0005-0000-0000-0000E3360000}"/>
    <cellStyle name="Normal 25 3 2 2 4 2" xfId="29762" xr:uid="{00000000-0005-0000-0000-0000E4360000}"/>
    <cellStyle name="Normal 25 3 2 2 5" xfId="21719" xr:uid="{00000000-0005-0000-0000-0000E5360000}"/>
    <cellStyle name="Normal 25 3 2 3" xfId="3812" xr:uid="{00000000-0005-0000-0000-0000E6360000}"/>
    <cellStyle name="Normal 25 3 2 3 2" xfId="7911" xr:uid="{00000000-0005-0000-0000-0000E7360000}"/>
    <cellStyle name="Normal 25 3 2 3 2 2" xfId="17089" xr:uid="{00000000-0005-0000-0000-0000E8360000}"/>
    <cellStyle name="Normal 25 3 2 3 2 2 2" xfId="33663" xr:uid="{00000000-0005-0000-0000-0000E9360000}"/>
    <cellStyle name="Normal 25 3 2 3 2 3" xfId="25616" xr:uid="{00000000-0005-0000-0000-0000EA360000}"/>
    <cellStyle name="Normal 25 3 2 3 3" xfId="13221" xr:uid="{00000000-0005-0000-0000-0000EB360000}"/>
    <cellStyle name="Normal 25 3 2 3 3 2" xfId="29764" xr:uid="{00000000-0005-0000-0000-0000EC360000}"/>
    <cellStyle name="Normal 25 3 2 3 4" xfId="21721" xr:uid="{00000000-0005-0000-0000-0000ED360000}"/>
    <cellStyle name="Normal 25 3 2 4" xfId="7912" xr:uid="{00000000-0005-0000-0000-0000EE360000}"/>
    <cellStyle name="Normal 25 3 2 4 2" xfId="17090" xr:uid="{00000000-0005-0000-0000-0000EF360000}"/>
    <cellStyle name="Normal 25 3 2 4 2 2" xfId="33664" xr:uid="{00000000-0005-0000-0000-0000F0360000}"/>
    <cellStyle name="Normal 25 3 2 4 3" xfId="25617" xr:uid="{00000000-0005-0000-0000-0000F1360000}"/>
    <cellStyle name="Normal 25 3 2 5" xfId="13218" xr:uid="{00000000-0005-0000-0000-0000F2360000}"/>
    <cellStyle name="Normal 25 3 2 5 2" xfId="29761" xr:uid="{00000000-0005-0000-0000-0000F3360000}"/>
    <cellStyle name="Normal 25 3 2 6" xfId="21718" xr:uid="{00000000-0005-0000-0000-0000F4360000}"/>
    <cellStyle name="Normal 25 3 3" xfId="3813" xr:uid="{00000000-0005-0000-0000-0000F5360000}"/>
    <cellStyle name="Normal 25 3 3 2" xfId="3814" xr:uid="{00000000-0005-0000-0000-0000F6360000}"/>
    <cellStyle name="Normal 25 3 3 2 2" xfId="7913" xr:uid="{00000000-0005-0000-0000-0000F7360000}"/>
    <cellStyle name="Normal 25 3 3 2 2 2" xfId="17091" xr:uid="{00000000-0005-0000-0000-0000F8360000}"/>
    <cellStyle name="Normal 25 3 3 2 2 2 2" xfId="33665" xr:uid="{00000000-0005-0000-0000-0000F9360000}"/>
    <cellStyle name="Normal 25 3 3 2 2 3" xfId="25618" xr:uid="{00000000-0005-0000-0000-0000FA360000}"/>
    <cellStyle name="Normal 25 3 3 2 3" xfId="13223" xr:uid="{00000000-0005-0000-0000-0000FB360000}"/>
    <cellStyle name="Normal 25 3 3 2 3 2" xfId="29766" xr:uid="{00000000-0005-0000-0000-0000FC360000}"/>
    <cellStyle name="Normal 25 3 3 2 4" xfId="21723" xr:uid="{00000000-0005-0000-0000-0000FD360000}"/>
    <cellStyle name="Normal 25 3 3 3" xfId="7914" xr:uid="{00000000-0005-0000-0000-0000FE360000}"/>
    <cellStyle name="Normal 25 3 3 3 2" xfId="17092" xr:uid="{00000000-0005-0000-0000-0000FF360000}"/>
    <cellStyle name="Normal 25 3 3 3 2 2" xfId="33666" xr:uid="{00000000-0005-0000-0000-000000370000}"/>
    <cellStyle name="Normal 25 3 3 3 3" xfId="25619" xr:uid="{00000000-0005-0000-0000-000001370000}"/>
    <cellStyle name="Normal 25 3 3 4" xfId="13222" xr:uid="{00000000-0005-0000-0000-000002370000}"/>
    <cellStyle name="Normal 25 3 3 4 2" xfId="29765" xr:uid="{00000000-0005-0000-0000-000003370000}"/>
    <cellStyle name="Normal 25 3 3 5" xfId="21722" xr:uid="{00000000-0005-0000-0000-000004370000}"/>
    <cellStyle name="Normal 25 3 4" xfId="3815" xr:uid="{00000000-0005-0000-0000-000005370000}"/>
    <cellStyle name="Normal 25 3 4 2" xfId="7915" xr:uid="{00000000-0005-0000-0000-000006370000}"/>
    <cellStyle name="Normal 25 3 4 2 2" xfId="17093" xr:uid="{00000000-0005-0000-0000-000007370000}"/>
    <cellStyle name="Normal 25 3 4 2 2 2" xfId="33667" xr:uid="{00000000-0005-0000-0000-000008370000}"/>
    <cellStyle name="Normal 25 3 4 2 3" xfId="25620" xr:uid="{00000000-0005-0000-0000-000009370000}"/>
    <cellStyle name="Normal 25 3 4 3" xfId="13224" xr:uid="{00000000-0005-0000-0000-00000A370000}"/>
    <cellStyle name="Normal 25 3 4 3 2" xfId="29767" xr:uid="{00000000-0005-0000-0000-00000B370000}"/>
    <cellStyle name="Normal 25 3 4 4" xfId="21724" xr:uid="{00000000-0005-0000-0000-00000C370000}"/>
    <cellStyle name="Normal 25 3 5" xfId="3816" xr:uid="{00000000-0005-0000-0000-00000D370000}"/>
    <cellStyle name="Normal 25 3 5 2" xfId="13225" xr:uid="{00000000-0005-0000-0000-00000E370000}"/>
    <cellStyle name="Normal 25 3 5 2 2" xfId="29768" xr:uid="{00000000-0005-0000-0000-00000F370000}"/>
    <cellStyle name="Normal 25 3 5 3" xfId="21725" xr:uid="{00000000-0005-0000-0000-000010370000}"/>
    <cellStyle name="Normal 25 4" xfId="3817" xr:uid="{00000000-0005-0000-0000-000011370000}"/>
    <cellStyle name="Normal 25 4 2" xfId="3818" xr:uid="{00000000-0005-0000-0000-000012370000}"/>
    <cellStyle name="Normal 25 4 2 2" xfId="3819" xr:uid="{00000000-0005-0000-0000-000013370000}"/>
    <cellStyle name="Normal 25 4 2 2 2" xfId="3820" xr:uid="{00000000-0005-0000-0000-000014370000}"/>
    <cellStyle name="Normal 25 4 2 2 2 2" xfId="7916" xr:uid="{00000000-0005-0000-0000-000015370000}"/>
    <cellStyle name="Normal 25 4 2 2 2 2 2" xfId="17094" xr:uid="{00000000-0005-0000-0000-000016370000}"/>
    <cellStyle name="Normal 25 4 2 2 2 2 2 2" xfId="33668" xr:uid="{00000000-0005-0000-0000-000017370000}"/>
    <cellStyle name="Normal 25 4 2 2 2 2 3" xfId="25621" xr:uid="{00000000-0005-0000-0000-000018370000}"/>
    <cellStyle name="Normal 25 4 2 2 2 3" xfId="13229" xr:uid="{00000000-0005-0000-0000-000019370000}"/>
    <cellStyle name="Normal 25 4 2 2 2 3 2" xfId="29772" xr:uid="{00000000-0005-0000-0000-00001A370000}"/>
    <cellStyle name="Normal 25 4 2 2 2 4" xfId="21729" xr:uid="{00000000-0005-0000-0000-00001B370000}"/>
    <cellStyle name="Normal 25 4 2 2 3" xfId="7917" xr:uid="{00000000-0005-0000-0000-00001C370000}"/>
    <cellStyle name="Normal 25 4 2 2 3 2" xfId="17095" xr:uid="{00000000-0005-0000-0000-00001D370000}"/>
    <cellStyle name="Normal 25 4 2 2 3 2 2" xfId="33669" xr:uid="{00000000-0005-0000-0000-00001E370000}"/>
    <cellStyle name="Normal 25 4 2 2 3 3" xfId="25622" xr:uid="{00000000-0005-0000-0000-00001F370000}"/>
    <cellStyle name="Normal 25 4 2 2 4" xfId="13228" xr:uid="{00000000-0005-0000-0000-000020370000}"/>
    <cellStyle name="Normal 25 4 2 2 4 2" xfId="29771" xr:uid="{00000000-0005-0000-0000-000021370000}"/>
    <cellStyle name="Normal 25 4 2 2 5" xfId="21728" xr:uid="{00000000-0005-0000-0000-000022370000}"/>
    <cellStyle name="Normal 25 4 2 3" xfId="3821" xr:uid="{00000000-0005-0000-0000-000023370000}"/>
    <cellStyle name="Normal 25 4 2 3 2" xfId="7918" xr:uid="{00000000-0005-0000-0000-000024370000}"/>
    <cellStyle name="Normal 25 4 2 3 2 2" xfId="17096" xr:uid="{00000000-0005-0000-0000-000025370000}"/>
    <cellStyle name="Normal 25 4 2 3 2 2 2" xfId="33670" xr:uid="{00000000-0005-0000-0000-000026370000}"/>
    <cellStyle name="Normal 25 4 2 3 2 3" xfId="25623" xr:uid="{00000000-0005-0000-0000-000027370000}"/>
    <cellStyle name="Normal 25 4 2 3 3" xfId="13230" xr:uid="{00000000-0005-0000-0000-000028370000}"/>
    <cellStyle name="Normal 25 4 2 3 3 2" xfId="29773" xr:uid="{00000000-0005-0000-0000-000029370000}"/>
    <cellStyle name="Normal 25 4 2 3 4" xfId="21730" xr:uid="{00000000-0005-0000-0000-00002A370000}"/>
    <cellStyle name="Normal 25 4 2 4" xfId="7919" xr:uid="{00000000-0005-0000-0000-00002B370000}"/>
    <cellStyle name="Normal 25 4 2 4 2" xfId="17097" xr:uid="{00000000-0005-0000-0000-00002C370000}"/>
    <cellStyle name="Normal 25 4 2 4 2 2" xfId="33671" xr:uid="{00000000-0005-0000-0000-00002D370000}"/>
    <cellStyle name="Normal 25 4 2 4 3" xfId="25624" xr:uid="{00000000-0005-0000-0000-00002E370000}"/>
    <cellStyle name="Normal 25 4 2 5" xfId="13227" xr:uid="{00000000-0005-0000-0000-00002F370000}"/>
    <cellStyle name="Normal 25 4 2 5 2" xfId="29770" xr:uid="{00000000-0005-0000-0000-000030370000}"/>
    <cellStyle name="Normal 25 4 2 6" xfId="21727" xr:uid="{00000000-0005-0000-0000-000031370000}"/>
    <cellStyle name="Normal 25 4 3" xfId="3822" xr:uid="{00000000-0005-0000-0000-000032370000}"/>
    <cellStyle name="Normal 25 4 3 2" xfId="3823" xr:uid="{00000000-0005-0000-0000-000033370000}"/>
    <cellStyle name="Normal 25 4 3 2 2" xfId="7920" xr:uid="{00000000-0005-0000-0000-000034370000}"/>
    <cellStyle name="Normal 25 4 3 2 2 2" xfId="17098" xr:uid="{00000000-0005-0000-0000-000035370000}"/>
    <cellStyle name="Normal 25 4 3 2 2 2 2" xfId="33672" xr:uid="{00000000-0005-0000-0000-000036370000}"/>
    <cellStyle name="Normal 25 4 3 2 2 3" xfId="25625" xr:uid="{00000000-0005-0000-0000-000037370000}"/>
    <cellStyle name="Normal 25 4 3 2 3" xfId="13232" xr:uid="{00000000-0005-0000-0000-000038370000}"/>
    <cellStyle name="Normal 25 4 3 2 3 2" xfId="29775" xr:uid="{00000000-0005-0000-0000-000039370000}"/>
    <cellStyle name="Normal 25 4 3 2 4" xfId="21732" xr:uid="{00000000-0005-0000-0000-00003A370000}"/>
    <cellStyle name="Normal 25 4 3 3" xfId="7921" xr:uid="{00000000-0005-0000-0000-00003B370000}"/>
    <cellStyle name="Normal 25 4 3 3 2" xfId="17099" xr:uid="{00000000-0005-0000-0000-00003C370000}"/>
    <cellStyle name="Normal 25 4 3 3 2 2" xfId="33673" xr:uid="{00000000-0005-0000-0000-00003D370000}"/>
    <cellStyle name="Normal 25 4 3 3 3" xfId="25626" xr:uid="{00000000-0005-0000-0000-00003E370000}"/>
    <cellStyle name="Normal 25 4 3 4" xfId="13231" xr:uid="{00000000-0005-0000-0000-00003F370000}"/>
    <cellStyle name="Normal 25 4 3 4 2" xfId="29774" xr:uid="{00000000-0005-0000-0000-000040370000}"/>
    <cellStyle name="Normal 25 4 3 5" xfId="21731" xr:uid="{00000000-0005-0000-0000-000041370000}"/>
    <cellStyle name="Normal 25 4 4" xfId="3824" xr:uid="{00000000-0005-0000-0000-000042370000}"/>
    <cellStyle name="Normal 25 4 4 2" xfId="7922" xr:uid="{00000000-0005-0000-0000-000043370000}"/>
    <cellStyle name="Normal 25 4 4 2 2" xfId="17100" xr:uid="{00000000-0005-0000-0000-000044370000}"/>
    <cellStyle name="Normal 25 4 4 2 2 2" xfId="33674" xr:uid="{00000000-0005-0000-0000-000045370000}"/>
    <cellStyle name="Normal 25 4 4 2 3" xfId="25627" xr:uid="{00000000-0005-0000-0000-000046370000}"/>
    <cellStyle name="Normal 25 4 4 3" xfId="13233" xr:uid="{00000000-0005-0000-0000-000047370000}"/>
    <cellStyle name="Normal 25 4 4 3 2" xfId="29776" xr:uid="{00000000-0005-0000-0000-000048370000}"/>
    <cellStyle name="Normal 25 4 4 4" xfId="21733" xr:uid="{00000000-0005-0000-0000-000049370000}"/>
    <cellStyle name="Normal 25 4 5" xfId="7923" xr:uid="{00000000-0005-0000-0000-00004A370000}"/>
    <cellStyle name="Normal 25 4 5 2" xfId="17101" xr:uid="{00000000-0005-0000-0000-00004B370000}"/>
    <cellStyle name="Normal 25 4 5 2 2" xfId="33675" xr:uid="{00000000-0005-0000-0000-00004C370000}"/>
    <cellStyle name="Normal 25 4 5 3" xfId="25628" xr:uid="{00000000-0005-0000-0000-00004D370000}"/>
    <cellStyle name="Normal 25 4 6" xfId="13226" xr:uid="{00000000-0005-0000-0000-00004E370000}"/>
    <cellStyle name="Normal 25 4 6 2" xfId="29769" xr:uid="{00000000-0005-0000-0000-00004F370000}"/>
    <cellStyle name="Normal 25 4 7" xfId="21726" xr:uid="{00000000-0005-0000-0000-000050370000}"/>
    <cellStyle name="Normal 25 5" xfId="3825" xr:uid="{00000000-0005-0000-0000-000051370000}"/>
    <cellStyle name="Normal 25 5 2" xfId="3826" xr:uid="{00000000-0005-0000-0000-000052370000}"/>
    <cellStyle name="Normal 25 5 2 2" xfId="3827" xr:uid="{00000000-0005-0000-0000-000053370000}"/>
    <cellStyle name="Normal 25 5 2 2 2" xfId="3828" xr:uid="{00000000-0005-0000-0000-000054370000}"/>
    <cellStyle name="Normal 25 5 2 2 2 2" xfId="7924" xr:uid="{00000000-0005-0000-0000-000055370000}"/>
    <cellStyle name="Normal 25 5 2 2 2 2 2" xfId="17102" xr:uid="{00000000-0005-0000-0000-000056370000}"/>
    <cellStyle name="Normal 25 5 2 2 2 2 2 2" xfId="33676" xr:uid="{00000000-0005-0000-0000-000057370000}"/>
    <cellStyle name="Normal 25 5 2 2 2 2 3" xfId="25629" xr:uid="{00000000-0005-0000-0000-000058370000}"/>
    <cellStyle name="Normal 25 5 2 2 2 3" xfId="13237" xr:uid="{00000000-0005-0000-0000-000059370000}"/>
    <cellStyle name="Normal 25 5 2 2 2 3 2" xfId="29780" xr:uid="{00000000-0005-0000-0000-00005A370000}"/>
    <cellStyle name="Normal 25 5 2 2 2 4" xfId="21737" xr:uid="{00000000-0005-0000-0000-00005B370000}"/>
    <cellStyle name="Normal 25 5 2 2 3" xfId="7925" xr:uid="{00000000-0005-0000-0000-00005C370000}"/>
    <cellStyle name="Normal 25 5 2 2 3 2" xfId="17103" xr:uid="{00000000-0005-0000-0000-00005D370000}"/>
    <cellStyle name="Normal 25 5 2 2 3 2 2" xfId="33677" xr:uid="{00000000-0005-0000-0000-00005E370000}"/>
    <cellStyle name="Normal 25 5 2 2 3 3" xfId="25630" xr:uid="{00000000-0005-0000-0000-00005F370000}"/>
    <cellStyle name="Normal 25 5 2 2 4" xfId="13236" xr:uid="{00000000-0005-0000-0000-000060370000}"/>
    <cellStyle name="Normal 25 5 2 2 4 2" xfId="29779" xr:uid="{00000000-0005-0000-0000-000061370000}"/>
    <cellStyle name="Normal 25 5 2 2 5" xfId="21736" xr:uid="{00000000-0005-0000-0000-000062370000}"/>
    <cellStyle name="Normal 25 5 2 3" xfId="3829" xr:uid="{00000000-0005-0000-0000-000063370000}"/>
    <cellStyle name="Normal 25 5 2 3 2" xfId="7926" xr:uid="{00000000-0005-0000-0000-000064370000}"/>
    <cellStyle name="Normal 25 5 2 3 2 2" xfId="17104" xr:uid="{00000000-0005-0000-0000-000065370000}"/>
    <cellStyle name="Normal 25 5 2 3 2 2 2" xfId="33678" xr:uid="{00000000-0005-0000-0000-000066370000}"/>
    <cellStyle name="Normal 25 5 2 3 2 3" xfId="25631" xr:uid="{00000000-0005-0000-0000-000067370000}"/>
    <cellStyle name="Normal 25 5 2 3 3" xfId="13238" xr:uid="{00000000-0005-0000-0000-000068370000}"/>
    <cellStyle name="Normal 25 5 2 3 3 2" xfId="29781" xr:uid="{00000000-0005-0000-0000-000069370000}"/>
    <cellStyle name="Normal 25 5 2 3 4" xfId="21738" xr:uid="{00000000-0005-0000-0000-00006A370000}"/>
    <cellStyle name="Normal 25 5 2 4" xfId="7927" xr:uid="{00000000-0005-0000-0000-00006B370000}"/>
    <cellStyle name="Normal 25 5 2 4 2" xfId="17105" xr:uid="{00000000-0005-0000-0000-00006C370000}"/>
    <cellStyle name="Normal 25 5 2 4 2 2" xfId="33679" xr:uid="{00000000-0005-0000-0000-00006D370000}"/>
    <cellStyle name="Normal 25 5 2 4 3" xfId="25632" xr:uid="{00000000-0005-0000-0000-00006E370000}"/>
    <cellStyle name="Normal 25 5 2 5" xfId="13235" xr:uid="{00000000-0005-0000-0000-00006F370000}"/>
    <cellStyle name="Normal 25 5 2 5 2" xfId="29778" xr:uid="{00000000-0005-0000-0000-000070370000}"/>
    <cellStyle name="Normal 25 5 2 6" xfId="21735" xr:uid="{00000000-0005-0000-0000-000071370000}"/>
    <cellStyle name="Normal 25 5 3" xfId="3830" xr:uid="{00000000-0005-0000-0000-000072370000}"/>
    <cellStyle name="Normal 25 5 3 2" xfId="3831" xr:uid="{00000000-0005-0000-0000-000073370000}"/>
    <cellStyle name="Normal 25 5 3 2 2" xfId="7928" xr:uid="{00000000-0005-0000-0000-000074370000}"/>
    <cellStyle name="Normal 25 5 3 2 2 2" xfId="17106" xr:uid="{00000000-0005-0000-0000-000075370000}"/>
    <cellStyle name="Normal 25 5 3 2 2 2 2" xfId="33680" xr:uid="{00000000-0005-0000-0000-000076370000}"/>
    <cellStyle name="Normal 25 5 3 2 2 3" xfId="25633" xr:uid="{00000000-0005-0000-0000-000077370000}"/>
    <cellStyle name="Normal 25 5 3 2 3" xfId="13240" xr:uid="{00000000-0005-0000-0000-000078370000}"/>
    <cellStyle name="Normal 25 5 3 2 3 2" xfId="29783" xr:uid="{00000000-0005-0000-0000-000079370000}"/>
    <cellStyle name="Normal 25 5 3 2 4" xfId="21740" xr:uid="{00000000-0005-0000-0000-00007A370000}"/>
    <cellStyle name="Normal 25 5 3 3" xfId="7929" xr:uid="{00000000-0005-0000-0000-00007B370000}"/>
    <cellStyle name="Normal 25 5 3 3 2" xfId="17107" xr:uid="{00000000-0005-0000-0000-00007C370000}"/>
    <cellStyle name="Normal 25 5 3 3 2 2" xfId="33681" xr:uid="{00000000-0005-0000-0000-00007D370000}"/>
    <cellStyle name="Normal 25 5 3 3 3" xfId="25634" xr:uid="{00000000-0005-0000-0000-00007E370000}"/>
    <cellStyle name="Normal 25 5 3 4" xfId="13239" xr:uid="{00000000-0005-0000-0000-00007F370000}"/>
    <cellStyle name="Normal 25 5 3 4 2" xfId="29782" xr:uid="{00000000-0005-0000-0000-000080370000}"/>
    <cellStyle name="Normal 25 5 3 5" xfId="21739" xr:uid="{00000000-0005-0000-0000-000081370000}"/>
    <cellStyle name="Normal 25 5 4" xfId="3832" xr:uid="{00000000-0005-0000-0000-000082370000}"/>
    <cellStyle name="Normal 25 5 4 2" xfId="7930" xr:uid="{00000000-0005-0000-0000-000083370000}"/>
    <cellStyle name="Normal 25 5 4 2 2" xfId="17108" xr:uid="{00000000-0005-0000-0000-000084370000}"/>
    <cellStyle name="Normal 25 5 4 2 2 2" xfId="33682" xr:uid="{00000000-0005-0000-0000-000085370000}"/>
    <cellStyle name="Normal 25 5 4 2 3" xfId="25635" xr:uid="{00000000-0005-0000-0000-000086370000}"/>
    <cellStyle name="Normal 25 5 4 3" xfId="13241" xr:uid="{00000000-0005-0000-0000-000087370000}"/>
    <cellStyle name="Normal 25 5 4 3 2" xfId="29784" xr:uid="{00000000-0005-0000-0000-000088370000}"/>
    <cellStyle name="Normal 25 5 4 4" xfId="21741" xr:uid="{00000000-0005-0000-0000-000089370000}"/>
    <cellStyle name="Normal 25 5 5" xfId="7931" xr:uid="{00000000-0005-0000-0000-00008A370000}"/>
    <cellStyle name="Normal 25 5 5 2" xfId="17109" xr:uid="{00000000-0005-0000-0000-00008B370000}"/>
    <cellStyle name="Normal 25 5 5 2 2" xfId="33683" xr:uid="{00000000-0005-0000-0000-00008C370000}"/>
    <cellStyle name="Normal 25 5 5 3" xfId="25636" xr:uid="{00000000-0005-0000-0000-00008D370000}"/>
    <cellStyle name="Normal 25 5 6" xfId="13234" xr:uid="{00000000-0005-0000-0000-00008E370000}"/>
    <cellStyle name="Normal 25 5 6 2" xfId="29777" xr:uid="{00000000-0005-0000-0000-00008F370000}"/>
    <cellStyle name="Normal 25 5 7" xfId="21734" xr:uid="{00000000-0005-0000-0000-000090370000}"/>
    <cellStyle name="Normal 25 6" xfId="3833" xr:uid="{00000000-0005-0000-0000-000091370000}"/>
    <cellStyle name="Normal 25 6 2" xfId="3834" xr:uid="{00000000-0005-0000-0000-000092370000}"/>
    <cellStyle name="Normal 25 6 2 2" xfId="3835" xr:uid="{00000000-0005-0000-0000-000093370000}"/>
    <cellStyle name="Normal 25 6 2 2 2" xfId="7932" xr:uid="{00000000-0005-0000-0000-000094370000}"/>
    <cellStyle name="Normal 25 6 2 2 2 2" xfId="17110" xr:uid="{00000000-0005-0000-0000-000095370000}"/>
    <cellStyle name="Normal 25 6 2 2 2 2 2" xfId="33684" xr:uid="{00000000-0005-0000-0000-000096370000}"/>
    <cellStyle name="Normal 25 6 2 2 2 3" xfId="25637" xr:uid="{00000000-0005-0000-0000-000097370000}"/>
    <cellStyle name="Normal 25 6 2 2 3" xfId="13244" xr:uid="{00000000-0005-0000-0000-000098370000}"/>
    <cellStyle name="Normal 25 6 2 2 3 2" xfId="29787" xr:uid="{00000000-0005-0000-0000-000099370000}"/>
    <cellStyle name="Normal 25 6 2 2 4" xfId="21744" xr:uid="{00000000-0005-0000-0000-00009A370000}"/>
    <cellStyle name="Normal 25 6 2 3" xfId="7933" xr:uid="{00000000-0005-0000-0000-00009B370000}"/>
    <cellStyle name="Normal 25 6 2 3 2" xfId="17111" xr:uid="{00000000-0005-0000-0000-00009C370000}"/>
    <cellStyle name="Normal 25 6 2 3 2 2" xfId="33685" xr:uid="{00000000-0005-0000-0000-00009D370000}"/>
    <cellStyle name="Normal 25 6 2 3 3" xfId="25638" xr:uid="{00000000-0005-0000-0000-00009E370000}"/>
    <cellStyle name="Normal 25 6 2 4" xfId="13243" xr:uid="{00000000-0005-0000-0000-00009F370000}"/>
    <cellStyle name="Normal 25 6 2 4 2" xfId="29786" xr:uid="{00000000-0005-0000-0000-0000A0370000}"/>
    <cellStyle name="Normal 25 6 2 5" xfId="21743" xr:uid="{00000000-0005-0000-0000-0000A1370000}"/>
    <cellStyle name="Normal 25 6 3" xfId="3836" xr:uid="{00000000-0005-0000-0000-0000A2370000}"/>
    <cellStyle name="Normal 25 6 3 2" xfId="7934" xr:uid="{00000000-0005-0000-0000-0000A3370000}"/>
    <cellStyle name="Normal 25 6 3 2 2" xfId="17112" xr:uid="{00000000-0005-0000-0000-0000A4370000}"/>
    <cellStyle name="Normal 25 6 3 2 2 2" xfId="33686" xr:uid="{00000000-0005-0000-0000-0000A5370000}"/>
    <cellStyle name="Normal 25 6 3 2 3" xfId="25639" xr:uid="{00000000-0005-0000-0000-0000A6370000}"/>
    <cellStyle name="Normal 25 6 3 3" xfId="13245" xr:uid="{00000000-0005-0000-0000-0000A7370000}"/>
    <cellStyle name="Normal 25 6 3 3 2" xfId="29788" xr:uid="{00000000-0005-0000-0000-0000A8370000}"/>
    <cellStyle name="Normal 25 6 3 4" xfId="21745" xr:uid="{00000000-0005-0000-0000-0000A9370000}"/>
    <cellStyle name="Normal 25 6 4" xfId="7935" xr:uid="{00000000-0005-0000-0000-0000AA370000}"/>
    <cellStyle name="Normal 25 6 4 2" xfId="17113" xr:uid="{00000000-0005-0000-0000-0000AB370000}"/>
    <cellStyle name="Normal 25 6 4 2 2" xfId="33687" xr:uid="{00000000-0005-0000-0000-0000AC370000}"/>
    <cellStyle name="Normal 25 6 4 3" xfId="25640" xr:uid="{00000000-0005-0000-0000-0000AD370000}"/>
    <cellStyle name="Normal 25 6 5" xfId="13242" xr:uid="{00000000-0005-0000-0000-0000AE370000}"/>
    <cellStyle name="Normal 25 6 5 2" xfId="29785" xr:uid="{00000000-0005-0000-0000-0000AF370000}"/>
    <cellStyle name="Normal 25 6 6" xfId="21742" xr:uid="{00000000-0005-0000-0000-0000B0370000}"/>
    <cellStyle name="Normal 25 7" xfId="3837" xr:uid="{00000000-0005-0000-0000-0000B1370000}"/>
    <cellStyle name="Normal 25 7 2" xfId="3838" xr:uid="{00000000-0005-0000-0000-0000B2370000}"/>
    <cellStyle name="Normal 25 7 2 2" xfId="7936" xr:uid="{00000000-0005-0000-0000-0000B3370000}"/>
    <cellStyle name="Normal 25 7 2 2 2" xfId="17114" xr:uid="{00000000-0005-0000-0000-0000B4370000}"/>
    <cellStyle name="Normal 25 7 2 2 2 2" xfId="33688" xr:uid="{00000000-0005-0000-0000-0000B5370000}"/>
    <cellStyle name="Normal 25 7 2 2 3" xfId="25641" xr:uid="{00000000-0005-0000-0000-0000B6370000}"/>
    <cellStyle name="Normal 25 7 2 3" xfId="13247" xr:uid="{00000000-0005-0000-0000-0000B7370000}"/>
    <cellStyle name="Normal 25 7 2 3 2" xfId="29790" xr:uid="{00000000-0005-0000-0000-0000B8370000}"/>
    <cellStyle name="Normal 25 7 2 4" xfId="21747" xr:uid="{00000000-0005-0000-0000-0000B9370000}"/>
    <cellStyle name="Normal 25 7 3" xfId="7937" xr:uid="{00000000-0005-0000-0000-0000BA370000}"/>
    <cellStyle name="Normal 25 7 3 2" xfId="17115" xr:uid="{00000000-0005-0000-0000-0000BB370000}"/>
    <cellStyle name="Normal 25 7 3 2 2" xfId="33689" xr:uid="{00000000-0005-0000-0000-0000BC370000}"/>
    <cellStyle name="Normal 25 7 3 3" xfId="25642" xr:uid="{00000000-0005-0000-0000-0000BD370000}"/>
    <cellStyle name="Normal 25 7 4" xfId="13246" xr:uid="{00000000-0005-0000-0000-0000BE370000}"/>
    <cellStyle name="Normal 25 7 4 2" xfId="29789" xr:uid="{00000000-0005-0000-0000-0000BF370000}"/>
    <cellStyle name="Normal 25 7 5" xfId="21746" xr:uid="{00000000-0005-0000-0000-0000C0370000}"/>
    <cellStyle name="Normal 25 8" xfId="3839" xr:uid="{00000000-0005-0000-0000-0000C1370000}"/>
    <cellStyle name="Normal 25 8 2" xfId="7938" xr:uid="{00000000-0005-0000-0000-0000C2370000}"/>
    <cellStyle name="Normal 25 8 2 2" xfId="17116" xr:uid="{00000000-0005-0000-0000-0000C3370000}"/>
    <cellStyle name="Normal 25 8 2 2 2" xfId="33690" xr:uid="{00000000-0005-0000-0000-0000C4370000}"/>
    <cellStyle name="Normal 25 8 2 3" xfId="25643" xr:uid="{00000000-0005-0000-0000-0000C5370000}"/>
    <cellStyle name="Normal 25 8 3" xfId="13248" xr:uid="{00000000-0005-0000-0000-0000C6370000}"/>
    <cellStyle name="Normal 25 8 3 2" xfId="29791" xr:uid="{00000000-0005-0000-0000-0000C7370000}"/>
    <cellStyle name="Normal 25 8 4" xfId="21748" xr:uid="{00000000-0005-0000-0000-0000C8370000}"/>
    <cellStyle name="Normal 25 9" xfId="7939" xr:uid="{00000000-0005-0000-0000-0000C9370000}"/>
    <cellStyle name="Normal 25 9 2" xfId="17117" xr:uid="{00000000-0005-0000-0000-0000CA370000}"/>
    <cellStyle name="Normal 25 9 2 2" xfId="33691" xr:uid="{00000000-0005-0000-0000-0000CB370000}"/>
    <cellStyle name="Normal 25 9 3" xfId="25644" xr:uid="{00000000-0005-0000-0000-0000CC370000}"/>
    <cellStyle name="Normal 250" xfId="10767" xr:uid="{00000000-0005-0000-0000-0000CD370000}"/>
    <cellStyle name="Normal 251" xfId="10770" xr:uid="{00000000-0005-0000-0000-0000CE370000}"/>
    <cellStyle name="Normal 252" xfId="10773" xr:uid="{00000000-0005-0000-0000-0000CF370000}"/>
    <cellStyle name="Normal 253" xfId="10776" xr:uid="{00000000-0005-0000-0000-0000D0370000}"/>
    <cellStyle name="Normal 254" xfId="10779" xr:uid="{00000000-0005-0000-0000-0000D1370000}"/>
    <cellStyle name="Normal 255" xfId="10782" xr:uid="{00000000-0005-0000-0000-0000D2370000}"/>
    <cellStyle name="Normal 256" xfId="10785" xr:uid="{00000000-0005-0000-0000-0000D3370000}"/>
    <cellStyle name="Normal 257" xfId="10788" xr:uid="{00000000-0005-0000-0000-0000D4370000}"/>
    <cellStyle name="Normal 258" xfId="10791" xr:uid="{00000000-0005-0000-0000-0000D5370000}"/>
    <cellStyle name="Normal 259" xfId="10794" xr:uid="{00000000-0005-0000-0000-0000D6370000}"/>
    <cellStyle name="Normal 26" xfId="3840" xr:uid="{00000000-0005-0000-0000-0000D7370000}"/>
    <cellStyle name="Normal 26 10" xfId="13249" xr:uid="{00000000-0005-0000-0000-0000D8370000}"/>
    <cellStyle name="Normal 26 10 2" xfId="29792" xr:uid="{00000000-0005-0000-0000-0000D9370000}"/>
    <cellStyle name="Normal 26 11" xfId="21749" xr:uid="{00000000-0005-0000-0000-0000DA370000}"/>
    <cellStyle name="Normal 26 2" xfId="3841" xr:uid="{00000000-0005-0000-0000-0000DB370000}"/>
    <cellStyle name="Normal 26 2 2" xfId="3842" xr:uid="{00000000-0005-0000-0000-0000DC370000}"/>
    <cellStyle name="Normal 26 2 3" xfId="13250" xr:uid="{00000000-0005-0000-0000-0000DD370000}"/>
    <cellStyle name="Normal 26 2 3 2" xfId="29793" xr:uid="{00000000-0005-0000-0000-0000DE370000}"/>
    <cellStyle name="Normal 26 2 4" xfId="21750" xr:uid="{00000000-0005-0000-0000-0000DF370000}"/>
    <cellStyle name="Normal 26 3" xfId="3843" xr:uid="{00000000-0005-0000-0000-0000E0370000}"/>
    <cellStyle name="Normal 26 3 2" xfId="3844" xr:uid="{00000000-0005-0000-0000-0000E1370000}"/>
    <cellStyle name="Normal 26 3 2 2" xfId="3845" xr:uid="{00000000-0005-0000-0000-0000E2370000}"/>
    <cellStyle name="Normal 26 3 2 2 2" xfId="3846" xr:uid="{00000000-0005-0000-0000-0000E3370000}"/>
    <cellStyle name="Normal 26 3 2 2 2 2" xfId="7940" xr:uid="{00000000-0005-0000-0000-0000E4370000}"/>
    <cellStyle name="Normal 26 3 2 2 2 2 2" xfId="17118" xr:uid="{00000000-0005-0000-0000-0000E5370000}"/>
    <cellStyle name="Normal 26 3 2 2 2 2 2 2" xfId="33692" xr:uid="{00000000-0005-0000-0000-0000E6370000}"/>
    <cellStyle name="Normal 26 3 2 2 2 2 3" xfId="25645" xr:uid="{00000000-0005-0000-0000-0000E7370000}"/>
    <cellStyle name="Normal 26 3 2 2 2 3" xfId="13253" xr:uid="{00000000-0005-0000-0000-0000E8370000}"/>
    <cellStyle name="Normal 26 3 2 2 2 3 2" xfId="29796" xr:uid="{00000000-0005-0000-0000-0000E9370000}"/>
    <cellStyle name="Normal 26 3 2 2 2 4" xfId="21753" xr:uid="{00000000-0005-0000-0000-0000EA370000}"/>
    <cellStyle name="Normal 26 3 2 2 3" xfId="7941" xr:uid="{00000000-0005-0000-0000-0000EB370000}"/>
    <cellStyle name="Normal 26 3 2 2 3 2" xfId="17119" xr:uid="{00000000-0005-0000-0000-0000EC370000}"/>
    <cellStyle name="Normal 26 3 2 2 3 2 2" xfId="33693" xr:uid="{00000000-0005-0000-0000-0000ED370000}"/>
    <cellStyle name="Normal 26 3 2 2 3 3" xfId="25646" xr:uid="{00000000-0005-0000-0000-0000EE370000}"/>
    <cellStyle name="Normal 26 3 2 2 4" xfId="13252" xr:uid="{00000000-0005-0000-0000-0000EF370000}"/>
    <cellStyle name="Normal 26 3 2 2 4 2" xfId="29795" xr:uid="{00000000-0005-0000-0000-0000F0370000}"/>
    <cellStyle name="Normal 26 3 2 2 5" xfId="21752" xr:uid="{00000000-0005-0000-0000-0000F1370000}"/>
    <cellStyle name="Normal 26 3 2 3" xfId="3847" xr:uid="{00000000-0005-0000-0000-0000F2370000}"/>
    <cellStyle name="Normal 26 3 2 3 2" xfId="7942" xr:uid="{00000000-0005-0000-0000-0000F3370000}"/>
    <cellStyle name="Normal 26 3 2 3 2 2" xfId="17120" xr:uid="{00000000-0005-0000-0000-0000F4370000}"/>
    <cellStyle name="Normal 26 3 2 3 2 2 2" xfId="33694" xr:uid="{00000000-0005-0000-0000-0000F5370000}"/>
    <cellStyle name="Normal 26 3 2 3 2 3" xfId="25647" xr:uid="{00000000-0005-0000-0000-0000F6370000}"/>
    <cellStyle name="Normal 26 3 2 3 3" xfId="13254" xr:uid="{00000000-0005-0000-0000-0000F7370000}"/>
    <cellStyle name="Normal 26 3 2 3 3 2" xfId="29797" xr:uid="{00000000-0005-0000-0000-0000F8370000}"/>
    <cellStyle name="Normal 26 3 2 3 4" xfId="21754" xr:uid="{00000000-0005-0000-0000-0000F9370000}"/>
    <cellStyle name="Normal 26 3 2 4" xfId="7943" xr:uid="{00000000-0005-0000-0000-0000FA370000}"/>
    <cellStyle name="Normal 26 3 2 4 2" xfId="17121" xr:uid="{00000000-0005-0000-0000-0000FB370000}"/>
    <cellStyle name="Normal 26 3 2 4 2 2" xfId="33695" xr:uid="{00000000-0005-0000-0000-0000FC370000}"/>
    <cellStyle name="Normal 26 3 2 4 3" xfId="25648" xr:uid="{00000000-0005-0000-0000-0000FD370000}"/>
    <cellStyle name="Normal 26 3 2 5" xfId="13251" xr:uid="{00000000-0005-0000-0000-0000FE370000}"/>
    <cellStyle name="Normal 26 3 2 5 2" xfId="29794" xr:uid="{00000000-0005-0000-0000-0000FF370000}"/>
    <cellStyle name="Normal 26 3 2 6" xfId="21751" xr:uid="{00000000-0005-0000-0000-000000380000}"/>
    <cellStyle name="Normal 26 3 3" xfId="3848" xr:uid="{00000000-0005-0000-0000-000001380000}"/>
    <cellStyle name="Normal 26 3 3 2" xfId="3849" xr:uid="{00000000-0005-0000-0000-000002380000}"/>
    <cellStyle name="Normal 26 3 3 2 2" xfId="7944" xr:uid="{00000000-0005-0000-0000-000003380000}"/>
    <cellStyle name="Normal 26 3 3 2 2 2" xfId="17122" xr:uid="{00000000-0005-0000-0000-000004380000}"/>
    <cellStyle name="Normal 26 3 3 2 2 2 2" xfId="33696" xr:uid="{00000000-0005-0000-0000-000005380000}"/>
    <cellStyle name="Normal 26 3 3 2 2 3" xfId="25649" xr:uid="{00000000-0005-0000-0000-000006380000}"/>
    <cellStyle name="Normal 26 3 3 2 3" xfId="13256" xr:uid="{00000000-0005-0000-0000-000007380000}"/>
    <cellStyle name="Normal 26 3 3 2 3 2" xfId="29799" xr:uid="{00000000-0005-0000-0000-000008380000}"/>
    <cellStyle name="Normal 26 3 3 2 4" xfId="21756" xr:uid="{00000000-0005-0000-0000-000009380000}"/>
    <cellStyle name="Normal 26 3 3 3" xfId="7945" xr:uid="{00000000-0005-0000-0000-00000A380000}"/>
    <cellStyle name="Normal 26 3 3 3 2" xfId="17123" xr:uid="{00000000-0005-0000-0000-00000B380000}"/>
    <cellStyle name="Normal 26 3 3 3 2 2" xfId="33697" xr:uid="{00000000-0005-0000-0000-00000C380000}"/>
    <cellStyle name="Normal 26 3 3 3 3" xfId="25650" xr:uid="{00000000-0005-0000-0000-00000D380000}"/>
    <cellStyle name="Normal 26 3 3 4" xfId="13255" xr:uid="{00000000-0005-0000-0000-00000E380000}"/>
    <cellStyle name="Normal 26 3 3 4 2" xfId="29798" xr:uid="{00000000-0005-0000-0000-00000F380000}"/>
    <cellStyle name="Normal 26 3 3 5" xfId="21755" xr:uid="{00000000-0005-0000-0000-000010380000}"/>
    <cellStyle name="Normal 26 3 4" xfId="3850" xr:uid="{00000000-0005-0000-0000-000011380000}"/>
    <cellStyle name="Normal 26 3 4 2" xfId="7946" xr:uid="{00000000-0005-0000-0000-000012380000}"/>
    <cellStyle name="Normal 26 3 4 2 2" xfId="17124" xr:uid="{00000000-0005-0000-0000-000013380000}"/>
    <cellStyle name="Normal 26 3 4 2 2 2" xfId="33698" xr:uid="{00000000-0005-0000-0000-000014380000}"/>
    <cellStyle name="Normal 26 3 4 2 3" xfId="25651" xr:uid="{00000000-0005-0000-0000-000015380000}"/>
    <cellStyle name="Normal 26 3 4 3" xfId="13257" xr:uid="{00000000-0005-0000-0000-000016380000}"/>
    <cellStyle name="Normal 26 3 4 3 2" xfId="29800" xr:uid="{00000000-0005-0000-0000-000017380000}"/>
    <cellStyle name="Normal 26 3 4 4" xfId="21757" xr:uid="{00000000-0005-0000-0000-000018380000}"/>
    <cellStyle name="Normal 26 3 5" xfId="3851" xr:uid="{00000000-0005-0000-0000-000019380000}"/>
    <cellStyle name="Normal 26 3 5 2" xfId="13258" xr:uid="{00000000-0005-0000-0000-00001A380000}"/>
    <cellStyle name="Normal 26 3 5 2 2" xfId="29801" xr:uid="{00000000-0005-0000-0000-00001B380000}"/>
    <cellStyle name="Normal 26 3 5 3" xfId="21758" xr:uid="{00000000-0005-0000-0000-00001C380000}"/>
    <cellStyle name="Normal 26 4" xfId="3852" xr:uid="{00000000-0005-0000-0000-00001D380000}"/>
    <cellStyle name="Normal 26 4 2" xfId="3853" xr:uid="{00000000-0005-0000-0000-00001E380000}"/>
    <cellStyle name="Normal 26 4 2 2" xfId="3854" xr:uid="{00000000-0005-0000-0000-00001F380000}"/>
    <cellStyle name="Normal 26 4 2 2 2" xfId="3855" xr:uid="{00000000-0005-0000-0000-000020380000}"/>
    <cellStyle name="Normal 26 4 2 2 2 2" xfId="7947" xr:uid="{00000000-0005-0000-0000-000021380000}"/>
    <cellStyle name="Normal 26 4 2 2 2 2 2" xfId="17125" xr:uid="{00000000-0005-0000-0000-000022380000}"/>
    <cellStyle name="Normal 26 4 2 2 2 2 2 2" xfId="33699" xr:uid="{00000000-0005-0000-0000-000023380000}"/>
    <cellStyle name="Normal 26 4 2 2 2 2 3" xfId="25652" xr:uid="{00000000-0005-0000-0000-000024380000}"/>
    <cellStyle name="Normal 26 4 2 2 2 3" xfId="13262" xr:uid="{00000000-0005-0000-0000-000025380000}"/>
    <cellStyle name="Normal 26 4 2 2 2 3 2" xfId="29805" xr:uid="{00000000-0005-0000-0000-000026380000}"/>
    <cellStyle name="Normal 26 4 2 2 2 4" xfId="21762" xr:uid="{00000000-0005-0000-0000-000027380000}"/>
    <cellStyle name="Normal 26 4 2 2 3" xfId="7948" xr:uid="{00000000-0005-0000-0000-000028380000}"/>
    <cellStyle name="Normal 26 4 2 2 3 2" xfId="17126" xr:uid="{00000000-0005-0000-0000-000029380000}"/>
    <cellStyle name="Normal 26 4 2 2 3 2 2" xfId="33700" xr:uid="{00000000-0005-0000-0000-00002A380000}"/>
    <cellStyle name="Normal 26 4 2 2 3 3" xfId="25653" xr:uid="{00000000-0005-0000-0000-00002B380000}"/>
    <cellStyle name="Normal 26 4 2 2 4" xfId="13261" xr:uid="{00000000-0005-0000-0000-00002C380000}"/>
    <cellStyle name="Normal 26 4 2 2 4 2" xfId="29804" xr:uid="{00000000-0005-0000-0000-00002D380000}"/>
    <cellStyle name="Normal 26 4 2 2 5" xfId="21761" xr:uid="{00000000-0005-0000-0000-00002E380000}"/>
    <cellStyle name="Normal 26 4 2 3" xfId="3856" xr:uid="{00000000-0005-0000-0000-00002F380000}"/>
    <cellStyle name="Normal 26 4 2 3 2" xfId="7949" xr:uid="{00000000-0005-0000-0000-000030380000}"/>
    <cellStyle name="Normal 26 4 2 3 2 2" xfId="17127" xr:uid="{00000000-0005-0000-0000-000031380000}"/>
    <cellStyle name="Normal 26 4 2 3 2 2 2" xfId="33701" xr:uid="{00000000-0005-0000-0000-000032380000}"/>
    <cellStyle name="Normal 26 4 2 3 2 3" xfId="25654" xr:uid="{00000000-0005-0000-0000-000033380000}"/>
    <cellStyle name="Normal 26 4 2 3 3" xfId="13263" xr:uid="{00000000-0005-0000-0000-000034380000}"/>
    <cellStyle name="Normal 26 4 2 3 3 2" xfId="29806" xr:uid="{00000000-0005-0000-0000-000035380000}"/>
    <cellStyle name="Normal 26 4 2 3 4" xfId="21763" xr:uid="{00000000-0005-0000-0000-000036380000}"/>
    <cellStyle name="Normal 26 4 2 4" xfId="7950" xr:uid="{00000000-0005-0000-0000-000037380000}"/>
    <cellStyle name="Normal 26 4 2 4 2" xfId="17128" xr:uid="{00000000-0005-0000-0000-000038380000}"/>
    <cellStyle name="Normal 26 4 2 4 2 2" xfId="33702" xr:uid="{00000000-0005-0000-0000-000039380000}"/>
    <cellStyle name="Normal 26 4 2 4 3" xfId="25655" xr:uid="{00000000-0005-0000-0000-00003A380000}"/>
    <cellStyle name="Normal 26 4 2 5" xfId="13260" xr:uid="{00000000-0005-0000-0000-00003B380000}"/>
    <cellStyle name="Normal 26 4 2 5 2" xfId="29803" xr:uid="{00000000-0005-0000-0000-00003C380000}"/>
    <cellStyle name="Normal 26 4 2 6" xfId="21760" xr:uid="{00000000-0005-0000-0000-00003D380000}"/>
    <cellStyle name="Normal 26 4 3" xfId="3857" xr:uid="{00000000-0005-0000-0000-00003E380000}"/>
    <cellStyle name="Normal 26 4 3 2" xfId="3858" xr:uid="{00000000-0005-0000-0000-00003F380000}"/>
    <cellStyle name="Normal 26 4 3 2 2" xfId="7951" xr:uid="{00000000-0005-0000-0000-000040380000}"/>
    <cellStyle name="Normal 26 4 3 2 2 2" xfId="17129" xr:uid="{00000000-0005-0000-0000-000041380000}"/>
    <cellStyle name="Normal 26 4 3 2 2 2 2" xfId="33703" xr:uid="{00000000-0005-0000-0000-000042380000}"/>
    <cellStyle name="Normal 26 4 3 2 2 3" xfId="25656" xr:uid="{00000000-0005-0000-0000-000043380000}"/>
    <cellStyle name="Normal 26 4 3 2 3" xfId="13265" xr:uid="{00000000-0005-0000-0000-000044380000}"/>
    <cellStyle name="Normal 26 4 3 2 3 2" xfId="29808" xr:uid="{00000000-0005-0000-0000-000045380000}"/>
    <cellStyle name="Normal 26 4 3 2 4" xfId="21765" xr:uid="{00000000-0005-0000-0000-000046380000}"/>
    <cellStyle name="Normal 26 4 3 3" xfId="7952" xr:uid="{00000000-0005-0000-0000-000047380000}"/>
    <cellStyle name="Normal 26 4 3 3 2" xfId="17130" xr:uid="{00000000-0005-0000-0000-000048380000}"/>
    <cellStyle name="Normal 26 4 3 3 2 2" xfId="33704" xr:uid="{00000000-0005-0000-0000-000049380000}"/>
    <cellStyle name="Normal 26 4 3 3 3" xfId="25657" xr:uid="{00000000-0005-0000-0000-00004A380000}"/>
    <cellStyle name="Normal 26 4 3 4" xfId="13264" xr:uid="{00000000-0005-0000-0000-00004B380000}"/>
    <cellStyle name="Normal 26 4 3 4 2" xfId="29807" xr:uid="{00000000-0005-0000-0000-00004C380000}"/>
    <cellStyle name="Normal 26 4 3 5" xfId="21764" xr:uid="{00000000-0005-0000-0000-00004D380000}"/>
    <cellStyle name="Normal 26 4 4" xfId="3859" xr:uid="{00000000-0005-0000-0000-00004E380000}"/>
    <cellStyle name="Normal 26 4 4 2" xfId="7953" xr:uid="{00000000-0005-0000-0000-00004F380000}"/>
    <cellStyle name="Normal 26 4 4 2 2" xfId="17131" xr:uid="{00000000-0005-0000-0000-000050380000}"/>
    <cellStyle name="Normal 26 4 4 2 2 2" xfId="33705" xr:uid="{00000000-0005-0000-0000-000051380000}"/>
    <cellStyle name="Normal 26 4 4 2 3" xfId="25658" xr:uid="{00000000-0005-0000-0000-000052380000}"/>
    <cellStyle name="Normal 26 4 4 3" xfId="13266" xr:uid="{00000000-0005-0000-0000-000053380000}"/>
    <cellStyle name="Normal 26 4 4 3 2" xfId="29809" xr:uid="{00000000-0005-0000-0000-000054380000}"/>
    <cellStyle name="Normal 26 4 4 4" xfId="21766" xr:uid="{00000000-0005-0000-0000-000055380000}"/>
    <cellStyle name="Normal 26 4 5" xfId="7954" xr:uid="{00000000-0005-0000-0000-000056380000}"/>
    <cellStyle name="Normal 26 4 5 2" xfId="17132" xr:uid="{00000000-0005-0000-0000-000057380000}"/>
    <cellStyle name="Normal 26 4 5 2 2" xfId="33706" xr:uid="{00000000-0005-0000-0000-000058380000}"/>
    <cellStyle name="Normal 26 4 5 3" xfId="25659" xr:uid="{00000000-0005-0000-0000-000059380000}"/>
    <cellStyle name="Normal 26 4 6" xfId="13259" xr:uid="{00000000-0005-0000-0000-00005A380000}"/>
    <cellStyle name="Normal 26 4 6 2" xfId="29802" xr:uid="{00000000-0005-0000-0000-00005B380000}"/>
    <cellStyle name="Normal 26 4 7" xfId="21759" xr:uid="{00000000-0005-0000-0000-00005C380000}"/>
    <cellStyle name="Normal 26 5" xfId="3860" xr:uid="{00000000-0005-0000-0000-00005D380000}"/>
    <cellStyle name="Normal 26 5 2" xfId="3861" xr:uid="{00000000-0005-0000-0000-00005E380000}"/>
    <cellStyle name="Normal 26 5 2 2" xfId="3862" xr:uid="{00000000-0005-0000-0000-00005F380000}"/>
    <cellStyle name="Normal 26 5 2 2 2" xfId="3863" xr:uid="{00000000-0005-0000-0000-000060380000}"/>
    <cellStyle name="Normal 26 5 2 2 2 2" xfId="7955" xr:uid="{00000000-0005-0000-0000-000061380000}"/>
    <cellStyle name="Normal 26 5 2 2 2 2 2" xfId="17133" xr:uid="{00000000-0005-0000-0000-000062380000}"/>
    <cellStyle name="Normal 26 5 2 2 2 2 2 2" xfId="33707" xr:uid="{00000000-0005-0000-0000-000063380000}"/>
    <cellStyle name="Normal 26 5 2 2 2 2 3" xfId="25660" xr:uid="{00000000-0005-0000-0000-000064380000}"/>
    <cellStyle name="Normal 26 5 2 2 2 3" xfId="13270" xr:uid="{00000000-0005-0000-0000-000065380000}"/>
    <cellStyle name="Normal 26 5 2 2 2 3 2" xfId="29813" xr:uid="{00000000-0005-0000-0000-000066380000}"/>
    <cellStyle name="Normal 26 5 2 2 2 4" xfId="21770" xr:uid="{00000000-0005-0000-0000-000067380000}"/>
    <cellStyle name="Normal 26 5 2 2 3" xfId="7956" xr:uid="{00000000-0005-0000-0000-000068380000}"/>
    <cellStyle name="Normal 26 5 2 2 3 2" xfId="17134" xr:uid="{00000000-0005-0000-0000-000069380000}"/>
    <cellStyle name="Normal 26 5 2 2 3 2 2" xfId="33708" xr:uid="{00000000-0005-0000-0000-00006A380000}"/>
    <cellStyle name="Normal 26 5 2 2 3 3" xfId="25661" xr:uid="{00000000-0005-0000-0000-00006B380000}"/>
    <cellStyle name="Normal 26 5 2 2 4" xfId="13269" xr:uid="{00000000-0005-0000-0000-00006C380000}"/>
    <cellStyle name="Normal 26 5 2 2 4 2" xfId="29812" xr:uid="{00000000-0005-0000-0000-00006D380000}"/>
    <cellStyle name="Normal 26 5 2 2 5" xfId="21769" xr:uid="{00000000-0005-0000-0000-00006E380000}"/>
    <cellStyle name="Normal 26 5 2 3" xfId="3864" xr:uid="{00000000-0005-0000-0000-00006F380000}"/>
    <cellStyle name="Normal 26 5 2 3 2" xfId="7957" xr:uid="{00000000-0005-0000-0000-000070380000}"/>
    <cellStyle name="Normal 26 5 2 3 2 2" xfId="17135" xr:uid="{00000000-0005-0000-0000-000071380000}"/>
    <cellStyle name="Normal 26 5 2 3 2 2 2" xfId="33709" xr:uid="{00000000-0005-0000-0000-000072380000}"/>
    <cellStyle name="Normal 26 5 2 3 2 3" xfId="25662" xr:uid="{00000000-0005-0000-0000-000073380000}"/>
    <cellStyle name="Normal 26 5 2 3 3" xfId="13271" xr:uid="{00000000-0005-0000-0000-000074380000}"/>
    <cellStyle name="Normal 26 5 2 3 3 2" xfId="29814" xr:uid="{00000000-0005-0000-0000-000075380000}"/>
    <cellStyle name="Normal 26 5 2 3 4" xfId="21771" xr:uid="{00000000-0005-0000-0000-000076380000}"/>
    <cellStyle name="Normal 26 5 2 4" xfId="7958" xr:uid="{00000000-0005-0000-0000-000077380000}"/>
    <cellStyle name="Normal 26 5 2 4 2" xfId="17136" xr:uid="{00000000-0005-0000-0000-000078380000}"/>
    <cellStyle name="Normal 26 5 2 4 2 2" xfId="33710" xr:uid="{00000000-0005-0000-0000-000079380000}"/>
    <cellStyle name="Normal 26 5 2 4 3" xfId="25663" xr:uid="{00000000-0005-0000-0000-00007A380000}"/>
    <cellStyle name="Normal 26 5 2 5" xfId="13268" xr:uid="{00000000-0005-0000-0000-00007B380000}"/>
    <cellStyle name="Normal 26 5 2 5 2" xfId="29811" xr:uid="{00000000-0005-0000-0000-00007C380000}"/>
    <cellStyle name="Normal 26 5 2 6" xfId="21768" xr:uid="{00000000-0005-0000-0000-00007D380000}"/>
    <cellStyle name="Normal 26 5 3" xfId="3865" xr:uid="{00000000-0005-0000-0000-00007E380000}"/>
    <cellStyle name="Normal 26 5 3 2" xfId="3866" xr:uid="{00000000-0005-0000-0000-00007F380000}"/>
    <cellStyle name="Normal 26 5 3 2 2" xfId="7959" xr:uid="{00000000-0005-0000-0000-000080380000}"/>
    <cellStyle name="Normal 26 5 3 2 2 2" xfId="17137" xr:uid="{00000000-0005-0000-0000-000081380000}"/>
    <cellStyle name="Normal 26 5 3 2 2 2 2" xfId="33711" xr:uid="{00000000-0005-0000-0000-000082380000}"/>
    <cellStyle name="Normal 26 5 3 2 2 3" xfId="25664" xr:uid="{00000000-0005-0000-0000-000083380000}"/>
    <cellStyle name="Normal 26 5 3 2 3" xfId="13273" xr:uid="{00000000-0005-0000-0000-000084380000}"/>
    <cellStyle name="Normal 26 5 3 2 3 2" xfId="29816" xr:uid="{00000000-0005-0000-0000-000085380000}"/>
    <cellStyle name="Normal 26 5 3 2 4" xfId="21773" xr:uid="{00000000-0005-0000-0000-000086380000}"/>
    <cellStyle name="Normal 26 5 3 3" xfId="7960" xr:uid="{00000000-0005-0000-0000-000087380000}"/>
    <cellStyle name="Normal 26 5 3 3 2" xfId="17138" xr:uid="{00000000-0005-0000-0000-000088380000}"/>
    <cellStyle name="Normal 26 5 3 3 2 2" xfId="33712" xr:uid="{00000000-0005-0000-0000-000089380000}"/>
    <cellStyle name="Normal 26 5 3 3 3" xfId="25665" xr:uid="{00000000-0005-0000-0000-00008A380000}"/>
    <cellStyle name="Normal 26 5 3 4" xfId="13272" xr:uid="{00000000-0005-0000-0000-00008B380000}"/>
    <cellStyle name="Normal 26 5 3 4 2" xfId="29815" xr:uid="{00000000-0005-0000-0000-00008C380000}"/>
    <cellStyle name="Normal 26 5 3 5" xfId="21772" xr:uid="{00000000-0005-0000-0000-00008D380000}"/>
    <cellStyle name="Normal 26 5 4" xfId="3867" xr:uid="{00000000-0005-0000-0000-00008E380000}"/>
    <cellStyle name="Normal 26 5 4 2" xfId="7961" xr:uid="{00000000-0005-0000-0000-00008F380000}"/>
    <cellStyle name="Normal 26 5 4 2 2" xfId="17139" xr:uid="{00000000-0005-0000-0000-000090380000}"/>
    <cellStyle name="Normal 26 5 4 2 2 2" xfId="33713" xr:uid="{00000000-0005-0000-0000-000091380000}"/>
    <cellStyle name="Normal 26 5 4 2 3" xfId="25666" xr:uid="{00000000-0005-0000-0000-000092380000}"/>
    <cellStyle name="Normal 26 5 4 3" xfId="13274" xr:uid="{00000000-0005-0000-0000-000093380000}"/>
    <cellStyle name="Normal 26 5 4 3 2" xfId="29817" xr:uid="{00000000-0005-0000-0000-000094380000}"/>
    <cellStyle name="Normal 26 5 4 4" xfId="21774" xr:uid="{00000000-0005-0000-0000-000095380000}"/>
    <cellStyle name="Normal 26 5 5" xfId="7962" xr:uid="{00000000-0005-0000-0000-000096380000}"/>
    <cellStyle name="Normal 26 5 5 2" xfId="17140" xr:uid="{00000000-0005-0000-0000-000097380000}"/>
    <cellStyle name="Normal 26 5 5 2 2" xfId="33714" xr:uid="{00000000-0005-0000-0000-000098380000}"/>
    <cellStyle name="Normal 26 5 5 3" xfId="25667" xr:uid="{00000000-0005-0000-0000-000099380000}"/>
    <cellStyle name="Normal 26 5 6" xfId="13267" xr:uid="{00000000-0005-0000-0000-00009A380000}"/>
    <cellStyle name="Normal 26 5 6 2" xfId="29810" xr:uid="{00000000-0005-0000-0000-00009B380000}"/>
    <cellStyle name="Normal 26 5 7" xfId="21767" xr:uid="{00000000-0005-0000-0000-00009C380000}"/>
    <cellStyle name="Normal 26 6" xfId="3868" xr:uid="{00000000-0005-0000-0000-00009D380000}"/>
    <cellStyle name="Normal 26 6 2" xfId="3869" xr:uid="{00000000-0005-0000-0000-00009E380000}"/>
    <cellStyle name="Normal 26 6 2 2" xfId="3870" xr:uid="{00000000-0005-0000-0000-00009F380000}"/>
    <cellStyle name="Normal 26 6 2 2 2" xfId="7963" xr:uid="{00000000-0005-0000-0000-0000A0380000}"/>
    <cellStyle name="Normal 26 6 2 2 2 2" xfId="17141" xr:uid="{00000000-0005-0000-0000-0000A1380000}"/>
    <cellStyle name="Normal 26 6 2 2 2 2 2" xfId="33715" xr:uid="{00000000-0005-0000-0000-0000A2380000}"/>
    <cellStyle name="Normal 26 6 2 2 2 3" xfId="25668" xr:uid="{00000000-0005-0000-0000-0000A3380000}"/>
    <cellStyle name="Normal 26 6 2 2 3" xfId="13277" xr:uid="{00000000-0005-0000-0000-0000A4380000}"/>
    <cellStyle name="Normal 26 6 2 2 3 2" xfId="29820" xr:uid="{00000000-0005-0000-0000-0000A5380000}"/>
    <cellStyle name="Normal 26 6 2 2 4" xfId="21777" xr:uid="{00000000-0005-0000-0000-0000A6380000}"/>
    <cellStyle name="Normal 26 6 2 3" xfId="7964" xr:uid="{00000000-0005-0000-0000-0000A7380000}"/>
    <cellStyle name="Normal 26 6 2 3 2" xfId="17142" xr:uid="{00000000-0005-0000-0000-0000A8380000}"/>
    <cellStyle name="Normal 26 6 2 3 2 2" xfId="33716" xr:uid="{00000000-0005-0000-0000-0000A9380000}"/>
    <cellStyle name="Normal 26 6 2 3 3" xfId="25669" xr:uid="{00000000-0005-0000-0000-0000AA380000}"/>
    <cellStyle name="Normal 26 6 2 4" xfId="13276" xr:uid="{00000000-0005-0000-0000-0000AB380000}"/>
    <cellStyle name="Normal 26 6 2 4 2" xfId="29819" xr:uid="{00000000-0005-0000-0000-0000AC380000}"/>
    <cellStyle name="Normal 26 6 2 5" xfId="21776" xr:uid="{00000000-0005-0000-0000-0000AD380000}"/>
    <cellStyle name="Normal 26 6 3" xfId="3871" xr:uid="{00000000-0005-0000-0000-0000AE380000}"/>
    <cellStyle name="Normal 26 6 3 2" xfId="7965" xr:uid="{00000000-0005-0000-0000-0000AF380000}"/>
    <cellStyle name="Normal 26 6 3 2 2" xfId="17143" xr:uid="{00000000-0005-0000-0000-0000B0380000}"/>
    <cellStyle name="Normal 26 6 3 2 2 2" xfId="33717" xr:uid="{00000000-0005-0000-0000-0000B1380000}"/>
    <cellStyle name="Normal 26 6 3 2 3" xfId="25670" xr:uid="{00000000-0005-0000-0000-0000B2380000}"/>
    <cellStyle name="Normal 26 6 3 3" xfId="13278" xr:uid="{00000000-0005-0000-0000-0000B3380000}"/>
    <cellStyle name="Normal 26 6 3 3 2" xfId="29821" xr:uid="{00000000-0005-0000-0000-0000B4380000}"/>
    <cellStyle name="Normal 26 6 3 4" xfId="21778" xr:uid="{00000000-0005-0000-0000-0000B5380000}"/>
    <cellStyle name="Normal 26 6 4" xfId="7966" xr:uid="{00000000-0005-0000-0000-0000B6380000}"/>
    <cellStyle name="Normal 26 6 4 2" xfId="17144" xr:uid="{00000000-0005-0000-0000-0000B7380000}"/>
    <cellStyle name="Normal 26 6 4 2 2" xfId="33718" xr:uid="{00000000-0005-0000-0000-0000B8380000}"/>
    <cellStyle name="Normal 26 6 4 3" xfId="25671" xr:uid="{00000000-0005-0000-0000-0000B9380000}"/>
    <cellStyle name="Normal 26 6 5" xfId="13275" xr:uid="{00000000-0005-0000-0000-0000BA380000}"/>
    <cellStyle name="Normal 26 6 5 2" xfId="29818" xr:uid="{00000000-0005-0000-0000-0000BB380000}"/>
    <cellStyle name="Normal 26 6 6" xfId="21775" xr:uid="{00000000-0005-0000-0000-0000BC380000}"/>
    <cellStyle name="Normal 26 7" xfId="3872" xr:uid="{00000000-0005-0000-0000-0000BD380000}"/>
    <cellStyle name="Normal 26 7 2" xfId="3873" xr:uid="{00000000-0005-0000-0000-0000BE380000}"/>
    <cellStyle name="Normal 26 7 2 2" xfId="7967" xr:uid="{00000000-0005-0000-0000-0000BF380000}"/>
    <cellStyle name="Normal 26 7 2 2 2" xfId="17145" xr:uid="{00000000-0005-0000-0000-0000C0380000}"/>
    <cellStyle name="Normal 26 7 2 2 2 2" xfId="33719" xr:uid="{00000000-0005-0000-0000-0000C1380000}"/>
    <cellStyle name="Normal 26 7 2 2 3" xfId="25672" xr:uid="{00000000-0005-0000-0000-0000C2380000}"/>
    <cellStyle name="Normal 26 7 2 3" xfId="13280" xr:uid="{00000000-0005-0000-0000-0000C3380000}"/>
    <cellStyle name="Normal 26 7 2 3 2" xfId="29823" xr:uid="{00000000-0005-0000-0000-0000C4380000}"/>
    <cellStyle name="Normal 26 7 2 4" xfId="21780" xr:uid="{00000000-0005-0000-0000-0000C5380000}"/>
    <cellStyle name="Normal 26 7 3" xfId="7968" xr:uid="{00000000-0005-0000-0000-0000C6380000}"/>
    <cellStyle name="Normal 26 7 3 2" xfId="17146" xr:uid="{00000000-0005-0000-0000-0000C7380000}"/>
    <cellStyle name="Normal 26 7 3 2 2" xfId="33720" xr:uid="{00000000-0005-0000-0000-0000C8380000}"/>
    <cellStyle name="Normal 26 7 3 3" xfId="25673" xr:uid="{00000000-0005-0000-0000-0000C9380000}"/>
    <cellStyle name="Normal 26 7 4" xfId="13279" xr:uid="{00000000-0005-0000-0000-0000CA380000}"/>
    <cellStyle name="Normal 26 7 4 2" xfId="29822" xr:uid="{00000000-0005-0000-0000-0000CB380000}"/>
    <cellStyle name="Normal 26 7 5" xfId="21779" xr:uid="{00000000-0005-0000-0000-0000CC380000}"/>
    <cellStyle name="Normal 26 8" xfId="3874" xr:uid="{00000000-0005-0000-0000-0000CD380000}"/>
    <cellStyle name="Normal 26 8 2" xfId="7969" xr:uid="{00000000-0005-0000-0000-0000CE380000}"/>
    <cellStyle name="Normal 26 8 2 2" xfId="17147" xr:uid="{00000000-0005-0000-0000-0000CF380000}"/>
    <cellStyle name="Normal 26 8 2 2 2" xfId="33721" xr:uid="{00000000-0005-0000-0000-0000D0380000}"/>
    <cellStyle name="Normal 26 8 2 3" xfId="25674" xr:uid="{00000000-0005-0000-0000-0000D1380000}"/>
    <cellStyle name="Normal 26 8 3" xfId="13281" xr:uid="{00000000-0005-0000-0000-0000D2380000}"/>
    <cellStyle name="Normal 26 8 3 2" xfId="29824" xr:uid="{00000000-0005-0000-0000-0000D3380000}"/>
    <cellStyle name="Normal 26 8 4" xfId="21781" xr:uid="{00000000-0005-0000-0000-0000D4380000}"/>
    <cellStyle name="Normal 26 9" xfId="7970" xr:uid="{00000000-0005-0000-0000-0000D5380000}"/>
    <cellStyle name="Normal 26 9 2" xfId="17148" xr:uid="{00000000-0005-0000-0000-0000D6380000}"/>
    <cellStyle name="Normal 26 9 2 2" xfId="33722" xr:uid="{00000000-0005-0000-0000-0000D7380000}"/>
    <cellStyle name="Normal 26 9 3" xfId="25675" xr:uid="{00000000-0005-0000-0000-0000D8380000}"/>
    <cellStyle name="Normal 260" xfId="10797" xr:uid="{00000000-0005-0000-0000-0000D9380000}"/>
    <cellStyle name="Normal 261" xfId="10800" xr:uid="{00000000-0005-0000-0000-0000DA380000}"/>
    <cellStyle name="Normal 262" xfId="10803" xr:uid="{00000000-0005-0000-0000-0000DB380000}"/>
    <cellStyle name="Normal 263" xfId="10806" xr:uid="{00000000-0005-0000-0000-0000DC380000}"/>
    <cellStyle name="Normal 264" xfId="10809" xr:uid="{00000000-0005-0000-0000-0000DD380000}"/>
    <cellStyle name="Normal 265" xfId="10812" xr:uid="{00000000-0005-0000-0000-0000DE380000}"/>
    <cellStyle name="Normal 266" xfId="10815" xr:uid="{00000000-0005-0000-0000-0000DF380000}"/>
    <cellStyle name="Normal 267" xfId="10818" xr:uid="{00000000-0005-0000-0000-0000E0380000}"/>
    <cellStyle name="Normal 268" xfId="10821" xr:uid="{00000000-0005-0000-0000-0000E1380000}"/>
    <cellStyle name="Normal 269" xfId="10824" xr:uid="{00000000-0005-0000-0000-0000E2380000}"/>
    <cellStyle name="Normal 27" xfId="3875" xr:uid="{00000000-0005-0000-0000-0000E3380000}"/>
    <cellStyle name="Normal 27 10" xfId="13282" xr:uid="{00000000-0005-0000-0000-0000E4380000}"/>
    <cellStyle name="Normal 27 10 2" xfId="29825" xr:uid="{00000000-0005-0000-0000-0000E5380000}"/>
    <cellStyle name="Normal 27 11" xfId="21782" xr:uid="{00000000-0005-0000-0000-0000E6380000}"/>
    <cellStyle name="Normal 27 2" xfId="3876" xr:uid="{00000000-0005-0000-0000-0000E7380000}"/>
    <cellStyle name="Normal 27 2 2" xfId="3877" xr:uid="{00000000-0005-0000-0000-0000E8380000}"/>
    <cellStyle name="Normal 27 2 3" xfId="13283" xr:uid="{00000000-0005-0000-0000-0000E9380000}"/>
    <cellStyle name="Normal 27 2 3 2" xfId="29826" xr:uid="{00000000-0005-0000-0000-0000EA380000}"/>
    <cellStyle name="Normal 27 2 4" xfId="21783" xr:uid="{00000000-0005-0000-0000-0000EB380000}"/>
    <cellStyle name="Normal 27 3" xfId="3878" xr:uid="{00000000-0005-0000-0000-0000EC380000}"/>
    <cellStyle name="Normal 27 3 2" xfId="3879" xr:uid="{00000000-0005-0000-0000-0000ED380000}"/>
    <cellStyle name="Normal 27 3 2 2" xfId="3880" xr:uid="{00000000-0005-0000-0000-0000EE380000}"/>
    <cellStyle name="Normal 27 3 2 2 2" xfId="3881" xr:uid="{00000000-0005-0000-0000-0000EF380000}"/>
    <cellStyle name="Normal 27 3 2 2 2 2" xfId="7971" xr:uid="{00000000-0005-0000-0000-0000F0380000}"/>
    <cellStyle name="Normal 27 3 2 2 2 2 2" xfId="17149" xr:uid="{00000000-0005-0000-0000-0000F1380000}"/>
    <cellStyle name="Normal 27 3 2 2 2 2 2 2" xfId="33723" xr:uid="{00000000-0005-0000-0000-0000F2380000}"/>
    <cellStyle name="Normal 27 3 2 2 2 2 3" xfId="25676" xr:uid="{00000000-0005-0000-0000-0000F3380000}"/>
    <cellStyle name="Normal 27 3 2 2 2 3" xfId="13286" xr:uid="{00000000-0005-0000-0000-0000F4380000}"/>
    <cellStyle name="Normal 27 3 2 2 2 3 2" xfId="29829" xr:uid="{00000000-0005-0000-0000-0000F5380000}"/>
    <cellStyle name="Normal 27 3 2 2 2 4" xfId="21786" xr:uid="{00000000-0005-0000-0000-0000F6380000}"/>
    <cellStyle name="Normal 27 3 2 2 3" xfId="7972" xr:uid="{00000000-0005-0000-0000-0000F7380000}"/>
    <cellStyle name="Normal 27 3 2 2 3 2" xfId="17150" xr:uid="{00000000-0005-0000-0000-0000F8380000}"/>
    <cellStyle name="Normal 27 3 2 2 3 2 2" xfId="33724" xr:uid="{00000000-0005-0000-0000-0000F9380000}"/>
    <cellStyle name="Normal 27 3 2 2 3 3" xfId="25677" xr:uid="{00000000-0005-0000-0000-0000FA380000}"/>
    <cellStyle name="Normal 27 3 2 2 4" xfId="13285" xr:uid="{00000000-0005-0000-0000-0000FB380000}"/>
    <cellStyle name="Normal 27 3 2 2 4 2" xfId="29828" xr:uid="{00000000-0005-0000-0000-0000FC380000}"/>
    <cellStyle name="Normal 27 3 2 2 5" xfId="21785" xr:uid="{00000000-0005-0000-0000-0000FD380000}"/>
    <cellStyle name="Normal 27 3 2 3" xfId="3882" xr:uid="{00000000-0005-0000-0000-0000FE380000}"/>
    <cellStyle name="Normal 27 3 2 3 2" xfId="7973" xr:uid="{00000000-0005-0000-0000-0000FF380000}"/>
    <cellStyle name="Normal 27 3 2 3 2 2" xfId="17151" xr:uid="{00000000-0005-0000-0000-000000390000}"/>
    <cellStyle name="Normal 27 3 2 3 2 2 2" xfId="33725" xr:uid="{00000000-0005-0000-0000-000001390000}"/>
    <cellStyle name="Normal 27 3 2 3 2 3" xfId="25678" xr:uid="{00000000-0005-0000-0000-000002390000}"/>
    <cellStyle name="Normal 27 3 2 3 3" xfId="13287" xr:uid="{00000000-0005-0000-0000-000003390000}"/>
    <cellStyle name="Normal 27 3 2 3 3 2" xfId="29830" xr:uid="{00000000-0005-0000-0000-000004390000}"/>
    <cellStyle name="Normal 27 3 2 3 4" xfId="21787" xr:uid="{00000000-0005-0000-0000-000005390000}"/>
    <cellStyle name="Normal 27 3 2 4" xfId="7974" xr:uid="{00000000-0005-0000-0000-000006390000}"/>
    <cellStyle name="Normal 27 3 2 4 2" xfId="17152" xr:uid="{00000000-0005-0000-0000-000007390000}"/>
    <cellStyle name="Normal 27 3 2 4 2 2" xfId="33726" xr:uid="{00000000-0005-0000-0000-000008390000}"/>
    <cellStyle name="Normal 27 3 2 4 3" xfId="25679" xr:uid="{00000000-0005-0000-0000-000009390000}"/>
    <cellStyle name="Normal 27 3 2 5" xfId="13284" xr:uid="{00000000-0005-0000-0000-00000A390000}"/>
    <cellStyle name="Normal 27 3 2 5 2" xfId="29827" xr:uid="{00000000-0005-0000-0000-00000B390000}"/>
    <cellStyle name="Normal 27 3 2 6" xfId="21784" xr:uid="{00000000-0005-0000-0000-00000C390000}"/>
    <cellStyle name="Normal 27 3 3" xfId="3883" xr:uid="{00000000-0005-0000-0000-00000D390000}"/>
    <cellStyle name="Normal 27 3 3 2" xfId="3884" xr:uid="{00000000-0005-0000-0000-00000E390000}"/>
    <cellStyle name="Normal 27 3 3 2 2" xfId="7975" xr:uid="{00000000-0005-0000-0000-00000F390000}"/>
    <cellStyle name="Normal 27 3 3 2 2 2" xfId="17153" xr:uid="{00000000-0005-0000-0000-000010390000}"/>
    <cellStyle name="Normal 27 3 3 2 2 2 2" xfId="33727" xr:uid="{00000000-0005-0000-0000-000011390000}"/>
    <cellStyle name="Normal 27 3 3 2 2 3" xfId="25680" xr:uid="{00000000-0005-0000-0000-000012390000}"/>
    <cellStyle name="Normal 27 3 3 2 3" xfId="13289" xr:uid="{00000000-0005-0000-0000-000013390000}"/>
    <cellStyle name="Normal 27 3 3 2 3 2" xfId="29832" xr:uid="{00000000-0005-0000-0000-000014390000}"/>
    <cellStyle name="Normal 27 3 3 2 4" xfId="21789" xr:uid="{00000000-0005-0000-0000-000015390000}"/>
    <cellStyle name="Normal 27 3 3 3" xfId="7976" xr:uid="{00000000-0005-0000-0000-000016390000}"/>
    <cellStyle name="Normal 27 3 3 3 2" xfId="17154" xr:uid="{00000000-0005-0000-0000-000017390000}"/>
    <cellStyle name="Normal 27 3 3 3 2 2" xfId="33728" xr:uid="{00000000-0005-0000-0000-000018390000}"/>
    <cellStyle name="Normal 27 3 3 3 3" xfId="25681" xr:uid="{00000000-0005-0000-0000-000019390000}"/>
    <cellStyle name="Normal 27 3 3 4" xfId="13288" xr:uid="{00000000-0005-0000-0000-00001A390000}"/>
    <cellStyle name="Normal 27 3 3 4 2" xfId="29831" xr:uid="{00000000-0005-0000-0000-00001B390000}"/>
    <cellStyle name="Normal 27 3 3 5" xfId="21788" xr:uid="{00000000-0005-0000-0000-00001C390000}"/>
    <cellStyle name="Normal 27 3 4" xfId="3885" xr:uid="{00000000-0005-0000-0000-00001D390000}"/>
    <cellStyle name="Normal 27 3 4 2" xfId="7977" xr:uid="{00000000-0005-0000-0000-00001E390000}"/>
    <cellStyle name="Normal 27 3 4 2 2" xfId="17155" xr:uid="{00000000-0005-0000-0000-00001F390000}"/>
    <cellStyle name="Normal 27 3 4 2 2 2" xfId="33729" xr:uid="{00000000-0005-0000-0000-000020390000}"/>
    <cellStyle name="Normal 27 3 4 2 3" xfId="25682" xr:uid="{00000000-0005-0000-0000-000021390000}"/>
    <cellStyle name="Normal 27 3 4 3" xfId="13290" xr:uid="{00000000-0005-0000-0000-000022390000}"/>
    <cellStyle name="Normal 27 3 4 3 2" xfId="29833" xr:uid="{00000000-0005-0000-0000-000023390000}"/>
    <cellStyle name="Normal 27 3 4 4" xfId="21790" xr:uid="{00000000-0005-0000-0000-000024390000}"/>
    <cellStyle name="Normal 27 3 5" xfId="3886" xr:uid="{00000000-0005-0000-0000-000025390000}"/>
    <cellStyle name="Normal 27 3 5 2" xfId="13291" xr:uid="{00000000-0005-0000-0000-000026390000}"/>
    <cellStyle name="Normal 27 3 5 2 2" xfId="29834" xr:uid="{00000000-0005-0000-0000-000027390000}"/>
    <cellStyle name="Normal 27 3 5 3" xfId="21791" xr:uid="{00000000-0005-0000-0000-000028390000}"/>
    <cellStyle name="Normal 27 4" xfId="3887" xr:uid="{00000000-0005-0000-0000-000029390000}"/>
    <cellStyle name="Normal 27 4 2" xfId="3888" xr:uid="{00000000-0005-0000-0000-00002A390000}"/>
    <cellStyle name="Normal 27 4 2 2" xfId="3889" xr:uid="{00000000-0005-0000-0000-00002B390000}"/>
    <cellStyle name="Normal 27 4 2 2 2" xfId="3890" xr:uid="{00000000-0005-0000-0000-00002C390000}"/>
    <cellStyle name="Normal 27 4 2 2 2 2" xfId="7978" xr:uid="{00000000-0005-0000-0000-00002D390000}"/>
    <cellStyle name="Normal 27 4 2 2 2 2 2" xfId="17156" xr:uid="{00000000-0005-0000-0000-00002E390000}"/>
    <cellStyle name="Normal 27 4 2 2 2 2 2 2" xfId="33730" xr:uid="{00000000-0005-0000-0000-00002F390000}"/>
    <cellStyle name="Normal 27 4 2 2 2 2 3" xfId="25683" xr:uid="{00000000-0005-0000-0000-000030390000}"/>
    <cellStyle name="Normal 27 4 2 2 2 3" xfId="13295" xr:uid="{00000000-0005-0000-0000-000031390000}"/>
    <cellStyle name="Normal 27 4 2 2 2 3 2" xfId="29838" xr:uid="{00000000-0005-0000-0000-000032390000}"/>
    <cellStyle name="Normal 27 4 2 2 2 4" xfId="21795" xr:uid="{00000000-0005-0000-0000-000033390000}"/>
    <cellStyle name="Normal 27 4 2 2 3" xfId="7979" xr:uid="{00000000-0005-0000-0000-000034390000}"/>
    <cellStyle name="Normal 27 4 2 2 3 2" xfId="17157" xr:uid="{00000000-0005-0000-0000-000035390000}"/>
    <cellStyle name="Normal 27 4 2 2 3 2 2" xfId="33731" xr:uid="{00000000-0005-0000-0000-000036390000}"/>
    <cellStyle name="Normal 27 4 2 2 3 3" xfId="25684" xr:uid="{00000000-0005-0000-0000-000037390000}"/>
    <cellStyle name="Normal 27 4 2 2 4" xfId="13294" xr:uid="{00000000-0005-0000-0000-000038390000}"/>
    <cellStyle name="Normal 27 4 2 2 4 2" xfId="29837" xr:uid="{00000000-0005-0000-0000-000039390000}"/>
    <cellStyle name="Normal 27 4 2 2 5" xfId="21794" xr:uid="{00000000-0005-0000-0000-00003A390000}"/>
    <cellStyle name="Normal 27 4 2 3" xfId="3891" xr:uid="{00000000-0005-0000-0000-00003B390000}"/>
    <cellStyle name="Normal 27 4 2 3 2" xfId="7980" xr:uid="{00000000-0005-0000-0000-00003C390000}"/>
    <cellStyle name="Normal 27 4 2 3 2 2" xfId="17158" xr:uid="{00000000-0005-0000-0000-00003D390000}"/>
    <cellStyle name="Normal 27 4 2 3 2 2 2" xfId="33732" xr:uid="{00000000-0005-0000-0000-00003E390000}"/>
    <cellStyle name="Normal 27 4 2 3 2 3" xfId="25685" xr:uid="{00000000-0005-0000-0000-00003F390000}"/>
    <cellStyle name="Normal 27 4 2 3 3" xfId="13296" xr:uid="{00000000-0005-0000-0000-000040390000}"/>
    <cellStyle name="Normal 27 4 2 3 3 2" xfId="29839" xr:uid="{00000000-0005-0000-0000-000041390000}"/>
    <cellStyle name="Normal 27 4 2 3 4" xfId="21796" xr:uid="{00000000-0005-0000-0000-000042390000}"/>
    <cellStyle name="Normal 27 4 2 4" xfId="7981" xr:uid="{00000000-0005-0000-0000-000043390000}"/>
    <cellStyle name="Normal 27 4 2 4 2" xfId="17159" xr:uid="{00000000-0005-0000-0000-000044390000}"/>
    <cellStyle name="Normal 27 4 2 4 2 2" xfId="33733" xr:uid="{00000000-0005-0000-0000-000045390000}"/>
    <cellStyle name="Normal 27 4 2 4 3" xfId="25686" xr:uid="{00000000-0005-0000-0000-000046390000}"/>
    <cellStyle name="Normal 27 4 2 5" xfId="13293" xr:uid="{00000000-0005-0000-0000-000047390000}"/>
    <cellStyle name="Normal 27 4 2 5 2" xfId="29836" xr:uid="{00000000-0005-0000-0000-000048390000}"/>
    <cellStyle name="Normal 27 4 2 6" xfId="21793" xr:uid="{00000000-0005-0000-0000-000049390000}"/>
    <cellStyle name="Normal 27 4 3" xfId="3892" xr:uid="{00000000-0005-0000-0000-00004A390000}"/>
    <cellStyle name="Normal 27 4 3 2" xfId="3893" xr:uid="{00000000-0005-0000-0000-00004B390000}"/>
    <cellStyle name="Normal 27 4 3 2 2" xfId="7982" xr:uid="{00000000-0005-0000-0000-00004C390000}"/>
    <cellStyle name="Normal 27 4 3 2 2 2" xfId="17160" xr:uid="{00000000-0005-0000-0000-00004D390000}"/>
    <cellStyle name="Normal 27 4 3 2 2 2 2" xfId="33734" xr:uid="{00000000-0005-0000-0000-00004E390000}"/>
    <cellStyle name="Normal 27 4 3 2 2 3" xfId="25687" xr:uid="{00000000-0005-0000-0000-00004F390000}"/>
    <cellStyle name="Normal 27 4 3 2 3" xfId="13298" xr:uid="{00000000-0005-0000-0000-000050390000}"/>
    <cellStyle name="Normal 27 4 3 2 3 2" xfId="29841" xr:uid="{00000000-0005-0000-0000-000051390000}"/>
    <cellStyle name="Normal 27 4 3 2 4" xfId="21798" xr:uid="{00000000-0005-0000-0000-000052390000}"/>
    <cellStyle name="Normal 27 4 3 3" xfId="7983" xr:uid="{00000000-0005-0000-0000-000053390000}"/>
    <cellStyle name="Normal 27 4 3 3 2" xfId="17161" xr:uid="{00000000-0005-0000-0000-000054390000}"/>
    <cellStyle name="Normal 27 4 3 3 2 2" xfId="33735" xr:uid="{00000000-0005-0000-0000-000055390000}"/>
    <cellStyle name="Normal 27 4 3 3 3" xfId="25688" xr:uid="{00000000-0005-0000-0000-000056390000}"/>
    <cellStyle name="Normal 27 4 3 4" xfId="13297" xr:uid="{00000000-0005-0000-0000-000057390000}"/>
    <cellStyle name="Normal 27 4 3 4 2" xfId="29840" xr:uid="{00000000-0005-0000-0000-000058390000}"/>
    <cellStyle name="Normal 27 4 3 5" xfId="21797" xr:uid="{00000000-0005-0000-0000-000059390000}"/>
    <cellStyle name="Normal 27 4 4" xfId="3894" xr:uid="{00000000-0005-0000-0000-00005A390000}"/>
    <cellStyle name="Normal 27 4 4 2" xfId="7984" xr:uid="{00000000-0005-0000-0000-00005B390000}"/>
    <cellStyle name="Normal 27 4 4 2 2" xfId="17162" xr:uid="{00000000-0005-0000-0000-00005C390000}"/>
    <cellStyle name="Normal 27 4 4 2 2 2" xfId="33736" xr:uid="{00000000-0005-0000-0000-00005D390000}"/>
    <cellStyle name="Normal 27 4 4 2 3" xfId="25689" xr:uid="{00000000-0005-0000-0000-00005E390000}"/>
    <cellStyle name="Normal 27 4 4 3" xfId="13299" xr:uid="{00000000-0005-0000-0000-00005F390000}"/>
    <cellStyle name="Normal 27 4 4 3 2" xfId="29842" xr:uid="{00000000-0005-0000-0000-000060390000}"/>
    <cellStyle name="Normal 27 4 4 4" xfId="21799" xr:uid="{00000000-0005-0000-0000-000061390000}"/>
    <cellStyle name="Normal 27 4 5" xfId="7985" xr:uid="{00000000-0005-0000-0000-000062390000}"/>
    <cellStyle name="Normal 27 4 5 2" xfId="17163" xr:uid="{00000000-0005-0000-0000-000063390000}"/>
    <cellStyle name="Normal 27 4 5 2 2" xfId="33737" xr:uid="{00000000-0005-0000-0000-000064390000}"/>
    <cellStyle name="Normal 27 4 5 3" xfId="25690" xr:uid="{00000000-0005-0000-0000-000065390000}"/>
    <cellStyle name="Normal 27 4 6" xfId="13292" xr:uid="{00000000-0005-0000-0000-000066390000}"/>
    <cellStyle name="Normal 27 4 6 2" xfId="29835" xr:uid="{00000000-0005-0000-0000-000067390000}"/>
    <cellStyle name="Normal 27 4 7" xfId="21792" xr:uid="{00000000-0005-0000-0000-000068390000}"/>
    <cellStyle name="Normal 27 5" xfId="3895" xr:uid="{00000000-0005-0000-0000-000069390000}"/>
    <cellStyle name="Normal 27 5 2" xfId="3896" xr:uid="{00000000-0005-0000-0000-00006A390000}"/>
    <cellStyle name="Normal 27 5 2 2" xfId="3897" xr:uid="{00000000-0005-0000-0000-00006B390000}"/>
    <cellStyle name="Normal 27 5 2 2 2" xfId="3898" xr:uid="{00000000-0005-0000-0000-00006C390000}"/>
    <cellStyle name="Normal 27 5 2 2 2 2" xfId="7986" xr:uid="{00000000-0005-0000-0000-00006D390000}"/>
    <cellStyle name="Normal 27 5 2 2 2 2 2" xfId="17164" xr:uid="{00000000-0005-0000-0000-00006E390000}"/>
    <cellStyle name="Normal 27 5 2 2 2 2 2 2" xfId="33738" xr:uid="{00000000-0005-0000-0000-00006F390000}"/>
    <cellStyle name="Normal 27 5 2 2 2 2 3" xfId="25691" xr:uid="{00000000-0005-0000-0000-000070390000}"/>
    <cellStyle name="Normal 27 5 2 2 2 3" xfId="13303" xr:uid="{00000000-0005-0000-0000-000071390000}"/>
    <cellStyle name="Normal 27 5 2 2 2 3 2" xfId="29846" xr:uid="{00000000-0005-0000-0000-000072390000}"/>
    <cellStyle name="Normal 27 5 2 2 2 4" xfId="21803" xr:uid="{00000000-0005-0000-0000-000073390000}"/>
    <cellStyle name="Normal 27 5 2 2 3" xfId="7987" xr:uid="{00000000-0005-0000-0000-000074390000}"/>
    <cellStyle name="Normal 27 5 2 2 3 2" xfId="17165" xr:uid="{00000000-0005-0000-0000-000075390000}"/>
    <cellStyle name="Normal 27 5 2 2 3 2 2" xfId="33739" xr:uid="{00000000-0005-0000-0000-000076390000}"/>
    <cellStyle name="Normal 27 5 2 2 3 3" xfId="25692" xr:uid="{00000000-0005-0000-0000-000077390000}"/>
    <cellStyle name="Normal 27 5 2 2 4" xfId="13302" xr:uid="{00000000-0005-0000-0000-000078390000}"/>
    <cellStyle name="Normal 27 5 2 2 4 2" xfId="29845" xr:uid="{00000000-0005-0000-0000-000079390000}"/>
    <cellStyle name="Normal 27 5 2 2 5" xfId="21802" xr:uid="{00000000-0005-0000-0000-00007A390000}"/>
    <cellStyle name="Normal 27 5 2 3" xfId="3899" xr:uid="{00000000-0005-0000-0000-00007B390000}"/>
    <cellStyle name="Normal 27 5 2 3 2" xfId="7988" xr:uid="{00000000-0005-0000-0000-00007C390000}"/>
    <cellStyle name="Normal 27 5 2 3 2 2" xfId="17166" xr:uid="{00000000-0005-0000-0000-00007D390000}"/>
    <cellStyle name="Normal 27 5 2 3 2 2 2" xfId="33740" xr:uid="{00000000-0005-0000-0000-00007E390000}"/>
    <cellStyle name="Normal 27 5 2 3 2 3" xfId="25693" xr:uid="{00000000-0005-0000-0000-00007F390000}"/>
    <cellStyle name="Normal 27 5 2 3 3" xfId="13304" xr:uid="{00000000-0005-0000-0000-000080390000}"/>
    <cellStyle name="Normal 27 5 2 3 3 2" xfId="29847" xr:uid="{00000000-0005-0000-0000-000081390000}"/>
    <cellStyle name="Normal 27 5 2 3 4" xfId="21804" xr:uid="{00000000-0005-0000-0000-000082390000}"/>
    <cellStyle name="Normal 27 5 2 4" xfId="7989" xr:uid="{00000000-0005-0000-0000-000083390000}"/>
    <cellStyle name="Normal 27 5 2 4 2" xfId="17167" xr:uid="{00000000-0005-0000-0000-000084390000}"/>
    <cellStyle name="Normal 27 5 2 4 2 2" xfId="33741" xr:uid="{00000000-0005-0000-0000-000085390000}"/>
    <cellStyle name="Normal 27 5 2 4 3" xfId="25694" xr:uid="{00000000-0005-0000-0000-000086390000}"/>
    <cellStyle name="Normal 27 5 2 5" xfId="13301" xr:uid="{00000000-0005-0000-0000-000087390000}"/>
    <cellStyle name="Normal 27 5 2 5 2" xfId="29844" xr:uid="{00000000-0005-0000-0000-000088390000}"/>
    <cellStyle name="Normal 27 5 2 6" xfId="21801" xr:uid="{00000000-0005-0000-0000-000089390000}"/>
    <cellStyle name="Normal 27 5 3" xfId="3900" xr:uid="{00000000-0005-0000-0000-00008A390000}"/>
    <cellStyle name="Normal 27 5 3 2" xfId="3901" xr:uid="{00000000-0005-0000-0000-00008B390000}"/>
    <cellStyle name="Normal 27 5 3 2 2" xfId="7990" xr:uid="{00000000-0005-0000-0000-00008C390000}"/>
    <cellStyle name="Normal 27 5 3 2 2 2" xfId="17168" xr:uid="{00000000-0005-0000-0000-00008D390000}"/>
    <cellStyle name="Normal 27 5 3 2 2 2 2" xfId="33742" xr:uid="{00000000-0005-0000-0000-00008E390000}"/>
    <cellStyle name="Normal 27 5 3 2 2 3" xfId="25695" xr:uid="{00000000-0005-0000-0000-00008F390000}"/>
    <cellStyle name="Normal 27 5 3 2 3" xfId="13306" xr:uid="{00000000-0005-0000-0000-000090390000}"/>
    <cellStyle name="Normal 27 5 3 2 3 2" xfId="29849" xr:uid="{00000000-0005-0000-0000-000091390000}"/>
    <cellStyle name="Normal 27 5 3 2 4" xfId="21806" xr:uid="{00000000-0005-0000-0000-000092390000}"/>
    <cellStyle name="Normal 27 5 3 3" xfId="7991" xr:uid="{00000000-0005-0000-0000-000093390000}"/>
    <cellStyle name="Normal 27 5 3 3 2" xfId="17169" xr:uid="{00000000-0005-0000-0000-000094390000}"/>
    <cellStyle name="Normal 27 5 3 3 2 2" xfId="33743" xr:uid="{00000000-0005-0000-0000-000095390000}"/>
    <cellStyle name="Normal 27 5 3 3 3" xfId="25696" xr:uid="{00000000-0005-0000-0000-000096390000}"/>
    <cellStyle name="Normal 27 5 3 4" xfId="13305" xr:uid="{00000000-0005-0000-0000-000097390000}"/>
    <cellStyle name="Normal 27 5 3 4 2" xfId="29848" xr:uid="{00000000-0005-0000-0000-000098390000}"/>
    <cellStyle name="Normal 27 5 3 5" xfId="21805" xr:uid="{00000000-0005-0000-0000-000099390000}"/>
    <cellStyle name="Normal 27 5 4" xfId="3902" xr:uid="{00000000-0005-0000-0000-00009A390000}"/>
    <cellStyle name="Normal 27 5 4 2" xfId="7992" xr:uid="{00000000-0005-0000-0000-00009B390000}"/>
    <cellStyle name="Normal 27 5 4 2 2" xfId="17170" xr:uid="{00000000-0005-0000-0000-00009C390000}"/>
    <cellStyle name="Normal 27 5 4 2 2 2" xfId="33744" xr:uid="{00000000-0005-0000-0000-00009D390000}"/>
    <cellStyle name="Normal 27 5 4 2 3" xfId="25697" xr:uid="{00000000-0005-0000-0000-00009E390000}"/>
    <cellStyle name="Normal 27 5 4 3" xfId="13307" xr:uid="{00000000-0005-0000-0000-00009F390000}"/>
    <cellStyle name="Normal 27 5 4 3 2" xfId="29850" xr:uid="{00000000-0005-0000-0000-0000A0390000}"/>
    <cellStyle name="Normal 27 5 4 4" xfId="21807" xr:uid="{00000000-0005-0000-0000-0000A1390000}"/>
    <cellStyle name="Normal 27 5 5" xfId="7993" xr:uid="{00000000-0005-0000-0000-0000A2390000}"/>
    <cellStyle name="Normal 27 5 5 2" xfId="17171" xr:uid="{00000000-0005-0000-0000-0000A3390000}"/>
    <cellStyle name="Normal 27 5 5 2 2" xfId="33745" xr:uid="{00000000-0005-0000-0000-0000A4390000}"/>
    <cellStyle name="Normal 27 5 5 3" xfId="25698" xr:uid="{00000000-0005-0000-0000-0000A5390000}"/>
    <cellStyle name="Normal 27 5 6" xfId="13300" xr:uid="{00000000-0005-0000-0000-0000A6390000}"/>
    <cellStyle name="Normal 27 5 6 2" xfId="29843" xr:uid="{00000000-0005-0000-0000-0000A7390000}"/>
    <cellStyle name="Normal 27 5 7" xfId="21800" xr:uid="{00000000-0005-0000-0000-0000A8390000}"/>
    <cellStyle name="Normal 27 6" xfId="3903" xr:uid="{00000000-0005-0000-0000-0000A9390000}"/>
    <cellStyle name="Normal 27 6 2" xfId="3904" xr:uid="{00000000-0005-0000-0000-0000AA390000}"/>
    <cellStyle name="Normal 27 6 2 2" xfId="3905" xr:uid="{00000000-0005-0000-0000-0000AB390000}"/>
    <cellStyle name="Normal 27 6 2 2 2" xfId="7994" xr:uid="{00000000-0005-0000-0000-0000AC390000}"/>
    <cellStyle name="Normal 27 6 2 2 2 2" xfId="17172" xr:uid="{00000000-0005-0000-0000-0000AD390000}"/>
    <cellStyle name="Normal 27 6 2 2 2 2 2" xfId="33746" xr:uid="{00000000-0005-0000-0000-0000AE390000}"/>
    <cellStyle name="Normal 27 6 2 2 2 3" xfId="25699" xr:uid="{00000000-0005-0000-0000-0000AF390000}"/>
    <cellStyle name="Normal 27 6 2 2 3" xfId="13310" xr:uid="{00000000-0005-0000-0000-0000B0390000}"/>
    <cellStyle name="Normal 27 6 2 2 3 2" xfId="29853" xr:uid="{00000000-0005-0000-0000-0000B1390000}"/>
    <cellStyle name="Normal 27 6 2 2 4" xfId="21810" xr:uid="{00000000-0005-0000-0000-0000B2390000}"/>
    <cellStyle name="Normal 27 6 2 3" xfId="7995" xr:uid="{00000000-0005-0000-0000-0000B3390000}"/>
    <cellStyle name="Normal 27 6 2 3 2" xfId="17173" xr:uid="{00000000-0005-0000-0000-0000B4390000}"/>
    <cellStyle name="Normal 27 6 2 3 2 2" xfId="33747" xr:uid="{00000000-0005-0000-0000-0000B5390000}"/>
    <cellStyle name="Normal 27 6 2 3 3" xfId="25700" xr:uid="{00000000-0005-0000-0000-0000B6390000}"/>
    <cellStyle name="Normal 27 6 2 4" xfId="13309" xr:uid="{00000000-0005-0000-0000-0000B7390000}"/>
    <cellStyle name="Normal 27 6 2 4 2" xfId="29852" xr:uid="{00000000-0005-0000-0000-0000B8390000}"/>
    <cellStyle name="Normal 27 6 2 5" xfId="21809" xr:uid="{00000000-0005-0000-0000-0000B9390000}"/>
    <cellStyle name="Normal 27 6 3" xfId="3906" xr:uid="{00000000-0005-0000-0000-0000BA390000}"/>
    <cellStyle name="Normal 27 6 3 2" xfId="7996" xr:uid="{00000000-0005-0000-0000-0000BB390000}"/>
    <cellStyle name="Normal 27 6 3 2 2" xfId="17174" xr:uid="{00000000-0005-0000-0000-0000BC390000}"/>
    <cellStyle name="Normal 27 6 3 2 2 2" xfId="33748" xr:uid="{00000000-0005-0000-0000-0000BD390000}"/>
    <cellStyle name="Normal 27 6 3 2 3" xfId="25701" xr:uid="{00000000-0005-0000-0000-0000BE390000}"/>
    <cellStyle name="Normal 27 6 3 3" xfId="13311" xr:uid="{00000000-0005-0000-0000-0000BF390000}"/>
    <cellStyle name="Normal 27 6 3 3 2" xfId="29854" xr:uid="{00000000-0005-0000-0000-0000C0390000}"/>
    <cellStyle name="Normal 27 6 3 4" xfId="21811" xr:uid="{00000000-0005-0000-0000-0000C1390000}"/>
    <cellStyle name="Normal 27 6 4" xfId="7997" xr:uid="{00000000-0005-0000-0000-0000C2390000}"/>
    <cellStyle name="Normal 27 6 4 2" xfId="17175" xr:uid="{00000000-0005-0000-0000-0000C3390000}"/>
    <cellStyle name="Normal 27 6 4 2 2" xfId="33749" xr:uid="{00000000-0005-0000-0000-0000C4390000}"/>
    <cellStyle name="Normal 27 6 4 3" xfId="25702" xr:uid="{00000000-0005-0000-0000-0000C5390000}"/>
    <cellStyle name="Normal 27 6 5" xfId="13308" xr:uid="{00000000-0005-0000-0000-0000C6390000}"/>
    <cellStyle name="Normal 27 6 5 2" xfId="29851" xr:uid="{00000000-0005-0000-0000-0000C7390000}"/>
    <cellStyle name="Normal 27 6 6" xfId="21808" xr:uid="{00000000-0005-0000-0000-0000C8390000}"/>
    <cellStyle name="Normal 27 7" xfId="3907" xr:uid="{00000000-0005-0000-0000-0000C9390000}"/>
    <cellStyle name="Normal 27 7 2" xfId="3908" xr:uid="{00000000-0005-0000-0000-0000CA390000}"/>
    <cellStyle name="Normal 27 7 2 2" xfId="7998" xr:uid="{00000000-0005-0000-0000-0000CB390000}"/>
    <cellStyle name="Normal 27 7 2 2 2" xfId="17176" xr:uid="{00000000-0005-0000-0000-0000CC390000}"/>
    <cellStyle name="Normal 27 7 2 2 2 2" xfId="33750" xr:uid="{00000000-0005-0000-0000-0000CD390000}"/>
    <cellStyle name="Normal 27 7 2 2 3" xfId="25703" xr:uid="{00000000-0005-0000-0000-0000CE390000}"/>
    <cellStyle name="Normal 27 7 2 3" xfId="13313" xr:uid="{00000000-0005-0000-0000-0000CF390000}"/>
    <cellStyle name="Normal 27 7 2 3 2" xfId="29856" xr:uid="{00000000-0005-0000-0000-0000D0390000}"/>
    <cellStyle name="Normal 27 7 2 4" xfId="21813" xr:uid="{00000000-0005-0000-0000-0000D1390000}"/>
    <cellStyle name="Normal 27 7 3" xfId="7999" xr:uid="{00000000-0005-0000-0000-0000D2390000}"/>
    <cellStyle name="Normal 27 7 3 2" xfId="17177" xr:uid="{00000000-0005-0000-0000-0000D3390000}"/>
    <cellStyle name="Normal 27 7 3 2 2" xfId="33751" xr:uid="{00000000-0005-0000-0000-0000D4390000}"/>
    <cellStyle name="Normal 27 7 3 3" xfId="25704" xr:uid="{00000000-0005-0000-0000-0000D5390000}"/>
    <cellStyle name="Normal 27 7 4" xfId="13312" xr:uid="{00000000-0005-0000-0000-0000D6390000}"/>
    <cellStyle name="Normal 27 7 4 2" xfId="29855" xr:uid="{00000000-0005-0000-0000-0000D7390000}"/>
    <cellStyle name="Normal 27 7 5" xfId="21812" xr:uid="{00000000-0005-0000-0000-0000D8390000}"/>
    <cellStyle name="Normal 27 8" xfId="3909" xr:uid="{00000000-0005-0000-0000-0000D9390000}"/>
    <cellStyle name="Normal 27 8 2" xfId="8000" xr:uid="{00000000-0005-0000-0000-0000DA390000}"/>
    <cellStyle name="Normal 27 8 2 2" xfId="17178" xr:uid="{00000000-0005-0000-0000-0000DB390000}"/>
    <cellStyle name="Normal 27 8 2 2 2" xfId="33752" xr:uid="{00000000-0005-0000-0000-0000DC390000}"/>
    <cellStyle name="Normal 27 8 2 3" xfId="25705" xr:uid="{00000000-0005-0000-0000-0000DD390000}"/>
    <cellStyle name="Normal 27 8 3" xfId="13314" xr:uid="{00000000-0005-0000-0000-0000DE390000}"/>
    <cellStyle name="Normal 27 8 3 2" xfId="29857" xr:uid="{00000000-0005-0000-0000-0000DF390000}"/>
    <cellStyle name="Normal 27 8 4" xfId="21814" xr:uid="{00000000-0005-0000-0000-0000E0390000}"/>
    <cellStyle name="Normal 27 9" xfId="8001" xr:uid="{00000000-0005-0000-0000-0000E1390000}"/>
    <cellStyle name="Normal 27 9 2" xfId="17179" xr:uid="{00000000-0005-0000-0000-0000E2390000}"/>
    <cellStyle name="Normal 27 9 2 2" xfId="33753" xr:uid="{00000000-0005-0000-0000-0000E3390000}"/>
    <cellStyle name="Normal 27 9 3" xfId="25706" xr:uid="{00000000-0005-0000-0000-0000E4390000}"/>
    <cellStyle name="Normal 270" xfId="10827" xr:uid="{00000000-0005-0000-0000-0000E5390000}"/>
    <cellStyle name="Normal 271" xfId="10830" xr:uid="{00000000-0005-0000-0000-0000E6390000}"/>
    <cellStyle name="Normal 272" xfId="10833" xr:uid="{00000000-0005-0000-0000-0000E7390000}"/>
    <cellStyle name="Normal 273" xfId="10836" xr:uid="{00000000-0005-0000-0000-0000E8390000}"/>
    <cellStyle name="Normal 274" xfId="10839" xr:uid="{00000000-0005-0000-0000-0000E9390000}"/>
    <cellStyle name="Normal 275" xfId="10842" xr:uid="{00000000-0005-0000-0000-0000EA390000}"/>
    <cellStyle name="Normal 276" xfId="10845" xr:uid="{00000000-0005-0000-0000-0000EB390000}"/>
    <cellStyle name="Normal 277" xfId="10848" xr:uid="{00000000-0005-0000-0000-0000EC390000}"/>
    <cellStyle name="Normal 278" xfId="10851" xr:uid="{00000000-0005-0000-0000-0000ED390000}"/>
    <cellStyle name="Normal 279" xfId="10854" xr:uid="{00000000-0005-0000-0000-0000EE390000}"/>
    <cellStyle name="Normal 28" xfId="3910" xr:uid="{00000000-0005-0000-0000-0000EF390000}"/>
    <cellStyle name="Normal 28 10" xfId="13315" xr:uid="{00000000-0005-0000-0000-0000F0390000}"/>
    <cellStyle name="Normal 28 10 2" xfId="29858" xr:uid="{00000000-0005-0000-0000-0000F1390000}"/>
    <cellStyle name="Normal 28 11" xfId="21815" xr:uid="{00000000-0005-0000-0000-0000F2390000}"/>
    <cellStyle name="Normal 28 2" xfId="3911" xr:uid="{00000000-0005-0000-0000-0000F3390000}"/>
    <cellStyle name="Normal 28 2 2" xfId="3912" xr:uid="{00000000-0005-0000-0000-0000F4390000}"/>
    <cellStyle name="Normal 28 2 3" xfId="13316" xr:uid="{00000000-0005-0000-0000-0000F5390000}"/>
    <cellStyle name="Normal 28 2 3 2" xfId="29859" xr:uid="{00000000-0005-0000-0000-0000F6390000}"/>
    <cellStyle name="Normal 28 2 4" xfId="21816" xr:uid="{00000000-0005-0000-0000-0000F7390000}"/>
    <cellStyle name="Normal 28 3" xfId="3913" xr:uid="{00000000-0005-0000-0000-0000F8390000}"/>
    <cellStyle name="Normal 28 3 2" xfId="3914" xr:uid="{00000000-0005-0000-0000-0000F9390000}"/>
    <cellStyle name="Normal 28 3 2 2" xfId="3915" xr:uid="{00000000-0005-0000-0000-0000FA390000}"/>
    <cellStyle name="Normal 28 3 2 2 2" xfId="3916" xr:uid="{00000000-0005-0000-0000-0000FB390000}"/>
    <cellStyle name="Normal 28 3 2 2 2 2" xfId="8002" xr:uid="{00000000-0005-0000-0000-0000FC390000}"/>
    <cellStyle name="Normal 28 3 2 2 2 2 2" xfId="17180" xr:uid="{00000000-0005-0000-0000-0000FD390000}"/>
    <cellStyle name="Normal 28 3 2 2 2 2 2 2" xfId="33754" xr:uid="{00000000-0005-0000-0000-0000FE390000}"/>
    <cellStyle name="Normal 28 3 2 2 2 2 3" xfId="25707" xr:uid="{00000000-0005-0000-0000-0000FF390000}"/>
    <cellStyle name="Normal 28 3 2 2 2 3" xfId="13319" xr:uid="{00000000-0005-0000-0000-0000003A0000}"/>
    <cellStyle name="Normal 28 3 2 2 2 3 2" xfId="29862" xr:uid="{00000000-0005-0000-0000-0000013A0000}"/>
    <cellStyle name="Normal 28 3 2 2 2 4" xfId="21819" xr:uid="{00000000-0005-0000-0000-0000023A0000}"/>
    <cellStyle name="Normal 28 3 2 2 3" xfId="8003" xr:uid="{00000000-0005-0000-0000-0000033A0000}"/>
    <cellStyle name="Normal 28 3 2 2 3 2" xfId="17181" xr:uid="{00000000-0005-0000-0000-0000043A0000}"/>
    <cellStyle name="Normal 28 3 2 2 3 2 2" xfId="33755" xr:uid="{00000000-0005-0000-0000-0000053A0000}"/>
    <cellStyle name="Normal 28 3 2 2 3 3" xfId="25708" xr:uid="{00000000-0005-0000-0000-0000063A0000}"/>
    <cellStyle name="Normal 28 3 2 2 4" xfId="13318" xr:uid="{00000000-0005-0000-0000-0000073A0000}"/>
    <cellStyle name="Normal 28 3 2 2 4 2" xfId="29861" xr:uid="{00000000-0005-0000-0000-0000083A0000}"/>
    <cellStyle name="Normal 28 3 2 2 5" xfId="21818" xr:uid="{00000000-0005-0000-0000-0000093A0000}"/>
    <cellStyle name="Normal 28 3 2 3" xfId="3917" xr:uid="{00000000-0005-0000-0000-00000A3A0000}"/>
    <cellStyle name="Normal 28 3 2 3 2" xfId="8004" xr:uid="{00000000-0005-0000-0000-00000B3A0000}"/>
    <cellStyle name="Normal 28 3 2 3 2 2" xfId="17182" xr:uid="{00000000-0005-0000-0000-00000C3A0000}"/>
    <cellStyle name="Normal 28 3 2 3 2 2 2" xfId="33756" xr:uid="{00000000-0005-0000-0000-00000D3A0000}"/>
    <cellStyle name="Normal 28 3 2 3 2 3" xfId="25709" xr:uid="{00000000-0005-0000-0000-00000E3A0000}"/>
    <cellStyle name="Normal 28 3 2 3 3" xfId="13320" xr:uid="{00000000-0005-0000-0000-00000F3A0000}"/>
    <cellStyle name="Normal 28 3 2 3 3 2" xfId="29863" xr:uid="{00000000-0005-0000-0000-0000103A0000}"/>
    <cellStyle name="Normal 28 3 2 3 4" xfId="21820" xr:uid="{00000000-0005-0000-0000-0000113A0000}"/>
    <cellStyle name="Normal 28 3 2 4" xfId="8005" xr:uid="{00000000-0005-0000-0000-0000123A0000}"/>
    <cellStyle name="Normal 28 3 2 4 2" xfId="17183" xr:uid="{00000000-0005-0000-0000-0000133A0000}"/>
    <cellStyle name="Normal 28 3 2 4 2 2" xfId="33757" xr:uid="{00000000-0005-0000-0000-0000143A0000}"/>
    <cellStyle name="Normal 28 3 2 4 3" xfId="25710" xr:uid="{00000000-0005-0000-0000-0000153A0000}"/>
    <cellStyle name="Normal 28 3 2 5" xfId="13317" xr:uid="{00000000-0005-0000-0000-0000163A0000}"/>
    <cellStyle name="Normal 28 3 2 5 2" xfId="29860" xr:uid="{00000000-0005-0000-0000-0000173A0000}"/>
    <cellStyle name="Normal 28 3 2 6" xfId="21817" xr:uid="{00000000-0005-0000-0000-0000183A0000}"/>
    <cellStyle name="Normal 28 3 3" xfId="3918" xr:uid="{00000000-0005-0000-0000-0000193A0000}"/>
    <cellStyle name="Normal 28 3 3 2" xfId="3919" xr:uid="{00000000-0005-0000-0000-00001A3A0000}"/>
    <cellStyle name="Normal 28 3 3 2 2" xfId="8006" xr:uid="{00000000-0005-0000-0000-00001B3A0000}"/>
    <cellStyle name="Normal 28 3 3 2 2 2" xfId="17184" xr:uid="{00000000-0005-0000-0000-00001C3A0000}"/>
    <cellStyle name="Normal 28 3 3 2 2 2 2" xfId="33758" xr:uid="{00000000-0005-0000-0000-00001D3A0000}"/>
    <cellStyle name="Normal 28 3 3 2 2 3" xfId="25711" xr:uid="{00000000-0005-0000-0000-00001E3A0000}"/>
    <cellStyle name="Normal 28 3 3 2 3" xfId="13322" xr:uid="{00000000-0005-0000-0000-00001F3A0000}"/>
    <cellStyle name="Normal 28 3 3 2 3 2" xfId="29865" xr:uid="{00000000-0005-0000-0000-0000203A0000}"/>
    <cellStyle name="Normal 28 3 3 2 4" xfId="21822" xr:uid="{00000000-0005-0000-0000-0000213A0000}"/>
    <cellStyle name="Normal 28 3 3 3" xfId="8007" xr:uid="{00000000-0005-0000-0000-0000223A0000}"/>
    <cellStyle name="Normal 28 3 3 3 2" xfId="17185" xr:uid="{00000000-0005-0000-0000-0000233A0000}"/>
    <cellStyle name="Normal 28 3 3 3 2 2" xfId="33759" xr:uid="{00000000-0005-0000-0000-0000243A0000}"/>
    <cellStyle name="Normal 28 3 3 3 3" xfId="25712" xr:uid="{00000000-0005-0000-0000-0000253A0000}"/>
    <cellStyle name="Normal 28 3 3 4" xfId="13321" xr:uid="{00000000-0005-0000-0000-0000263A0000}"/>
    <cellStyle name="Normal 28 3 3 4 2" xfId="29864" xr:uid="{00000000-0005-0000-0000-0000273A0000}"/>
    <cellStyle name="Normal 28 3 3 5" xfId="21821" xr:uid="{00000000-0005-0000-0000-0000283A0000}"/>
    <cellStyle name="Normal 28 3 4" xfId="3920" xr:uid="{00000000-0005-0000-0000-0000293A0000}"/>
    <cellStyle name="Normal 28 3 4 2" xfId="8008" xr:uid="{00000000-0005-0000-0000-00002A3A0000}"/>
    <cellStyle name="Normal 28 3 4 2 2" xfId="17186" xr:uid="{00000000-0005-0000-0000-00002B3A0000}"/>
    <cellStyle name="Normal 28 3 4 2 2 2" xfId="33760" xr:uid="{00000000-0005-0000-0000-00002C3A0000}"/>
    <cellStyle name="Normal 28 3 4 2 3" xfId="25713" xr:uid="{00000000-0005-0000-0000-00002D3A0000}"/>
    <cellStyle name="Normal 28 3 4 3" xfId="13323" xr:uid="{00000000-0005-0000-0000-00002E3A0000}"/>
    <cellStyle name="Normal 28 3 4 3 2" xfId="29866" xr:uid="{00000000-0005-0000-0000-00002F3A0000}"/>
    <cellStyle name="Normal 28 3 4 4" xfId="21823" xr:uid="{00000000-0005-0000-0000-0000303A0000}"/>
    <cellStyle name="Normal 28 3 5" xfId="3921" xr:uid="{00000000-0005-0000-0000-0000313A0000}"/>
    <cellStyle name="Normal 28 3 5 2" xfId="13324" xr:uid="{00000000-0005-0000-0000-0000323A0000}"/>
    <cellStyle name="Normal 28 3 5 2 2" xfId="29867" xr:uid="{00000000-0005-0000-0000-0000333A0000}"/>
    <cellStyle name="Normal 28 3 5 3" xfId="21824" xr:uid="{00000000-0005-0000-0000-0000343A0000}"/>
    <cellStyle name="Normal 28 4" xfId="3922" xr:uid="{00000000-0005-0000-0000-0000353A0000}"/>
    <cellStyle name="Normal 28 4 2" xfId="3923" xr:uid="{00000000-0005-0000-0000-0000363A0000}"/>
    <cellStyle name="Normal 28 4 2 2" xfId="3924" xr:uid="{00000000-0005-0000-0000-0000373A0000}"/>
    <cellStyle name="Normal 28 4 2 2 2" xfId="3925" xr:uid="{00000000-0005-0000-0000-0000383A0000}"/>
    <cellStyle name="Normal 28 4 2 2 2 2" xfId="8009" xr:uid="{00000000-0005-0000-0000-0000393A0000}"/>
    <cellStyle name="Normal 28 4 2 2 2 2 2" xfId="17187" xr:uid="{00000000-0005-0000-0000-00003A3A0000}"/>
    <cellStyle name="Normal 28 4 2 2 2 2 2 2" xfId="33761" xr:uid="{00000000-0005-0000-0000-00003B3A0000}"/>
    <cellStyle name="Normal 28 4 2 2 2 2 3" xfId="25714" xr:uid="{00000000-0005-0000-0000-00003C3A0000}"/>
    <cellStyle name="Normal 28 4 2 2 2 3" xfId="13328" xr:uid="{00000000-0005-0000-0000-00003D3A0000}"/>
    <cellStyle name="Normal 28 4 2 2 2 3 2" xfId="29871" xr:uid="{00000000-0005-0000-0000-00003E3A0000}"/>
    <cellStyle name="Normal 28 4 2 2 2 4" xfId="21828" xr:uid="{00000000-0005-0000-0000-00003F3A0000}"/>
    <cellStyle name="Normal 28 4 2 2 3" xfId="8010" xr:uid="{00000000-0005-0000-0000-0000403A0000}"/>
    <cellStyle name="Normal 28 4 2 2 3 2" xfId="17188" xr:uid="{00000000-0005-0000-0000-0000413A0000}"/>
    <cellStyle name="Normal 28 4 2 2 3 2 2" xfId="33762" xr:uid="{00000000-0005-0000-0000-0000423A0000}"/>
    <cellStyle name="Normal 28 4 2 2 3 3" xfId="25715" xr:uid="{00000000-0005-0000-0000-0000433A0000}"/>
    <cellStyle name="Normal 28 4 2 2 4" xfId="13327" xr:uid="{00000000-0005-0000-0000-0000443A0000}"/>
    <cellStyle name="Normal 28 4 2 2 4 2" xfId="29870" xr:uid="{00000000-0005-0000-0000-0000453A0000}"/>
    <cellStyle name="Normal 28 4 2 2 5" xfId="21827" xr:uid="{00000000-0005-0000-0000-0000463A0000}"/>
    <cellStyle name="Normal 28 4 2 3" xfId="3926" xr:uid="{00000000-0005-0000-0000-0000473A0000}"/>
    <cellStyle name="Normal 28 4 2 3 2" xfId="8011" xr:uid="{00000000-0005-0000-0000-0000483A0000}"/>
    <cellStyle name="Normal 28 4 2 3 2 2" xfId="17189" xr:uid="{00000000-0005-0000-0000-0000493A0000}"/>
    <cellStyle name="Normal 28 4 2 3 2 2 2" xfId="33763" xr:uid="{00000000-0005-0000-0000-00004A3A0000}"/>
    <cellStyle name="Normal 28 4 2 3 2 3" xfId="25716" xr:uid="{00000000-0005-0000-0000-00004B3A0000}"/>
    <cellStyle name="Normal 28 4 2 3 3" xfId="13329" xr:uid="{00000000-0005-0000-0000-00004C3A0000}"/>
    <cellStyle name="Normal 28 4 2 3 3 2" xfId="29872" xr:uid="{00000000-0005-0000-0000-00004D3A0000}"/>
    <cellStyle name="Normal 28 4 2 3 4" xfId="21829" xr:uid="{00000000-0005-0000-0000-00004E3A0000}"/>
    <cellStyle name="Normal 28 4 2 4" xfId="8012" xr:uid="{00000000-0005-0000-0000-00004F3A0000}"/>
    <cellStyle name="Normal 28 4 2 4 2" xfId="17190" xr:uid="{00000000-0005-0000-0000-0000503A0000}"/>
    <cellStyle name="Normal 28 4 2 4 2 2" xfId="33764" xr:uid="{00000000-0005-0000-0000-0000513A0000}"/>
    <cellStyle name="Normal 28 4 2 4 3" xfId="25717" xr:uid="{00000000-0005-0000-0000-0000523A0000}"/>
    <cellStyle name="Normal 28 4 2 5" xfId="13326" xr:uid="{00000000-0005-0000-0000-0000533A0000}"/>
    <cellStyle name="Normal 28 4 2 5 2" xfId="29869" xr:uid="{00000000-0005-0000-0000-0000543A0000}"/>
    <cellStyle name="Normal 28 4 2 6" xfId="21826" xr:uid="{00000000-0005-0000-0000-0000553A0000}"/>
    <cellStyle name="Normal 28 4 3" xfId="3927" xr:uid="{00000000-0005-0000-0000-0000563A0000}"/>
    <cellStyle name="Normal 28 4 3 2" xfId="3928" xr:uid="{00000000-0005-0000-0000-0000573A0000}"/>
    <cellStyle name="Normal 28 4 3 2 2" xfId="8013" xr:uid="{00000000-0005-0000-0000-0000583A0000}"/>
    <cellStyle name="Normal 28 4 3 2 2 2" xfId="17191" xr:uid="{00000000-0005-0000-0000-0000593A0000}"/>
    <cellStyle name="Normal 28 4 3 2 2 2 2" xfId="33765" xr:uid="{00000000-0005-0000-0000-00005A3A0000}"/>
    <cellStyle name="Normal 28 4 3 2 2 3" xfId="25718" xr:uid="{00000000-0005-0000-0000-00005B3A0000}"/>
    <cellStyle name="Normal 28 4 3 2 3" xfId="13331" xr:uid="{00000000-0005-0000-0000-00005C3A0000}"/>
    <cellStyle name="Normal 28 4 3 2 3 2" xfId="29874" xr:uid="{00000000-0005-0000-0000-00005D3A0000}"/>
    <cellStyle name="Normal 28 4 3 2 4" xfId="21831" xr:uid="{00000000-0005-0000-0000-00005E3A0000}"/>
    <cellStyle name="Normal 28 4 3 3" xfId="8014" xr:uid="{00000000-0005-0000-0000-00005F3A0000}"/>
    <cellStyle name="Normal 28 4 3 3 2" xfId="17192" xr:uid="{00000000-0005-0000-0000-0000603A0000}"/>
    <cellStyle name="Normal 28 4 3 3 2 2" xfId="33766" xr:uid="{00000000-0005-0000-0000-0000613A0000}"/>
    <cellStyle name="Normal 28 4 3 3 3" xfId="25719" xr:uid="{00000000-0005-0000-0000-0000623A0000}"/>
    <cellStyle name="Normal 28 4 3 4" xfId="13330" xr:uid="{00000000-0005-0000-0000-0000633A0000}"/>
    <cellStyle name="Normal 28 4 3 4 2" xfId="29873" xr:uid="{00000000-0005-0000-0000-0000643A0000}"/>
    <cellStyle name="Normal 28 4 3 5" xfId="21830" xr:uid="{00000000-0005-0000-0000-0000653A0000}"/>
    <cellStyle name="Normal 28 4 4" xfId="3929" xr:uid="{00000000-0005-0000-0000-0000663A0000}"/>
    <cellStyle name="Normal 28 4 4 2" xfId="8015" xr:uid="{00000000-0005-0000-0000-0000673A0000}"/>
    <cellStyle name="Normal 28 4 4 2 2" xfId="17193" xr:uid="{00000000-0005-0000-0000-0000683A0000}"/>
    <cellStyle name="Normal 28 4 4 2 2 2" xfId="33767" xr:uid="{00000000-0005-0000-0000-0000693A0000}"/>
    <cellStyle name="Normal 28 4 4 2 3" xfId="25720" xr:uid="{00000000-0005-0000-0000-00006A3A0000}"/>
    <cellStyle name="Normal 28 4 4 3" xfId="13332" xr:uid="{00000000-0005-0000-0000-00006B3A0000}"/>
    <cellStyle name="Normal 28 4 4 3 2" xfId="29875" xr:uid="{00000000-0005-0000-0000-00006C3A0000}"/>
    <cellStyle name="Normal 28 4 4 4" xfId="21832" xr:uid="{00000000-0005-0000-0000-00006D3A0000}"/>
    <cellStyle name="Normal 28 4 5" xfId="8016" xr:uid="{00000000-0005-0000-0000-00006E3A0000}"/>
    <cellStyle name="Normal 28 4 5 2" xfId="17194" xr:uid="{00000000-0005-0000-0000-00006F3A0000}"/>
    <cellStyle name="Normal 28 4 5 2 2" xfId="33768" xr:uid="{00000000-0005-0000-0000-0000703A0000}"/>
    <cellStyle name="Normal 28 4 5 3" xfId="25721" xr:uid="{00000000-0005-0000-0000-0000713A0000}"/>
    <cellStyle name="Normal 28 4 6" xfId="13325" xr:uid="{00000000-0005-0000-0000-0000723A0000}"/>
    <cellStyle name="Normal 28 4 6 2" xfId="29868" xr:uid="{00000000-0005-0000-0000-0000733A0000}"/>
    <cellStyle name="Normal 28 4 7" xfId="21825" xr:uid="{00000000-0005-0000-0000-0000743A0000}"/>
    <cellStyle name="Normal 28 5" xfId="3930" xr:uid="{00000000-0005-0000-0000-0000753A0000}"/>
    <cellStyle name="Normal 28 5 2" xfId="3931" xr:uid="{00000000-0005-0000-0000-0000763A0000}"/>
    <cellStyle name="Normal 28 5 2 2" xfId="3932" xr:uid="{00000000-0005-0000-0000-0000773A0000}"/>
    <cellStyle name="Normal 28 5 2 2 2" xfId="3933" xr:uid="{00000000-0005-0000-0000-0000783A0000}"/>
    <cellStyle name="Normal 28 5 2 2 2 2" xfId="8017" xr:uid="{00000000-0005-0000-0000-0000793A0000}"/>
    <cellStyle name="Normal 28 5 2 2 2 2 2" xfId="17195" xr:uid="{00000000-0005-0000-0000-00007A3A0000}"/>
    <cellStyle name="Normal 28 5 2 2 2 2 2 2" xfId="33769" xr:uid="{00000000-0005-0000-0000-00007B3A0000}"/>
    <cellStyle name="Normal 28 5 2 2 2 2 3" xfId="25722" xr:uid="{00000000-0005-0000-0000-00007C3A0000}"/>
    <cellStyle name="Normal 28 5 2 2 2 3" xfId="13336" xr:uid="{00000000-0005-0000-0000-00007D3A0000}"/>
    <cellStyle name="Normal 28 5 2 2 2 3 2" xfId="29879" xr:uid="{00000000-0005-0000-0000-00007E3A0000}"/>
    <cellStyle name="Normal 28 5 2 2 2 4" xfId="21836" xr:uid="{00000000-0005-0000-0000-00007F3A0000}"/>
    <cellStyle name="Normal 28 5 2 2 3" xfId="8018" xr:uid="{00000000-0005-0000-0000-0000803A0000}"/>
    <cellStyle name="Normal 28 5 2 2 3 2" xfId="17196" xr:uid="{00000000-0005-0000-0000-0000813A0000}"/>
    <cellStyle name="Normal 28 5 2 2 3 2 2" xfId="33770" xr:uid="{00000000-0005-0000-0000-0000823A0000}"/>
    <cellStyle name="Normal 28 5 2 2 3 3" xfId="25723" xr:uid="{00000000-0005-0000-0000-0000833A0000}"/>
    <cellStyle name="Normal 28 5 2 2 4" xfId="13335" xr:uid="{00000000-0005-0000-0000-0000843A0000}"/>
    <cellStyle name="Normal 28 5 2 2 4 2" xfId="29878" xr:uid="{00000000-0005-0000-0000-0000853A0000}"/>
    <cellStyle name="Normal 28 5 2 2 5" xfId="21835" xr:uid="{00000000-0005-0000-0000-0000863A0000}"/>
    <cellStyle name="Normal 28 5 2 3" xfId="3934" xr:uid="{00000000-0005-0000-0000-0000873A0000}"/>
    <cellStyle name="Normal 28 5 2 3 2" xfId="8019" xr:uid="{00000000-0005-0000-0000-0000883A0000}"/>
    <cellStyle name="Normal 28 5 2 3 2 2" xfId="17197" xr:uid="{00000000-0005-0000-0000-0000893A0000}"/>
    <cellStyle name="Normal 28 5 2 3 2 2 2" xfId="33771" xr:uid="{00000000-0005-0000-0000-00008A3A0000}"/>
    <cellStyle name="Normal 28 5 2 3 2 3" xfId="25724" xr:uid="{00000000-0005-0000-0000-00008B3A0000}"/>
    <cellStyle name="Normal 28 5 2 3 3" xfId="13337" xr:uid="{00000000-0005-0000-0000-00008C3A0000}"/>
    <cellStyle name="Normal 28 5 2 3 3 2" xfId="29880" xr:uid="{00000000-0005-0000-0000-00008D3A0000}"/>
    <cellStyle name="Normal 28 5 2 3 4" xfId="21837" xr:uid="{00000000-0005-0000-0000-00008E3A0000}"/>
    <cellStyle name="Normal 28 5 2 4" xfId="8020" xr:uid="{00000000-0005-0000-0000-00008F3A0000}"/>
    <cellStyle name="Normal 28 5 2 4 2" xfId="17198" xr:uid="{00000000-0005-0000-0000-0000903A0000}"/>
    <cellStyle name="Normal 28 5 2 4 2 2" xfId="33772" xr:uid="{00000000-0005-0000-0000-0000913A0000}"/>
    <cellStyle name="Normal 28 5 2 4 3" xfId="25725" xr:uid="{00000000-0005-0000-0000-0000923A0000}"/>
    <cellStyle name="Normal 28 5 2 5" xfId="13334" xr:uid="{00000000-0005-0000-0000-0000933A0000}"/>
    <cellStyle name="Normal 28 5 2 5 2" xfId="29877" xr:uid="{00000000-0005-0000-0000-0000943A0000}"/>
    <cellStyle name="Normal 28 5 2 6" xfId="21834" xr:uid="{00000000-0005-0000-0000-0000953A0000}"/>
    <cellStyle name="Normal 28 5 3" xfId="3935" xr:uid="{00000000-0005-0000-0000-0000963A0000}"/>
    <cellStyle name="Normal 28 5 3 2" xfId="3936" xr:uid="{00000000-0005-0000-0000-0000973A0000}"/>
    <cellStyle name="Normal 28 5 3 2 2" xfId="8021" xr:uid="{00000000-0005-0000-0000-0000983A0000}"/>
    <cellStyle name="Normal 28 5 3 2 2 2" xfId="17199" xr:uid="{00000000-0005-0000-0000-0000993A0000}"/>
    <cellStyle name="Normal 28 5 3 2 2 2 2" xfId="33773" xr:uid="{00000000-0005-0000-0000-00009A3A0000}"/>
    <cellStyle name="Normal 28 5 3 2 2 3" xfId="25726" xr:uid="{00000000-0005-0000-0000-00009B3A0000}"/>
    <cellStyle name="Normal 28 5 3 2 3" xfId="13339" xr:uid="{00000000-0005-0000-0000-00009C3A0000}"/>
    <cellStyle name="Normal 28 5 3 2 3 2" xfId="29882" xr:uid="{00000000-0005-0000-0000-00009D3A0000}"/>
    <cellStyle name="Normal 28 5 3 2 4" xfId="21839" xr:uid="{00000000-0005-0000-0000-00009E3A0000}"/>
    <cellStyle name="Normal 28 5 3 3" xfId="8022" xr:uid="{00000000-0005-0000-0000-00009F3A0000}"/>
    <cellStyle name="Normal 28 5 3 3 2" xfId="17200" xr:uid="{00000000-0005-0000-0000-0000A03A0000}"/>
    <cellStyle name="Normal 28 5 3 3 2 2" xfId="33774" xr:uid="{00000000-0005-0000-0000-0000A13A0000}"/>
    <cellStyle name="Normal 28 5 3 3 3" xfId="25727" xr:uid="{00000000-0005-0000-0000-0000A23A0000}"/>
    <cellStyle name="Normal 28 5 3 4" xfId="13338" xr:uid="{00000000-0005-0000-0000-0000A33A0000}"/>
    <cellStyle name="Normal 28 5 3 4 2" xfId="29881" xr:uid="{00000000-0005-0000-0000-0000A43A0000}"/>
    <cellStyle name="Normal 28 5 3 5" xfId="21838" xr:uid="{00000000-0005-0000-0000-0000A53A0000}"/>
    <cellStyle name="Normal 28 5 4" xfId="3937" xr:uid="{00000000-0005-0000-0000-0000A63A0000}"/>
    <cellStyle name="Normal 28 5 4 2" xfId="8023" xr:uid="{00000000-0005-0000-0000-0000A73A0000}"/>
    <cellStyle name="Normal 28 5 4 2 2" xfId="17201" xr:uid="{00000000-0005-0000-0000-0000A83A0000}"/>
    <cellStyle name="Normal 28 5 4 2 2 2" xfId="33775" xr:uid="{00000000-0005-0000-0000-0000A93A0000}"/>
    <cellStyle name="Normal 28 5 4 2 3" xfId="25728" xr:uid="{00000000-0005-0000-0000-0000AA3A0000}"/>
    <cellStyle name="Normal 28 5 4 3" xfId="13340" xr:uid="{00000000-0005-0000-0000-0000AB3A0000}"/>
    <cellStyle name="Normal 28 5 4 3 2" xfId="29883" xr:uid="{00000000-0005-0000-0000-0000AC3A0000}"/>
    <cellStyle name="Normal 28 5 4 4" xfId="21840" xr:uid="{00000000-0005-0000-0000-0000AD3A0000}"/>
    <cellStyle name="Normal 28 5 5" xfId="8024" xr:uid="{00000000-0005-0000-0000-0000AE3A0000}"/>
    <cellStyle name="Normal 28 5 5 2" xfId="17202" xr:uid="{00000000-0005-0000-0000-0000AF3A0000}"/>
    <cellStyle name="Normal 28 5 5 2 2" xfId="33776" xr:uid="{00000000-0005-0000-0000-0000B03A0000}"/>
    <cellStyle name="Normal 28 5 5 3" xfId="25729" xr:uid="{00000000-0005-0000-0000-0000B13A0000}"/>
    <cellStyle name="Normal 28 5 6" xfId="13333" xr:uid="{00000000-0005-0000-0000-0000B23A0000}"/>
    <cellStyle name="Normal 28 5 6 2" xfId="29876" xr:uid="{00000000-0005-0000-0000-0000B33A0000}"/>
    <cellStyle name="Normal 28 5 7" xfId="21833" xr:uid="{00000000-0005-0000-0000-0000B43A0000}"/>
    <cellStyle name="Normal 28 6" xfId="3938" xr:uid="{00000000-0005-0000-0000-0000B53A0000}"/>
    <cellStyle name="Normal 28 6 2" xfId="3939" xr:uid="{00000000-0005-0000-0000-0000B63A0000}"/>
    <cellStyle name="Normal 28 6 2 2" xfId="3940" xr:uid="{00000000-0005-0000-0000-0000B73A0000}"/>
    <cellStyle name="Normal 28 6 2 2 2" xfId="8025" xr:uid="{00000000-0005-0000-0000-0000B83A0000}"/>
    <cellStyle name="Normal 28 6 2 2 2 2" xfId="17203" xr:uid="{00000000-0005-0000-0000-0000B93A0000}"/>
    <cellStyle name="Normal 28 6 2 2 2 2 2" xfId="33777" xr:uid="{00000000-0005-0000-0000-0000BA3A0000}"/>
    <cellStyle name="Normal 28 6 2 2 2 3" xfId="25730" xr:uid="{00000000-0005-0000-0000-0000BB3A0000}"/>
    <cellStyle name="Normal 28 6 2 2 3" xfId="13343" xr:uid="{00000000-0005-0000-0000-0000BC3A0000}"/>
    <cellStyle name="Normal 28 6 2 2 3 2" xfId="29886" xr:uid="{00000000-0005-0000-0000-0000BD3A0000}"/>
    <cellStyle name="Normal 28 6 2 2 4" xfId="21843" xr:uid="{00000000-0005-0000-0000-0000BE3A0000}"/>
    <cellStyle name="Normal 28 6 2 3" xfId="8026" xr:uid="{00000000-0005-0000-0000-0000BF3A0000}"/>
    <cellStyle name="Normal 28 6 2 3 2" xfId="17204" xr:uid="{00000000-0005-0000-0000-0000C03A0000}"/>
    <cellStyle name="Normal 28 6 2 3 2 2" xfId="33778" xr:uid="{00000000-0005-0000-0000-0000C13A0000}"/>
    <cellStyle name="Normal 28 6 2 3 3" xfId="25731" xr:uid="{00000000-0005-0000-0000-0000C23A0000}"/>
    <cellStyle name="Normal 28 6 2 4" xfId="13342" xr:uid="{00000000-0005-0000-0000-0000C33A0000}"/>
    <cellStyle name="Normal 28 6 2 4 2" xfId="29885" xr:uid="{00000000-0005-0000-0000-0000C43A0000}"/>
    <cellStyle name="Normal 28 6 2 5" xfId="21842" xr:uid="{00000000-0005-0000-0000-0000C53A0000}"/>
    <cellStyle name="Normal 28 6 3" xfId="3941" xr:uid="{00000000-0005-0000-0000-0000C63A0000}"/>
    <cellStyle name="Normal 28 6 3 2" xfId="8027" xr:uid="{00000000-0005-0000-0000-0000C73A0000}"/>
    <cellStyle name="Normal 28 6 3 2 2" xfId="17205" xr:uid="{00000000-0005-0000-0000-0000C83A0000}"/>
    <cellStyle name="Normal 28 6 3 2 2 2" xfId="33779" xr:uid="{00000000-0005-0000-0000-0000C93A0000}"/>
    <cellStyle name="Normal 28 6 3 2 3" xfId="25732" xr:uid="{00000000-0005-0000-0000-0000CA3A0000}"/>
    <cellStyle name="Normal 28 6 3 3" xfId="13344" xr:uid="{00000000-0005-0000-0000-0000CB3A0000}"/>
    <cellStyle name="Normal 28 6 3 3 2" xfId="29887" xr:uid="{00000000-0005-0000-0000-0000CC3A0000}"/>
    <cellStyle name="Normal 28 6 3 4" xfId="21844" xr:uid="{00000000-0005-0000-0000-0000CD3A0000}"/>
    <cellStyle name="Normal 28 6 4" xfId="8028" xr:uid="{00000000-0005-0000-0000-0000CE3A0000}"/>
    <cellStyle name="Normal 28 6 4 2" xfId="17206" xr:uid="{00000000-0005-0000-0000-0000CF3A0000}"/>
    <cellStyle name="Normal 28 6 4 2 2" xfId="33780" xr:uid="{00000000-0005-0000-0000-0000D03A0000}"/>
    <cellStyle name="Normal 28 6 4 3" xfId="25733" xr:uid="{00000000-0005-0000-0000-0000D13A0000}"/>
    <cellStyle name="Normal 28 6 5" xfId="13341" xr:uid="{00000000-0005-0000-0000-0000D23A0000}"/>
    <cellStyle name="Normal 28 6 5 2" xfId="29884" xr:uid="{00000000-0005-0000-0000-0000D33A0000}"/>
    <cellStyle name="Normal 28 6 6" xfId="21841" xr:uid="{00000000-0005-0000-0000-0000D43A0000}"/>
    <cellStyle name="Normal 28 7" xfId="3942" xr:uid="{00000000-0005-0000-0000-0000D53A0000}"/>
    <cellStyle name="Normal 28 7 2" xfId="3943" xr:uid="{00000000-0005-0000-0000-0000D63A0000}"/>
    <cellStyle name="Normal 28 7 2 2" xfId="8029" xr:uid="{00000000-0005-0000-0000-0000D73A0000}"/>
    <cellStyle name="Normal 28 7 2 2 2" xfId="17207" xr:uid="{00000000-0005-0000-0000-0000D83A0000}"/>
    <cellStyle name="Normal 28 7 2 2 2 2" xfId="33781" xr:uid="{00000000-0005-0000-0000-0000D93A0000}"/>
    <cellStyle name="Normal 28 7 2 2 3" xfId="25734" xr:uid="{00000000-0005-0000-0000-0000DA3A0000}"/>
    <cellStyle name="Normal 28 7 2 3" xfId="13346" xr:uid="{00000000-0005-0000-0000-0000DB3A0000}"/>
    <cellStyle name="Normal 28 7 2 3 2" xfId="29889" xr:uid="{00000000-0005-0000-0000-0000DC3A0000}"/>
    <cellStyle name="Normal 28 7 2 4" xfId="21846" xr:uid="{00000000-0005-0000-0000-0000DD3A0000}"/>
    <cellStyle name="Normal 28 7 3" xfId="8030" xr:uid="{00000000-0005-0000-0000-0000DE3A0000}"/>
    <cellStyle name="Normal 28 7 3 2" xfId="17208" xr:uid="{00000000-0005-0000-0000-0000DF3A0000}"/>
    <cellStyle name="Normal 28 7 3 2 2" xfId="33782" xr:uid="{00000000-0005-0000-0000-0000E03A0000}"/>
    <cellStyle name="Normal 28 7 3 3" xfId="25735" xr:uid="{00000000-0005-0000-0000-0000E13A0000}"/>
    <cellStyle name="Normal 28 7 4" xfId="13345" xr:uid="{00000000-0005-0000-0000-0000E23A0000}"/>
    <cellStyle name="Normal 28 7 4 2" xfId="29888" xr:uid="{00000000-0005-0000-0000-0000E33A0000}"/>
    <cellStyle name="Normal 28 7 5" xfId="21845" xr:uid="{00000000-0005-0000-0000-0000E43A0000}"/>
    <cellStyle name="Normal 28 8" xfId="3944" xr:uid="{00000000-0005-0000-0000-0000E53A0000}"/>
    <cellStyle name="Normal 28 8 2" xfId="8031" xr:uid="{00000000-0005-0000-0000-0000E63A0000}"/>
    <cellStyle name="Normal 28 8 2 2" xfId="17209" xr:uid="{00000000-0005-0000-0000-0000E73A0000}"/>
    <cellStyle name="Normal 28 8 2 2 2" xfId="33783" xr:uid="{00000000-0005-0000-0000-0000E83A0000}"/>
    <cellStyle name="Normal 28 8 2 3" xfId="25736" xr:uid="{00000000-0005-0000-0000-0000E93A0000}"/>
    <cellStyle name="Normal 28 8 3" xfId="13347" xr:uid="{00000000-0005-0000-0000-0000EA3A0000}"/>
    <cellStyle name="Normal 28 8 3 2" xfId="29890" xr:uid="{00000000-0005-0000-0000-0000EB3A0000}"/>
    <cellStyle name="Normal 28 8 4" xfId="21847" xr:uid="{00000000-0005-0000-0000-0000EC3A0000}"/>
    <cellStyle name="Normal 28 9" xfId="8032" xr:uid="{00000000-0005-0000-0000-0000ED3A0000}"/>
    <cellStyle name="Normal 28 9 2" xfId="17210" xr:uid="{00000000-0005-0000-0000-0000EE3A0000}"/>
    <cellStyle name="Normal 28 9 2 2" xfId="33784" xr:uid="{00000000-0005-0000-0000-0000EF3A0000}"/>
    <cellStyle name="Normal 28 9 3" xfId="25737" xr:uid="{00000000-0005-0000-0000-0000F03A0000}"/>
    <cellStyle name="Normal 280" xfId="10857" xr:uid="{00000000-0005-0000-0000-0000F13A0000}"/>
    <cellStyle name="Normal 281" xfId="10860" xr:uid="{00000000-0005-0000-0000-0000F23A0000}"/>
    <cellStyle name="Normal 282" xfId="10863" xr:uid="{00000000-0005-0000-0000-0000F33A0000}"/>
    <cellStyle name="Normal 283" xfId="10866" xr:uid="{00000000-0005-0000-0000-0000F43A0000}"/>
    <cellStyle name="Normal 284" xfId="10869" xr:uid="{00000000-0005-0000-0000-0000F53A0000}"/>
    <cellStyle name="Normal 285" xfId="10872" xr:uid="{00000000-0005-0000-0000-0000F63A0000}"/>
    <cellStyle name="Normal 286" xfId="10875" xr:uid="{00000000-0005-0000-0000-0000F73A0000}"/>
    <cellStyle name="Normal 287" xfId="10878" xr:uid="{00000000-0005-0000-0000-0000F83A0000}"/>
    <cellStyle name="Normal 288" xfId="10881" xr:uid="{00000000-0005-0000-0000-0000F93A0000}"/>
    <cellStyle name="Normal 289" xfId="10884" xr:uid="{00000000-0005-0000-0000-0000FA3A0000}"/>
    <cellStyle name="Normal 29" xfId="3945" xr:uid="{00000000-0005-0000-0000-0000FB3A0000}"/>
    <cellStyle name="Normal 29 10" xfId="13348" xr:uid="{00000000-0005-0000-0000-0000FC3A0000}"/>
    <cellStyle name="Normal 29 10 2" xfId="29891" xr:uid="{00000000-0005-0000-0000-0000FD3A0000}"/>
    <cellStyle name="Normal 29 11" xfId="21848" xr:uid="{00000000-0005-0000-0000-0000FE3A0000}"/>
    <cellStyle name="Normal 29 2" xfId="3946" xr:uid="{00000000-0005-0000-0000-0000FF3A0000}"/>
    <cellStyle name="Normal 29 2 2" xfId="3947" xr:uid="{00000000-0005-0000-0000-0000003B0000}"/>
    <cellStyle name="Normal 29 2 3" xfId="13349" xr:uid="{00000000-0005-0000-0000-0000013B0000}"/>
    <cellStyle name="Normal 29 2 3 2" xfId="29892" xr:uid="{00000000-0005-0000-0000-0000023B0000}"/>
    <cellStyle name="Normal 29 2 4" xfId="21849" xr:uid="{00000000-0005-0000-0000-0000033B0000}"/>
    <cellStyle name="Normal 29 3" xfId="3948" xr:uid="{00000000-0005-0000-0000-0000043B0000}"/>
    <cellStyle name="Normal 29 3 2" xfId="3949" xr:uid="{00000000-0005-0000-0000-0000053B0000}"/>
    <cellStyle name="Normal 29 3 2 2" xfId="3950" xr:uid="{00000000-0005-0000-0000-0000063B0000}"/>
    <cellStyle name="Normal 29 3 2 2 2" xfId="3951" xr:uid="{00000000-0005-0000-0000-0000073B0000}"/>
    <cellStyle name="Normal 29 3 2 2 2 2" xfId="8033" xr:uid="{00000000-0005-0000-0000-0000083B0000}"/>
    <cellStyle name="Normal 29 3 2 2 2 2 2" xfId="17211" xr:uid="{00000000-0005-0000-0000-0000093B0000}"/>
    <cellStyle name="Normal 29 3 2 2 2 2 2 2" xfId="33785" xr:uid="{00000000-0005-0000-0000-00000A3B0000}"/>
    <cellStyle name="Normal 29 3 2 2 2 2 3" xfId="25738" xr:uid="{00000000-0005-0000-0000-00000B3B0000}"/>
    <cellStyle name="Normal 29 3 2 2 2 3" xfId="13352" xr:uid="{00000000-0005-0000-0000-00000C3B0000}"/>
    <cellStyle name="Normal 29 3 2 2 2 3 2" xfId="29895" xr:uid="{00000000-0005-0000-0000-00000D3B0000}"/>
    <cellStyle name="Normal 29 3 2 2 2 4" xfId="21852" xr:uid="{00000000-0005-0000-0000-00000E3B0000}"/>
    <cellStyle name="Normal 29 3 2 2 3" xfId="8034" xr:uid="{00000000-0005-0000-0000-00000F3B0000}"/>
    <cellStyle name="Normal 29 3 2 2 3 2" xfId="17212" xr:uid="{00000000-0005-0000-0000-0000103B0000}"/>
    <cellStyle name="Normal 29 3 2 2 3 2 2" xfId="33786" xr:uid="{00000000-0005-0000-0000-0000113B0000}"/>
    <cellStyle name="Normal 29 3 2 2 3 3" xfId="25739" xr:uid="{00000000-0005-0000-0000-0000123B0000}"/>
    <cellStyle name="Normal 29 3 2 2 4" xfId="13351" xr:uid="{00000000-0005-0000-0000-0000133B0000}"/>
    <cellStyle name="Normal 29 3 2 2 4 2" xfId="29894" xr:uid="{00000000-0005-0000-0000-0000143B0000}"/>
    <cellStyle name="Normal 29 3 2 2 5" xfId="21851" xr:uid="{00000000-0005-0000-0000-0000153B0000}"/>
    <cellStyle name="Normal 29 3 2 3" xfId="3952" xr:uid="{00000000-0005-0000-0000-0000163B0000}"/>
    <cellStyle name="Normal 29 3 2 3 2" xfId="8035" xr:uid="{00000000-0005-0000-0000-0000173B0000}"/>
    <cellStyle name="Normal 29 3 2 3 2 2" xfId="17213" xr:uid="{00000000-0005-0000-0000-0000183B0000}"/>
    <cellStyle name="Normal 29 3 2 3 2 2 2" xfId="33787" xr:uid="{00000000-0005-0000-0000-0000193B0000}"/>
    <cellStyle name="Normal 29 3 2 3 2 3" xfId="25740" xr:uid="{00000000-0005-0000-0000-00001A3B0000}"/>
    <cellStyle name="Normal 29 3 2 3 3" xfId="13353" xr:uid="{00000000-0005-0000-0000-00001B3B0000}"/>
    <cellStyle name="Normal 29 3 2 3 3 2" xfId="29896" xr:uid="{00000000-0005-0000-0000-00001C3B0000}"/>
    <cellStyle name="Normal 29 3 2 3 4" xfId="21853" xr:uid="{00000000-0005-0000-0000-00001D3B0000}"/>
    <cellStyle name="Normal 29 3 2 4" xfId="8036" xr:uid="{00000000-0005-0000-0000-00001E3B0000}"/>
    <cellStyle name="Normal 29 3 2 4 2" xfId="17214" xr:uid="{00000000-0005-0000-0000-00001F3B0000}"/>
    <cellStyle name="Normal 29 3 2 4 2 2" xfId="33788" xr:uid="{00000000-0005-0000-0000-0000203B0000}"/>
    <cellStyle name="Normal 29 3 2 4 3" xfId="25741" xr:uid="{00000000-0005-0000-0000-0000213B0000}"/>
    <cellStyle name="Normal 29 3 2 5" xfId="13350" xr:uid="{00000000-0005-0000-0000-0000223B0000}"/>
    <cellStyle name="Normal 29 3 2 5 2" xfId="29893" xr:uid="{00000000-0005-0000-0000-0000233B0000}"/>
    <cellStyle name="Normal 29 3 2 6" xfId="21850" xr:uid="{00000000-0005-0000-0000-0000243B0000}"/>
    <cellStyle name="Normal 29 3 3" xfId="3953" xr:uid="{00000000-0005-0000-0000-0000253B0000}"/>
    <cellStyle name="Normal 29 3 3 2" xfId="3954" xr:uid="{00000000-0005-0000-0000-0000263B0000}"/>
    <cellStyle name="Normal 29 3 3 2 2" xfId="8037" xr:uid="{00000000-0005-0000-0000-0000273B0000}"/>
    <cellStyle name="Normal 29 3 3 2 2 2" xfId="17215" xr:uid="{00000000-0005-0000-0000-0000283B0000}"/>
    <cellStyle name="Normal 29 3 3 2 2 2 2" xfId="33789" xr:uid="{00000000-0005-0000-0000-0000293B0000}"/>
    <cellStyle name="Normal 29 3 3 2 2 3" xfId="25742" xr:uid="{00000000-0005-0000-0000-00002A3B0000}"/>
    <cellStyle name="Normal 29 3 3 2 3" xfId="13355" xr:uid="{00000000-0005-0000-0000-00002B3B0000}"/>
    <cellStyle name="Normal 29 3 3 2 3 2" xfId="29898" xr:uid="{00000000-0005-0000-0000-00002C3B0000}"/>
    <cellStyle name="Normal 29 3 3 2 4" xfId="21855" xr:uid="{00000000-0005-0000-0000-00002D3B0000}"/>
    <cellStyle name="Normal 29 3 3 3" xfId="8038" xr:uid="{00000000-0005-0000-0000-00002E3B0000}"/>
    <cellStyle name="Normal 29 3 3 3 2" xfId="17216" xr:uid="{00000000-0005-0000-0000-00002F3B0000}"/>
    <cellStyle name="Normal 29 3 3 3 2 2" xfId="33790" xr:uid="{00000000-0005-0000-0000-0000303B0000}"/>
    <cellStyle name="Normal 29 3 3 3 3" xfId="25743" xr:uid="{00000000-0005-0000-0000-0000313B0000}"/>
    <cellStyle name="Normal 29 3 3 4" xfId="13354" xr:uid="{00000000-0005-0000-0000-0000323B0000}"/>
    <cellStyle name="Normal 29 3 3 4 2" xfId="29897" xr:uid="{00000000-0005-0000-0000-0000333B0000}"/>
    <cellStyle name="Normal 29 3 3 5" xfId="21854" xr:uid="{00000000-0005-0000-0000-0000343B0000}"/>
    <cellStyle name="Normal 29 3 4" xfId="3955" xr:uid="{00000000-0005-0000-0000-0000353B0000}"/>
    <cellStyle name="Normal 29 3 4 2" xfId="8039" xr:uid="{00000000-0005-0000-0000-0000363B0000}"/>
    <cellStyle name="Normal 29 3 4 2 2" xfId="17217" xr:uid="{00000000-0005-0000-0000-0000373B0000}"/>
    <cellStyle name="Normal 29 3 4 2 2 2" xfId="33791" xr:uid="{00000000-0005-0000-0000-0000383B0000}"/>
    <cellStyle name="Normal 29 3 4 2 3" xfId="25744" xr:uid="{00000000-0005-0000-0000-0000393B0000}"/>
    <cellStyle name="Normal 29 3 4 3" xfId="13356" xr:uid="{00000000-0005-0000-0000-00003A3B0000}"/>
    <cellStyle name="Normal 29 3 4 3 2" xfId="29899" xr:uid="{00000000-0005-0000-0000-00003B3B0000}"/>
    <cellStyle name="Normal 29 3 4 4" xfId="21856" xr:uid="{00000000-0005-0000-0000-00003C3B0000}"/>
    <cellStyle name="Normal 29 3 5" xfId="3956" xr:uid="{00000000-0005-0000-0000-00003D3B0000}"/>
    <cellStyle name="Normal 29 3 5 2" xfId="13357" xr:uid="{00000000-0005-0000-0000-00003E3B0000}"/>
    <cellStyle name="Normal 29 3 5 2 2" xfId="29900" xr:uid="{00000000-0005-0000-0000-00003F3B0000}"/>
    <cellStyle name="Normal 29 3 5 3" xfId="21857" xr:uid="{00000000-0005-0000-0000-0000403B0000}"/>
    <cellStyle name="Normal 29 4" xfId="3957" xr:uid="{00000000-0005-0000-0000-0000413B0000}"/>
    <cellStyle name="Normal 29 4 2" xfId="3958" xr:uid="{00000000-0005-0000-0000-0000423B0000}"/>
    <cellStyle name="Normal 29 4 2 2" xfId="3959" xr:uid="{00000000-0005-0000-0000-0000433B0000}"/>
    <cellStyle name="Normal 29 4 2 2 2" xfId="3960" xr:uid="{00000000-0005-0000-0000-0000443B0000}"/>
    <cellStyle name="Normal 29 4 2 2 2 2" xfId="8040" xr:uid="{00000000-0005-0000-0000-0000453B0000}"/>
    <cellStyle name="Normal 29 4 2 2 2 2 2" xfId="17218" xr:uid="{00000000-0005-0000-0000-0000463B0000}"/>
    <cellStyle name="Normal 29 4 2 2 2 2 2 2" xfId="33792" xr:uid="{00000000-0005-0000-0000-0000473B0000}"/>
    <cellStyle name="Normal 29 4 2 2 2 2 3" xfId="25745" xr:uid="{00000000-0005-0000-0000-0000483B0000}"/>
    <cellStyle name="Normal 29 4 2 2 2 3" xfId="13361" xr:uid="{00000000-0005-0000-0000-0000493B0000}"/>
    <cellStyle name="Normal 29 4 2 2 2 3 2" xfId="29904" xr:uid="{00000000-0005-0000-0000-00004A3B0000}"/>
    <cellStyle name="Normal 29 4 2 2 2 4" xfId="21861" xr:uid="{00000000-0005-0000-0000-00004B3B0000}"/>
    <cellStyle name="Normal 29 4 2 2 3" xfId="8041" xr:uid="{00000000-0005-0000-0000-00004C3B0000}"/>
    <cellStyle name="Normal 29 4 2 2 3 2" xfId="17219" xr:uid="{00000000-0005-0000-0000-00004D3B0000}"/>
    <cellStyle name="Normal 29 4 2 2 3 2 2" xfId="33793" xr:uid="{00000000-0005-0000-0000-00004E3B0000}"/>
    <cellStyle name="Normal 29 4 2 2 3 3" xfId="25746" xr:uid="{00000000-0005-0000-0000-00004F3B0000}"/>
    <cellStyle name="Normal 29 4 2 2 4" xfId="13360" xr:uid="{00000000-0005-0000-0000-0000503B0000}"/>
    <cellStyle name="Normal 29 4 2 2 4 2" xfId="29903" xr:uid="{00000000-0005-0000-0000-0000513B0000}"/>
    <cellStyle name="Normal 29 4 2 2 5" xfId="21860" xr:uid="{00000000-0005-0000-0000-0000523B0000}"/>
    <cellStyle name="Normal 29 4 2 3" xfId="3961" xr:uid="{00000000-0005-0000-0000-0000533B0000}"/>
    <cellStyle name="Normal 29 4 2 3 2" xfId="8042" xr:uid="{00000000-0005-0000-0000-0000543B0000}"/>
    <cellStyle name="Normal 29 4 2 3 2 2" xfId="17220" xr:uid="{00000000-0005-0000-0000-0000553B0000}"/>
    <cellStyle name="Normal 29 4 2 3 2 2 2" xfId="33794" xr:uid="{00000000-0005-0000-0000-0000563B0000}"/>
    <cellStyle name="Normal 29 4 2 3 2 3" xfId="25747" xr:uid="{00000000-0005-0000-0000-0000573B0000}"/>
    <cellStyle name="Normal 29 4 2 3 3" xfId="13362" xr:uid="{00000000-0005-0000-0000-0000583B0000}"/>
    <cellStyle name="Normal 29 4 2 3 3 2" xfId="29905" xr:uid="{00000000-0005-0000-0000-0000593B0000}"/>
    <cellStyle name="Normal 29 4 2 3 4" xfId="21862" xr:uid="{00000000-0005-0000-0000-00005A3B0000}"/>
    <cellStyle name="Normal 29 4 2 4" xfId="8043" xr:uid="{00000000-0005-0000-0000-00005B3B0000}"/>
    <cellStyle name="Normal 29 4 2 4 2" xfId="17221" xr:uid="{00000000-0005-0000-0000-00005C3B0000}"/>
    <cellStyle name="Normal 29 4 2 4 2 2" xfId="33795" xr:uid="{00000000-0005-0000-0000-00005D3B0000}"/>
    <cellStyle name="Normal 29 4 2 4 3" xfId="25748" xr:uid="{00000000-0005-0000-0000-00005E3B0000}"/>
    <cellStyle name="Normal 29 4 2 5" xfId="13359" xr:uid="{00000000-0005-0000-0000-00005F3B0000}"/>
    <cellStyle name="Normal 29 4 2 5 2" xfId="29902" xr:uid="{00000000-0005-0000-0000-0000603B0000}"/>
    <cellStyle name="Normal 29 4 2 6" xfId="21859" xr:uid="{00000000-0005-0000-0000-0000613B0000}"/>
    <cellStyle name="Normal 29 4 3" xfId="3962" xr:uid="{00000000-0005-0000-0000-0000623B0000}"/>
    <cellStyle name="Normal 29 4 3 2" xfId="3963" xr:uid="{00000000-0005-0000-0000-0000633B0000}"/>
    <cellStyle name="Normal 29 4 3 2 2" xfId="8044" xr:uid="{00000000-0005-0000-0000-0000643B0000}"/>
    <cellStyle name="Normal 29 4 3 2 2 2" xfId="17222" xr:uid="{00000000-0005-0000-0000-0000653B0000}"/>
    <cellStyle name="Normal 29 4 3 2 2 2 2" xfId="33796" xr:uid="{00000000-0005-0000-0000-0000663B0000}"/>
    <cellStyle name="Normal 29 4 3 2 2 3" xfId="25749" xr:uid="{00000000-0005-0000-0000-0000673B0000}"/>
    <cellStyle name="Normal 29 4 3 2 3" xfId="13364" xr:uid="{00000000-0005-0000-0000-0000683B0000}"/>
    <cellStyle name="Normal 29 4 3 2 3 2" xfId="29907" xr:uid="{00000000-0005-0000-0000-0000693B0000}"/>
    <cellStyle name="Normal 29 4 3 2 4" xfId="21864" xr:uid="{00000000-0005-0000-0000-00006A3B0000}"/>
    <cellStyle name="Normal 29 4 3 3" xfId="8045" xr:uid="{00000000-0005-0000-0000-00006B3B0000}"/>
    <cellStyle name="Normal 29 4 3 3 2" xfId="17223" xr:uid="{00000000-0005-0000-0000-00006C3B0000}"/>
    <cellStyle name="Normal 29 4 3 3 2 2" xfId="33797" xr:uid="{00000000-0005-0000-0000-00006D3B0000}"/>
    <cellStyle name="Normal 29 4 3 3 3" xfId="25750" xr:uid="{00000000-0005-0000-0000-00006E3B0000}"/>
    <cellStyle name="Normal 29 4 3 4" xfId="13363" xr:uid="{00000000-0005-0000-0000-00006F3B0000}"/>
    <cellStyle name="Normal 29 4 3 4 2" xfId="29906" xr:uid="{00000000-0005-0000-0000-0000703B0000}"/>
    <cellStyle name="Normal 29 4 3 5" xfId="21863" xr:uid="{00000000-0005-0000-0000-0000713B0000}"/>
    <cellStyle name="Normal 29 4 4" xfId="3964" xr:uid="{00000000-0005-0000-0000-0000723B0000}"/>
    <cellStyle name="Normal 29 4 4 2" xfId="8046" xr:uid="{00000000-0005-0000-0000-0000733B0000}"/>
    <cellStyle name="Normal 29 4 4 2 2" xfId="17224" xr:uid="{00000000-0005-0000-0000-0000743B0000}"/>
    <cellStyle name="Normal 29 4 4 2 2 2" xfId="33798" xr:uid="{00000000-0005-0000-0000-0000753B0000}"/>
    <cellStyle name="Normal 29 4 4 2 3" xfId="25751" xr:uid="{00000000-0005-0000-0000-0000763B0000}"/>
    <cellStyle name="Normal 29 4 4 3" xfId="13365" xr:uid="{00000000-0005-0000-0000-0000773B0000}"/>
    <cellStyle name="Normal 29 4 4 3 2" xfId="29908" xr:uid="{00000000-0005-0000-0000-0000783B0000}"/>
    <cellStyle name="Normal 29 4 4 4" xfId="21865" xr:uid="{00000000-0005-0000-0000-0000793B0000}"/>
    <cellStyle name="Normal 29 4 5" xfId="8047" xr:uid="{00000000-0005-0000-0000-00007A3B0000}"/>
    <cellStyle name="Normal 29 4 5 2" xfId="17225" xr:uid="{00000000-0005-0000-0000-00007B3B0000}"/>
    <cellStyle name="Normal 29 4 5 2 2" xfId="33799" xr:uid="{00000000-0005-0000-0000-00007C3B0000}"/>
    <cellStyle name="Normal 29 4 5 3" xfId="25752" xr:uid="{00000000-0005-0000-0000-00007D3B0000}"/>
    <cellStyle name="Normal 29 4 6" xfId="13358" xr:uid="{00000000-0005-0000-0000-00007E3B0000}"/>
    <cellStyle name="Normal 29 4 6 2" xfId="29901" xr:uid="{00000000-0005-0000-0000-00007F3B0000}"/>
    <cellStyle name="Normal 29 4 7" xfId="21858" xr:uid="{00000000-0005-0000-0000-0000803B0000}"/>
    <cellStyle name="Normal 29 5" xfId="3965" xr:uid="{00000000-0005-0000-0000-0000813B0000}"/>
    <cellStyle name="Normal 29 5 2" xfId="3966" xr:uid="{00000000-0005-0000-0000-0000823B0000}"/>
    <cellStyle name="Normal 29 5 2 2" xfId="3967" xr:uid="{00000000-0005-0000-0000-0000833B0000}"/>
    <cellStyle name="Normal 29 5 2 2 2" xfId="3968" xr:uid="{00000000-0005-0000-0000-0000843B0000}"/>
    <cellStyle name="Normal 29 5 2 2 2 2" xfId="8048" xr:uid="{00000000-0005-0000-0000-0000853B0000}"/>
    <cellStyle name="Normal 29 5 2 2 2 2 2" xfId="17226" xr:uid="{00000000-0005-0000-0000-0000863B0000}"/>
    <cellStyle name="Normal 29 5 2 2 2 2 2 2" xfId="33800" xr:uid="{00000000-0005-0000-0000-0000873B0000}"/>
    <cellStyle name="Normal 29 5 2 2 2 2 3" xfId="25753" xr:uid="{00000000-0005-0000-0000-0000883B0000}"/>
    <cellStyle name="Normal 29 5 2 2 2 3" xfId="13369" xr:uid="{00000000-0005-0000-0000-0000893B0000}"/>
    <cellStyle name="Normal 29 5 2 2 2 3 2" xfId="29912" xr:uid="{00000000-0005-0000-0000-00008A3B0000}"/>
    <cellStyle name="Normal 29 5 2 2 2 4" xfId="21869" xr:uid="{00000000-0005-0000-0000-00008B3B0000}"/>
    <cellStyle name="Normal 29 5 2 2 3" xfId="8049" xr:uid="{00000000-0005-0000-0000-00008C3B0000}"/>
    <cellStyle name="Normal 29 5 2 2 3 2" xfId="17227" xr:uid="{00000000-0005-0000-0000-00008D3B0000}"/>
    <cellStyle name="Normal 29 5 2 2 3 2 2" xfId="33801" xr:uid="{00000000-0005-0000-0000-00008E3B0000}"/>
    <cellStyle name="Normal 29 5 2 2 3 3" xfId="25754" xr:uid="{00000000-0005-0000-0000-00008F3B0000}"/>
    <cellStyle name="Normal 29 5 2 2 4" xfId="13368" xr:uid="{00000000-0005-0000-0000-0000903B0000}"/>
    <cellStyle name="Normal 29 5 2 2 4 2" xfId="29911" xr:uid="{00000000-0005-0000-0000-0000913B0000}"/>
    <cellStyle name="Normal 29 5 2 2 5" xfId="21868" xr:uid="{00000000-0005-0000-0000-0000923B0000}"/>
    <cellStyle name="Normal 29 5 2 3" xfId="3969" xr:uid="{00000000-0005-0000-0000-0000933B0000}"/>
    <cellStyle name="Normal 29 5 2 3 2" xfId="8050" xr:uid="{00000000-0005-0000-0000-0000943B0000}"/>
    <cellStyle name="Normal 29 5 2 3 2 2" xfId="17228" xr:uid="{00000000-0005-0000-0000-0000953B0000}"/>
    <cellStyle name="Normal 29 5 2 3 2 2 2" xfId="33802" xr:uid="{00000000-0005-0000-0000-0000963B0000}"/>
    <cellStyle name="Normal 29 5 2 3 2 3" xfId="25755" xr:uid="{00000000-0005-0000-0000-0000973B0000}"/>
    <cellStyle name="Normal 29 5 2 3 3" xfId="13370" xr:uid="{00000000-0005-0000-0000-0000983B0000}"/>
    <cellStyle name="Normal 29 5 2 3 3 2" xfId="29913" xr:uid="{00000000-0005-0000-0000-0000993B0000}"/>
    <cellStyle name="Normal 29 5 2 3 4" xfId="21870" xr:uid="{00000000-0005-0000-0000-00009A3B0000}"/>
    <cellStyle name="Normal 29 5 2 4" xfId="8051" xr:uid="{00000000-0005-0000-0000-00009B3B0000}"/>
    <cellStyle name="Normal 29 5 2 4 2" xfId="17229" xr:uid="{00000000-0005-0000-0000-00009C3B0000}"/>
    <cellStyle name="Normal 29 5 2 4 2 2" xfId="33803" xr:uid="{00000000-0005-0000-0000-00009D3B0000}"/>
    <cellStyle name="Normal 29 5 2 4 3" xfId="25756" xr:uid="{00000000-0005-0000-0000-00009E3B0000}"/>
    <cellStyle name="Normal 29 5 2 5" xfId="13367" xr:uid="{00000000-0005-0000-0000-00009F3B0000}"/>
    <cellStyle name="Normal 29 5 2 5 2" xfId="29910" xr:uid="{00000000-0005-0000-0000-0000A03B0000}"/>
    <cellStyle name="Normal 29 5 2 6" xfId="21867" xr:uid="{00000000-0005-0000-0000-0000A13B0000}"/>
    <cellStyle name="Normal 29 5 3" xfId="3970" xr:uid="{00000000-0005-0000-0000-0000A23B0000}"/>
    <cellStyle name="Normal 29 5 3 2" xfId="3971" xr:uid="{00000000-0005-0000-0000-0000A33B0000}"/>
    <cellStyle name="Normal 29 5 3 2 2" xfId="8052" xr:uid="{00000000-0005-0000-0000-0000A43B0000}"/>
    <cellStyle name="Normal 29 5 3 2 2 2" xfId="17230" xr:uid="{00000000-0005-0000-0000-0000A53B0000}"/>
    <cellStyle name="Normal 29 5 3 2 2 2 2" xfId="33804" xr:uid="{00000000-0005-0000-0000-0000A63B0000}"/>
    <cellStyle name="Normal 29 5 3 2 2 3" xfId="25757" xr:uid="{00000000-0005-0000-0000-0000A73B0000}"/>
    <cellStyle name="Normal 29 5 3 2 3" xfId="13372" xr:uid="{00000000-0005-0000-0000-0000A83B0000}"/>
    <cellStyle name="Normal 29 5 3 2 3 2" xfId="29915" xr:uid="{00000000-0005-0000-0000-0000A93B0000}"/>
    <cellStyle name="Normal 29 5 3 2 4" xfId="21872" xr:uid="{00000000-0005-0000-0000-0000AA3B0000}"/>
    <cellStyle name="Normal 29 5 3 3" xfId="8053" xr:uid="{00000000-0005-0000-0000-0000AB3B0000}"/>
    <cellStyle name="Normal 29 5 3 3 2" xfId="17231" xr:uid="{00000000-0005-0000-0000-0000AC3B0000}"/>
    <cellStyle name="Normal 29 5 3 3 2 2" xfId="33805" xr:uid="{00000000-0005-0000-0000-0000AD3B0000}"/>
    <cellStyle name="Normal 29 5 3 3 3" xfId="25758" xr:uid="{00000000-0005-0000-0000-0000AE3B0000}"/>
    <cellStyle name="Normal 29 5 3 4" xfId="13371" xr:uid="{00000000-0005-0000-0000-0000AF3B0000}"/>
    <cellStyle name="Normal 29 5 3 4 2" xfId="29914" xr:uid="{00000000-0005-0000-0000-0000B03B0000}"/>
    <cellStyle name="Normal 29 5 3 5" xfId="21871" xr:uid="{00000000-0005-0000-0000-0000B13B0000}"/>
    <cellStyle name="Normal 29 5 4" xfId="3972" xr:uid="{00000000-0005-0000-0000-0000B23B0000}"/>
    <cellStyle name="Normal 29 5 4 2" xfId="8054" xr:uid="{00000000-0005-0000-0000-0000B33B0000}"/>
    <cellStyle name="Normal 29 5 4 2 2" xfId="17232" xr:uid="{00000000-0005-0000-0000-0000B43B0000}"/>
    <cellStyle name="Normal 29 5 4 2 2 2" xfId="33806" xr:uid="{00000000-0005-0000-0000-0000B53B0000}"/>
    <cellStyle name="Normal 29 5 4 2 3" xfId="25759" xr:uid="{00000000-0005-0000-0000-0000B63B0000}"/>
    <cellStyle name="Normal 29 5 4 3" xfId="13373" xr:uid="{00000000-0005-0000-0000-0000B73B0000}"/>
    <cellStyle name="Normal 29 5 4 3 2" xfId="29916" xr:uid="{00000000-0005-0000-0000-0000B83B0000}"/>
    <cellStyle name="Normal 29 5 4 4" xfId="21873" xr:uid="{00000000-0005-0000-0000-0000B93B0000}"/>
    <cellStyle name="Normal 29 5 5" xfId="8055" xr:uid="{00000000-0005-0000-0000-0000BA3B0000}"/>
    <cellStyle name="Normal 29 5 5 2" xfId="17233" xr:uid="{00000000-0005-0000-0000-0000BB3B0000}"/>
    <cellStyle name="Normal 29 5 5 2 2" xfId="33807" xr:uid="{00000000-0005-0000-0000-0000BC3B0000}"/>
    <cellStyle name="Normal 29 5 5 3" xfId="25760" xr:uid="{00000000-0005-0000-0000-0000BD3B0000}"/>
    <cellStyle name="Normal 29 5 6" xfId="13366" xr:uid="{00000000-0005-0000-0000-0000BE3B0000}"/>
    <cellStyle name="Normal 29 5 6 2" xfId="29909" xr:uid="{00000000-0005-0000-0000-0000BF3B0000}"/>
    <cellStyle name="Normal 29 5 7" xfId="21866" xr:uid="{00000000-0005-0000-0000-0000C03B0000}"/>
    <cellStyle name="Normal 29 6" xfId="3973" xr:uid="{00000000-0005-0000-0000-0000C13B0000}"/>
    <cellStyle name="Normal 29 6 2" xfId="3974" xr:uid="{00000000-0005-0000-0000-0000C23B0000}"/>
    <cellStyle name="Normal 29 6 2 2" xfId="3975" xr:uid="{00000000-0005-0000-0000-0000C33B0000}"/>
    <cellStyle name="Normal 29 6 2 2 2" xfId="8056" xr:uid="{00000000-0005-0000-0000-0000C43B0000}"/>
    <cellStyle name="Normal 29 6 2 2 2 2" xfId="17234" xr:uid="{00000000-0005-0000-0000-0000C53B0000}"/>
    <cellStyle name="Normal 29 6 2 2 2 2 2" xfId="33808" xr:uid="{00000000-0005-0000-0000-0000C63B0000}"/>
    <cellStyle name="Normal 29 6 2 2 2 3" xfId="25761" xr:uid="{00000000-0005-0000-0000-0000C73B0000}"/>
    <cellStyle name="Normal 29 6 2 2 3" xfId="13376" xr:uid="{00000000-0005-0000-0000-0000C83B0000}"/>
    <cellStyle name="Normal 29 6 2 2 3 2" xfId="29919" xr:uid="{00000000-0005-0000-0000-0000C93B0000}"/>
    <cellStyle name="Normal 29 6 2 2 4" xfId="21876" xr:uid="{00000000-0005-0000-0000-0000CA3B0000}"/>
    <cellStyle name="Normal 29 6 2 3" xfId="8057" xr:uid="{00000000-0005-0000-0000-0000CB3B0000}"/>
    <cellStyle name="Normal 29 6 2 3 2" xfId="17235" xr:uid="{00000000-0005-0000-0000-0000CC3B0000}"/>
    <cellStyle name="Normal 29 6 2 3 2 2" xfId="33809" xr:uid="{00000000-0005-0000-0000-0000CD3B0000}"/>
    <cellStyle name="Normal 29 6 2 3 3" xfId="25762" xr:uid="{00000000-0005-0000-0000-0000CE3B0000}"/>
    <cellStyle name="Normal 29 6 2 4" xfId="13375" xr:uid="{00000000-0005-0000-0000-0000CF3B0000}"/>
    <cellStyle name="Normal 29 6 2 4 2" xfId="29918" xr:uid="{00000000-0005-0000-0000-0000D03B0000}"/>
    <cellStyle name="Normal 29 6 2 5" xfId="21875" xr:uid="{00000000-0005-0000-0000-0000D13B0000}"/>
    <cellStyle name="Normal 29 6 3" xfId="3976" xr:uid="{00000000-0005-0000-0000-0000D23B0000}"/>
    <cellStyle name="Normal 29 6 3 2" xfId="8058" xr:uid="{00000000-0005-0000-0000-0000D33B0000}"/>
    <cellStyle name="Normal 29 6 3 2 2" xfId="17236" xr:uid="{00000000-0005-0000-0000-0000D43B0000}"/>
    <cellStyle name="Normal 29 6 3 2 2 2" xfId="33810" xr:uid="{00000000-0005-0000-0000-0000D53B0000}"/>
    <cellStyle name="Normal 29 6 3 2 3" xfId="25763" xr:uid="{00000000-0005-0000-0000-0000D63B0000}"/>
    <cellStyle name="Normal 29 6 3 3" xfId="13377" xr:uid="{00000000-0005-0000-0000-0000D73B0000}"/>
    <cellStyle name="Normal 29 6 3 3 2" xfId="29920" xr:uid="{00000000-0005-0000-0000-0000D83B0000}"/>
    <cellStyle name="Normal 29 6 3 4" xfId="21877" xr:uid="{00000000-0005-0000-0000-0000D93B0000}"/>
    <cellStyle name="Normal 29 6 4" xfId="8059" xr:uid="{00000000-0005-0000-0000-0000DA3B0000}"/>
    <cellStyle name="Normal 29 6 4 2" xfId="17237" xr:uid="{00000000-0005-0000-0000-0000DB3B0000}"/>
    <cellStyle name="Normal 29 6 4 2 2" xfId="33811" xr:uid="{00000000-0005-0000-0000-0000DC3B0000}"/>
    <cellStyle name="Normal 29 6 4 3" xfId="25764" xr:uid="{00000000-0005-0000-0000-0000DD3B0000}"/>
    <cellStyle name="Normal 29 6 5" xfId="13374" xr:uid="{00000000-0005-0000-0000-0000DE3B0000}"/>
    <cellStyle name="Normal 29 6 5 2" xfId="29917" xr:uid="{00000000-0005-0000-0000-0000DF3B0000}"/>
    <cellStyle name="Normal 29 6 6" xfId="21874" xr:uid="{00000000-0005-0000-0000-0000E03B0000}"/>
    <cellStyle name="Normal 29 7" xfId="3977" xr:uid="{00000000-0005-0000-0000-0000E13B0000}"/>
    <cellStyle name="Normal 29 7 2" xfId="3978" xr:uid="{00000000-0005-0000-0000-0000E23B0000}"/>
    <cellStyle name="Normal 29 7 2 2" xfId="8060" xr:uid="{00000000-0005-0000-0000-0000E33B0000}"/>
    <cellStyle name="Normal 29 7 2 2 2" xfId="17238" xr:uid="{00000000-0005-0000-0000-0000E43B0000}"/>
    <cellStyle name="Normal 29 7 2 2 2 2" xfId="33812" xr:uid="{00000000-0005-0000-0000-0000E53B0000}"/>
    <cellStyle name="Normal 29 7 2 2 3" xfId="25765" xr:uid="{00000000-0005-0000-0000-0000E63B0000}"/>
    <cellStyle name="Normal 29 7 2 3" xfId="13379" xr:uid="{00000000-0005-0000-0000-0000E73B0000}"/>
    <cellStyle name="Normal 29 7 2 3 2" xfId="29922" xr:uid="{00000000-0005-0000-0000-0000E83B0000}"/>
    <cellStyle name="Normal 29 7 2 4" xfId="21879" xr:uid="{00000000-0005-0000-0000-0000E93B0000}"/>
    <cellStyle name="Normal 29 7 3" xfId="8061" xr:uid="{00000000-0005-0000-0000-0000EA3B0000}"/>
    <cellStyle name="Normal 29 7 3 2" xfId="17239" xr:uid="{00000000-0005-0000-0000-0000EB3B0000}"/>
    <cellStyle name="Normal 29 7 3 2 2" xfId="33813" xr:uid="{00000000-0005-0000-0000-0000EC3B0000}"/>
    <cellStyle name="Normal 29 7 3 3" xfId="25766" xr:uid="{00000000-0005-0000-0000-0000ED3B0000}"/>
    <cellStyle name="Normal 29 7 4" xfId="13378" xr:uid="{00000000-0005-0000-0000-0000EE3B0000}"/>
    <cellStyle name="Normal 29 7 4 2" xfId="29921" xr:uid="{00000000-0005-0000-0000-0000EF3B0000}"/>
    <cellStyle name="Normal 29 7 5" xfId="21878" xr:uid="{00000000-0005-0000-0000-0000F03B0000}"/>
    <cellStyle name="Normal 29 8" xfId="3979" xr:uid="{00000000-0005-0000-0000-0000F13B0000}"/>
    <cellStyle name="Normal 29 8 2" xfId="8062" xr:uid="{00000000-0005-0000-0000-0000F23B0000}"/>
    <cellStyle name="Normal 29 8 2 2" xfId="17240" xr:uid="{00000000-0005-0000-0000-0000F33B0000}"/>
    <cellStyle name="Normal 29 8 2 2 2" xfId="33814" xr:uid="{00000000-0005-0000-0000-0000F43B0000}"/>
    <cellStyle name="Normal 29 8 2 3" xfId="25767" xr:uid="{00000000-0005-0000-0000-0000F53B0000}"/>
    <cellStyle name="Normal 29 8 3" xfId="13380" xr:uid="{00000000-0005-0000-0000-0000F63B0000}"/>
    <cellStyle name="Normal 29 8 3 2" xfId="29923" xr:uid="{00000000-0005-0000-0000-0000F73B0000}"/>
    <cellStyle name="Normal 29 8 4" xfId="21880" xr:uid="{00000000-0005-0000-0000-0000F83B0000}"/>
    <cellStyle name="Normal 29 9" xfId="8063" xr:uid="{00000000-0005-0000-0000-0000F93B0000}"/>
    <cellStyle name="Normal 29 9 2" xfId="17241" xr:uid="{00000000-0005-0000-0000-0000FA3B0000}"/>
    <cellStyle name="Normal 29 9 2 2" xfId="33815" xr:uid="{00000000-0005-0000-0000-0000FB3B0000}"/>
    <cellStyle name="Normal 29 9 3" xfId="25768" xr:uid="{00000000-0005-0000-0000-0000FC3B0000}"/>
    <cellStyle name="Normal 290" xfId="10887" xr:uid="{00000000-0005-0000-0000-0000FD3B0000}"/>
    <cellStyle name="Normal 291" xfId="10890" xr:uid="{00000000-0005-0000-0000-0000FE3B0000}"/>
    <cellStyle name="Normal 292" xfId="10913" xr:uid="{00000000-0005-0000-0000-0000FF3B0000}"/>
    <cellStyle name="Normal 293" xfId="10932" xr:uid="{00000000-0005-0000-0000-0000003C0000}"/>
    <cellStyle name="Normal 294" xfId="10906" xr:uid="{00000000-0005-0000-0000-0000013C0000}"/>
    <cellStyle name="Normal 295" xfId="10931" xr:uid="{00000000-0005-0000-0000-0000023C0000}"/>
    <cellStyle name="Normal 296" xfId="10924" xr:uid="{00000000-0005-0000-0000-0000033C0000}"/>
    <cellStyle name="Normal 297" xfId="10930" xr:uid="{00000000-0005-0000-0000-0000043C0000}"/>
    <cellStyle name="Normal 298" xfId="10926" xr:uid="{00000000-0005-0000-0000-0000053C0000}"/>
    <cellStyle name="Normal 299" xfId="10929" xr:uid="{00000000-0005-0000-0000-0000063C0000}"/>
    <cellStyle name="Normal 3" xfId="50" xr:uid="{00000000-0005-0000-0000-0000073C0000}"/>
    <cellStyle name="Normal 3 2" xfId="5" xr:uid="{00000000-0005-0000-0000-0000083C0000}"/>
    <cellStyle name="Normal 3 2 2" xfId="260" xr:uid="{00000000-0005-0000-0000-0000093C0000}"/>
    <cellStyle name="Normal 3 2 2 2" xfId="8064" xr:uid="{00000000-0005-0000-0000-00000A3C0000}"/>
    <cellStyle name="Normal 3 2 2 3" xfId="3981" xr:uid="{00000000-0005-0000-0000-00000B3C0000}"/>
    <cellStyle name="Normal 3 2 2 3 2" xfId="29924" xr:uid="{00000000-0005-0000-0000-00000C3C0000}"/>
    <cellStyle name="Normal 3 2 2 4" xfId="21881" xr:uid="{00000000-0005-0000-0000-00000D3C0000}"/>
    <cellStyle name="Normal 3 2 3" xfId="261" xr:uid="{00000000-0005-0000-0000-00000E3C0000}"/>
    <cellStyle name="Normal 3 2 3 2" xfId="10914" xr:uid="{00000000-0005-0000-0000-00000F3C0000}"/>
    <cellStyle name="Normal 3 3" xfId="262" xr:uid="{00000000-0005-0000-0000-0000103C0000}"/>
    <cellStyle name="Normal 3 3 2" xfId="263" xr:uid="{00000000-0005-0000-0000-0000113C0000}"/>
    <cellStyle name="Normal 3 3 2 2" xfId="3983" xr:uid="{00000000-0005-0000-0000-0000123C0000}"/>
    <cellStyle name="Normal 3 3 3" xfId="6644" xr:uid="{00000000-0005-0000-0000-0000133C0000}"/>
    <cellStyle name="Normal 3 3 3 2" xfId="15857" xr:uid="{00000000-0005-0000-0000-0000143C0000}"/>
    <cellStyle name="Normal 3 3 3 2 2" xfId="32429" xr:uid="{00000000-0005-0000-0000-0000153C0000}"/>
    <cellStyle name="Normal 3 3 3 3" xfId="24382" xr:uid="{00000000-0005-0000-0000-0000163C0000}"/>
    <cellStyle name="Normal 3 3 4" xfId="3982" xr:uid="{00000000-0005-0000-0000-0000173C0000}"/>
    <cellStyle name="Normal 3 4" xfId="264" xr:uid="{00000000-0005-0000-0000-0000183C0000}"/>
    <cellStyle name="Normal 3 4 2" xfId="265" xr:uid="{00000000-0005-0000-0000-0000193C0000}"/>
    <cellStyle name="Normal 3 4 2 2" xfId="19580" xr:uid="{00000000-0005-0000-0000-00001A3C0000}"/>
    <cellStyle name="Normal 3 4 2 2 2" xfId="36156" xr:uid="{00000000-0005-0000-0000-00001B3C0000}"/>
    <cellStyle name="Normal 3 4 2 3" xfId="28110" xr:uid="{00000000-0005-0000-0000-00001C3C0000}"/>
    <cellStyle name="Normal 3 4 3" xfId="3980" xr:uid="{00000000-0005-0000-0000-00001D3C0000}"/>
    <cellStyle name="Normal 3 5" xfId="266" xr:uid="{00000000-0005-0000-0000-00001E3C0000}"/>
    <cellStyle name="Normal 3 6" xfId="451" xr:uid="{00000000-0005-0000-0000-00001F3C0000}"/>
    <cellStyle name="Normal 3 6 2" xfId="2154" xr:uid="{00000000-0005-0000-0000-0000203C0000}"/>
    <cellStyle name="Normal 3 7" xfId="1731" xr:uid="{00000000-0005-0000-0000-0000213C0000}"/>
    <cellStyle name="Normal 3 8" xfId="1946" xr:uid="{00000000-0005-0000-0000-0000223C0000}"/>
    <cellStyle name="Normal 30" xfId="3984" xr:uid="{00000000-0005-0000-0000-0000233C0000}"/>
    <cellStyle name="Normal 30 10" xfId="13381" xr:uid="{00000000-0005-0000-0000-0000243C0000}"/>
    <cellStyle name="Normal 30 10 2" xfId="29925" xr:uid="{00000000-0005-0000-0000-0000253C0000}"/>
    <cellStyle name="Normal 30 11" xfId="21882" xr:uid="{00000000-0005-0000-0000-0000263C0000}"/>
    <cellStyle name="Normal 30 2" xfId="3985" xr:uid="{00000000-0005-0000-0000-0000273C0000}"/>
    <cellStyle name="Normal 30 2 2" xfId="3986" xr:uid="{00000000-0005-0000-0000-0000283C0000}"/>
    <cellStyle name="Normal 30 2 3" xfId="13382" xr:uid="{00000000-0005-0000-0000-0000293C0000}"/>
    <cellStyle name="Normal 30 2 3 2" xfId="29926" xr:uid="{00000000-0005-0000-0000-00002A3C0000}"/>
    <cellStyle name="Normal 30 2 4" xfId="21883" xr:uid="{00000000-0005-0000-0000-00002B3C0000}"/>
    <cellStyle name="Normal 30 3" xfId="3987" xr:uid="{00000000-0005-0000-0000-00002C3C0000}"/>
    <cellStyle name="Normal 30 3 2" xfId="3988" xr:uid="{00000000-0005-0000-0000-00002D3C0000}"/>
    <cellStyle name="Normal 30 3 2 2" xfId="3989" xr:uid="{00000000-0005-0000-0000-00002E3C0000}"/>
    <cellStyle name="Normal 30 3 2 2 2" xfId="3990" xr:uid="{00000000-0005-0000-0000-00002F3C0000}"/>
    <cellStyle name="Normal 30 3 2 2 2 2" xfId="8065" xr:uid="{00000000-0005-0000-0000-0000303C0000}"/>
    <cellStyle name="Normal 30 3 2 2 2 2 2" xfId="17242" xr:uid="{00000000-0005-0000-0000-0000313C0000}"/>
    <cellStyle name="Normal 30 3 2 2 2 2 2 2" xfId="33816" xr:uid="{00000000-0005-0000-0000-0000323C0000}"/>
    <cellStyle name="Normal 30 3 2 2 2 2 3" xfId="25769" xr:uid="{00000000-0005-0000-0000-0000333C0000}"/>
    <cellStyle name="Normal 30 3 2 2 2 3" xfId="13385" xr:uid="{00000000-0005-0000-0000-0000343C0000}"/>
    <cellStyle name="Normal 30 3 2 2 2 3 2" xfId="29929" xr:uid="{00000000-0005-0000-0000-0000353C0000}"/>
    <cellStyle name="Normal 30 3 2 2 2 4" xfId="21886" xr:uid="{00000000-0005-0000-0000-0000363C0000}"/>
    <cellStyle name="Normal 30 3 2 2 3" xfId="8066" xr:uid="{00000000-0005-0000-0000-0000373C0000}"/>
    <cellStyle name="Normal 30 3 2 2 3 2" xfId="17243" xr:uid="{00000000-0005-0000-0000-0000383C0000}"/>
    <cellStyle name="Normal 30 3 2 2 3 2 2" xfId="33817" xr:uid="{00000000-0005-0000-0000-0000393C0000}"/>
    <cellStyle name="Normal 30 3 2 2 3 3" xfId="25770" xr:uid="{00000000-0005-0000-0000-00003A3C0000}"/>
    <cellStyle name="Normal 30 3 2 2 4" xfId="13384" xr:uid="{00000000-0005-0000-0000-00003B3C0000}"/>
    <cellStyle name="Normal 30 3 2 2 4 2" xfId="29928" xr:uid="{00000000-0005-0000-0000-00003C3C0000}"/>
    <cellStyle name="Normal 30 3 2 2 5" xfId="21885" xr:uid="{00000000-0005-0000-0000-00003D3C0000}"/>
    <cellStyle name="Normal 30 3 2 3" xfId="3991" xr:uid="{00000000-0005-0000-0000-00003E3C0000}"/>
    <cellStyle name="Normal 30 3 2 3 2" xfId="8067" xr:uid="{00000000-0005-0000-0000-00003F3C0000}"/>
    <cellStyle name="Normal 30 3 2 3 2 2" xfId="17244" xr:uid="{00000000-0005-0000-0000-0000403C0000}"/>
    <cellStyle name="Normal 30 3 2 3 2 2 2" xfId="33818" xr:uid="{00000000-0005-0000-0000-0000413C0000}"/>
    <cellStyle name="Normal 30 3 2 3 2 3" xfId="25771" xr:uid="{00000000-0005-0000-0000-0000423C0000}"/>
    <cellStyle name="Normal 30 3 2 3 3" xfId="13386" xr:uid="{00000000-0005-0000-0000-0000433C0000}"/>
    <cellStyle name="Normal 30 3 2 3 3 2" xfId="29930" xr:uid="{00000000-0005-0000-0000-0000443C0000}"/>
    <cellStyle name="Normal 30 3 2 3 4" xfId="21887" xr:uid="{00000000-0005-0000-0000-0000453C0000}"/>
    <cellStyle name="Normal 30 3 2 4" xfId="8068" xr:uid="{00000000-0005-0000-0000-0000463C0000}"/>
    <cellStyle name="Normal 30 3 2 4 2" xfId="17245" xr:uid="{00000000-0005-0000-0000-0000473C0000}"/>
    <cellStyle name="Normal 30 3 2 4 2 2" xfId="33819" xr:uid="{00000000-0005-0000-0000-0000483C0000}"/>
    <cellStyle name="Normal 30 3 2 4 3" xfId="25772" xr:uid="{00000000-0005-0000-0000-0000493C0000}"/>
    <cellStyle name="Normal 30 3 2 5" xfId="13383" xr:uid="{00000000-0005-0000-0000-00004A3C0000}"/>
    <cellStyle name="Normal 30 3 2 5 2" xfId="29927" xr:uid="{00000000-0005-0000-0000-00004B3C0000}"/>
    <cellStyle name="Normal 30 3 2 6" xfId="21884" xr:uid="{00000000-0005-0000-0000-00004C3C0000}"/>
    <cellStyle name="Normal 30 3 3" xfId="3992" xr:uid="{00000000-0005-0000-0000-00004D3C0000}"/>
    <cellStyle name="Normal 30 3 3 2" xfId="3993" xr:uid="{00000000-0005-0000-0000-00004E3C0000}"/>
    <cellStyle name="Normal 30 3 3 2 2" xfId="8069" xr:uid="{00000000-0005-0000-0000-00004F3C0000}"/>
    <cellStyle name="Normal 30 3 3 2 2 2" xfId="17246" xr:uid="{00000000-0005-0000-0000-0000503C0000}"/>
    <cellStyle name="Normal 30 3 3 2 2 2 2" xfId="33820" xr:uid="{00000000-0005-0000-0000-0000513C0000}"/>
    <cellStyle name="Normal 30 3 3 2 2 3" xfId="25773" xr:uid="{00000000-0005-0000-0000-0000523C0000}"/>
    <cellStyle name="Normal 30 3 3 2 3" xfId="13388" xr:uid="{00000000-0005-0000-0000-0000533C0000}"/>
    <cellStyle name="Normal 30 3 3 2 3 2" xfId="29932" xr:uid="{00000000-0005-0000-0000-0000543C0000}"/>
    <cellStyle name="Normal 30 3 3 2 4" xfId="21889" xr:uid="{00000000-0005-0000-0000-0000553C0000}"/>
    <cellStyle name="Normal 30 3 3 3" xfId="8070" xr:uid="{00000000-0005-0000-0000-0000563C0000}"/>
    <cellStyle name="Normal 30 3 3 3 2" xfId="17247" xr:uid="{00000000-0005-0000-0000-0000573C0000}"/>
    <cellStyle name="Normal 30 3 3 3 2 2" xfId="33821" xr:uid="{00000000-0005-0000-0000-0000583C0000}"/>
    <cellStyle name="Normal 30 3 3 3 3" xfId="25774" xr:uid="{00000000-0005-0000-0000-0000593C0000}"/>
    <cellStyle name="Normal 30 3 3 4" xfId="13387" xr:uid="{00000000-0005-0000-0000-00005A3C0000}"/>
    <cellStyle name="Normal 30 3 3 4 2" xfId="29931" xr:uid="{00000000-0005-0000-0000-00005B3C0000}"/>
    <cellStyle name="Normal 30 3 3 5" xfId="21888" xr:uid="{00000000-0005-0000-0000-00005C3C0000}"/>
    <cellStyle name="Normal 30 3 4" xfId="3994" xr:uid="{00000000-0005-0000-0000-00005D3C0000}"/>
    <cellStyle name="Normal 30 3 4 2" xfId="8071" xr:uid="{00000000-0005-0000-0000-00005E3C0000}"/>
    <cellStyle name="Normal 30 3 4 2 2" xfId="17248" xr:uid="{00000000-0005-0000-0000-00005F3C0000}"/>
    <cellStyle name="Normal 30 3 4 2 2 2" xfId="33822" xr:uid="{00000000-0005-0000-0000-0000603C0000}"/>
    <cellStyle name="Normal 30 3 4 2 3" xfId="25775" xr:uid="{00000000-0005-0000-0000-0000613C0000}"/>
    <cellStyle name="Normal 30 3 4 3" xfId="13389" xr:uid="{00000000-0005-0000-0000-0000623C0000}"/>
    <cellStyle name="Normal 30 3 4 3 2" xfId="29933" xr:uid="{00000000-0005-0000-0000-0000633C0000}"/>
    <cellStyle name="Normal 30 3 4 4" xfId="21890" xr:uid="{00000000-0005-0000-0000-0000643C0000}"/>
    <cellStyle name="Normal 30 3 5" xfId="3995" xr:uid="{00000000-0005-0000-0000-0000653C0000}"/>
    <cellStyle name="Normal 30 3 5 2" xfId="13390" xr:uid="{00000000-0005-0000-0000-0000663C0000}"/>
    <cellStyle name="Normal 30 3 5 2 2" xfId="29934" xr:uid="{00000000-0005-0000-0000-0000673C0000}"/>
    <cellStyle name="Normal 30 3 5 3" xfId="21891" xr:uid="{00000000-0005-0000-0000-0000683C0000}"/>
    <cellStyle name="Normal 30 4" xfId="3996" xr:uid="{00000000-0005-0000-0000-0000693C0000}"/>
    <cellStyle name="Normal 30 4 2" xfId="3997" xr:uid="{00000000-0005-0000-0000-00006A3C0000}"/>
    <cellStyle name="Normal 30 4 2 2" xfId="3998" xr:uid="{00000000-0005-0000-0000-00006B3C0000}"/>
    <cellStyle name="Normal 30 4 2 2 2" xfId="3999" xr:uid="{00000000-0005-0000-0000-00006C3C0000}"/>
    <cellStyle name="Normal 30 4 2 2 2 2" xfId="8072" xr:uid="{00000000-0005-0000-0000-00006D3C0000}"/>
    <cellStyle name="Normal 30 4 2 2 2 2 2" xfId="17249" xr:uid="{00000000-0005-0000-0000-00006E3C0000}"/>
    <cellStyle name="Normal 30 4 2 2 2 2 2 2" xfId="33823" xr:uid="{00000000-0005-0000-0000-00006F3C0000}"/>
    <cellStyle name="Normal 30 4 2 2 2 2 3" xfId="25776" xr:uid="{00000000-0005-0000-0000-0000703C0000}"/>
    <cellStyle name="Normal 30 4 2 2 2 3" xfId="13394" xr:uid="{00000000-0005-0000-0000-0000713C0000}"/>
    <cellStyle name="Normal 30 4 2 2 2 3 2" xfId="29938" xr:uid="{00000000-0005-0000-0000-0000723C0000}"/>
    <cellStyle name="Normal 30 4 2 2 2 4" xfId="21895" xr:uid="{00000000-0005-0000-0000-0000733C0000}"/>
    <cellStyle name="Normal 30 4 2 2 3" xfId="8073" xr:uid="{00000000-0005-0000-0000-0000743C0000}"/>
    <cellStyle name="Normal 30 4 2 2 3 2" xfId="17250" xr:uid="{00000000-0005-0000-0000-0000753C0000}"/>
    <cellStyle name="Normal 30 4 2 2 3 2 2" xfId="33824" xr:uid="{00000000-0005-0000-0000-0000763C0000}"/>
    <cellStyle name="Normal 30 4 2 2 3 3" xfId="25777" xr:uid="{00000000-0005-0000-0000-0000773C0000}"/>
    <cellStyle name="Normal 30 4 2 2 4" xfId="13393" xr:uid="{00000000-0005-0000-0000-0000783C0000}"/>
    <cellStyle name="Normal 30 4 2 2 4 2" xfId="29937" xr:uid="{00000000-0005-0000-0000-0000793C0000}"/>
    <cellStyle name="Normal 30 4 2 2 5" xfId="21894" xr:uid="{00000000-0005-0000-0000-00007A3C0000}"/>
    <cellStyle name="Normal 30 4 2 3" xfId="4000" xr:uid="{00000000-0005-0000-0000-00007B3C0000}"/>
    <cellStyle name="Normal 30 4 2 3 2" xfId="8074" xr:uid="{00000000-0005-0000-0000-00007C3C0000}"/>
    <cellStyle name="Normal 30 4 2 3 2 2" xfId="17251" xr:uid="{00000000-0005-0000-0000-00007D3C0000}"/>
    <cellStyle name="Normal 30 4 2 3 2 2 2" xfId="33825" xr:uid="{00000000-0005-0000-0000-00007E3C0000}"/>
    <cellStyle name="Normal 30 4 2 3 2 3" xfId="25778" xr:uid="{00000000-0005-0000-0000-00007F3C0000}"/>
    <cellStyle name="Normal 30 4 2 3 3" xfId="13395" xr:uid="{00000000-0005-0000-0000-0000803C0000}"/>
    <cellStyle name="Normal 30 4 2 3 3 2" xfId="29939" xr:uid="{00000000-0005-0000-0000-0000813C0000}"/>
    <cellStyle name="Normal 30 4 2 3 4" xfId="21896" xr:uid="{00000000-0005-0000-0000-0000823C0000}"/>
    <cellStyle name="Normal 30 4 2 4" xfId="8075" xr:uid="{00000000-0005-0000-0000-0000833C0000}"/>
    <cellStyle name="Normal 30 4 2 4 2" xfId="17252" xr:uid="{00000000-0005-0000-0000-0000843C0000}"/>
    <cellStyle name="Normal 30 4 2 4 2 2" xfId="33826" xr:uid="{00000000-0005-0000-0000-0000853C0000}"/>
    <cellStyle name="Normal 30 4 2 4 3" xfId="25779" xr:uid="{00000000-0005-0000-0000-0000863C0000}"/>
    <cellStyle name="Normal 30 4 2 5" xfId="13392" xr:uid="{00000000-0005-0000-0000-0000873C0000}"/>
    <cellStyle name="Normal 30 4 2 5 2" xfId="29936" xr:uid="{00000000-0005-0000-0000-0000883C0000}"/>
    <cellStyle name="Normal 30 4 2 6" xfId="21893" xr:uid="{00000000-0005-0000-0000-0000893C0000}"/>
    <cellStyle name="Normal 30 4 3" xfId="4001" xr:uid="{00000000-0005-0000-0000-00008A3C0000}"/>
    <cellStyle name="Normal 30 4 3 2" xfId="4002" xr:uid="{00000000-0005-0000-0000-00008B3C0000}"/>
    <cellStyle name="Normal 30 4 3 2 2" xfId="8076" xr:uid="{00000000-0005-0000-0000-00008C3C0000}"/>
    <cellStyle name="Normal 30 4 3 2 2 2" xfId="17253" xr:uid="{00000000-0005-0000-0000-00008D3C0000}"/>
    <cellStyle name="Normal 30 4 3 2 2 2 2" xfId="33827" xr:uid="{00000000-0005-0000-0000-00008E3C0000}"/>
    <cellStyle name="Normal 30 4 3 2 2 3" xfId="25780" xr:uid="{00000000-0005-0000-0000-00008F3C0000}"/>
    <cellStyle name="Normal 30 4 3 2 3" xfId="13397" xr:uid="{00000000-0005-0000-0000-0000903C0000}"/>
    <cellStyle name="Normal 30 4 3 2 3 2" xfId="29941" xr:uid="{00000000-0005-0000-0000-0000913C0000}"/>
    <cellStyle name="Normal 30 4 3 2 4" xfId="21898" xr:uid="{00000000-0005-0000-0000-0000923C0000}"/>
    <cellStyle name="Normal 30 4 3 3" xfId="8077" xr:uid="{00000000-0005-0000-0000-0000933C0000}"/>
    <cellStyle name="Normal 30 4 3 3 2" xfId="17254" xr:uid="{00000000-0005-0000-0000-0000943C0000}"/>
    <cellStyle name="Normal 30 4 3 3 2 2" xfId="33828" xr:uid="{00000000-0005-0000-0000-0000953C0000}"/>
    <cellStyle name="Normal 30 4 3 3 3" xfId="25781" xr:uid="{00000000-0005-0000-0000-0000963C0000}"/>
    <cellStyle name="Normal 30 4 3 4" xfId="13396" xr:uid="{00000000-0005-0000-0000-0000973C0000}"/>
    <cellStyle name="Normal 30 4 3 4 2" xfId="29940" xr:uid="{00000000-0005-0000-0000-0000983C0000}"/>
    <cellStyle name="Normal 30 4 3 5" xfId="21897" xr:uid="{00000000-0005-0000-0000-0000993C0000}"/>
    <cellStyle name="Normal 30 4 4" xfId="4003" xr:uid="{00000000-0005-0000-0000-00009A3C0000}"/>
    <cellStyle name="Normal 30 4 4 2" xfId="8078" xr:uid="{00000000-0005-0000-0000-00009B3C0000}"/>
    <cellStyle name="Normal 30 4 4 2 2" xfId="17255" xr:uid="{00000000-0005-0000-0000-00009C3C0000}"/>
    <cellStyle name="Normal 30 4 4 2 2 2" xfId="33829" xr:uid="{00000000-0005-0000-0000-00009D3C0000}"/>
    <cellStyle name="Normal 30 4 4 2 3" xfId="25782" xr:uid="{00000000-0005-0000-0000-00009E3C0000}"/>
    <cellStyle name="Normal 30 4 4 3" xfId="13398" xr:uid="{00000000-0005-0000-0000-00009F3C0000}"/>
    <cellStyle name="Normal 30 4 4 3 2" xfId="29942" xr:uid="{00000000-0005-0000-0000-0000A03C0000}"/>
    <cellStyle name="Normal 30 4 4 4" xfId="21899" xr:uid="{00000000-0005-0000-0000-0000A13C0000}"/>
    <cellStyle name="Normal 30 4 5" xfId="8079" xr:uid="{00000000-0005-0000-0000-0000A23C0000}"/>
    <cellStyle name="Normal 30 4 5 2" xfId="17256" xr:uid="{00000000-0005-0000-0000-0000A33C0000}"/>
    <cellStyle name="Normal 30 4 5 2 2" xfId="33830" xr:uid="{00000000-0005-0000-0000-0000A43C0000}"/>
    <cellStyle name="Normal 30 4 5 3" xfId="25783" xr:uid="{00000000-0005-0000-0000-0000A53C0000}"/>
    <cellStyle name="Normal 30 4 6" xfId="13391" xr:uid="{00000000-0005-0000-0000-0000A63C0000}"/>
    <cellStyle name="Normal 30 4 6 2" xfId="29935" xr:uid="{00000000-0005-0000-0000-0000A73C0000}"/>
    <cellStyle name="Normal 30 4 7" xfId="21892" xr:uid="{00000000-0005-0000-0000-0000A83C0000}"/>
    <cellStyle name="Normal 30 5" xfId="4004" xr:uid="{00000000-0005-0000-0000-0000A93C0000}"/>
    <cellStyle name="Normal 30 5 2" xfId="4005" xr:uid="{00000000-0005-0000-0000-0000AA3C0000}"/>
    <cellStyle name="Normal 30 5 2 2" xfId="4006" xr:uid="{00000000-0005-0000-0000-0000AB3C0000}"/>
    <cellStyle name="Normal 30 5 2 2 2" xfId="4007" xr:uid="{00000000-0005-0000-0000-0000AC3C0000}"/>
    <cellStyle name="Normal 30 5 2 2 2 2" xfId="8080" xr:uid="{00000000-0005-0000-0000-0000AD3C0000}"/>
    <cellStyle name="Normal 30 5 2 2 2 2 2" xfId="17257" xr:uid="{00000000-0005-0000-0000-0000AE3C0000}"/>
    <cellStyle name="Normal 30 5 2 2 2 2 2 2" xfId="33831" xr:uid="{00000000-0005-0000-0000-0000AF3C0000}"/>
    <cellStyle name="Normal 30 5 2 2 2 2 3" xfId="25784" xr:uid="{00000000-0005-0000-0000-0000B03C0000}"/>
    <cellStyle name="Normal 30 5 2 2 2 3" xfId="13402" xr:uid="{00000000-0005-0000-0000-0000B13C0000}"/>
    <cellStyle name="Normal 30 5 2 2 2 3 2" xfId="29946" xr:uid="{00000000-0005-0000-0000-0000B23C0000}"/>
    <cellStyle name="Normal 30 5 2 2 2 4" xfId="21903" xr:uid="{00000000-0005-0000-0000-0000B33C0000}"/>
    <cellStyle name="Normal 30 5 2 2 3" xfId="8081" xr:uid="{00000000-0005-0000-0000-0000B43C0000}"/>
    <cellStyle name="Normal 30 5 2 2 3 2" xfId="17258" xr:uid="{00000000-0005-0000-0000-0000B53C0000}"/>
    <cellStyle name="Normal 30 5 2 2 3 2 2" xfId="33832" xr:uid="{00000000-0005-0000-0000-0000B63C0000}"/>
    <cellStyle name="Normal 30 5 2 2 3 3" xfId="25785" xr:uid="{00000000-0005-0000-0000-0000B73C0000}"/>
    <cellStyle name="Normal 30 5 2 2 4" xfId="13401" xr:uid="{00000000-0005-0000-0000-0000B83C0000}"/>
    <cellStyle name="Normal 30 5 2 2 4 2" xfId="29945" xr:uid="{00000000-0005-0000-0000-0000B93C0000}"/>
    <cellStyle name="Normal 30 5 2 2 5" xfId="21902" xr:uid="{00000000-0005-0000-0000-0000BA3C0000}"/>
    <cellStyle name="Normal 30 5 2 3" xfId="4008" xr:uid="{00000000-0005-0000-0000-0000BB3C0000}"/>
    <cellStyle name="Normal 30 5 2 3 2" xfId="8082" xr:uid="{00000000-0005-0000-0000-0000BC3C0000}"/>
    <cellStyle name="Normal 30 5 2 3 2 2" xfId="17259" xr:uid="{00000000-0005-0000-0000-0000BD3C0000}"/>
    <cellStyle name="Normal 30 5 2 3 2 2 2" xfId="33833" xr:uid="{00000000-0005-0000-0000-0000BE3C0000}"/>
    <cellStyle name="Normal 30 5 2 3 2 3" xfId="25786" xr:uid="{00000000-0005-0000-0000-0000BF3C0000}"/>
    <cellStyle name="Normal 30 5 2 3 3" xfId="13403" xr:uid="{00000000-0005-0000-0000-0000C03C0000}"/>
    <cellStyle name="Normal 30 5 2 3 3 2" xfId="29947" xr:uid="{00000000-0005-0000-0000-0000C13C0000}"/>
    <cellStyle name="Normal 30 5 2 3 4" xfId="21904" xr:uid="{00000000-0005-0000-0000-0000C23C0000}"/>
    <cellStyle name="Normal 30 5 2 4" xfId="8083" xr:uid="{00000000-0005-0000-0000-0000C33C0000}"/>
    <cellStyle name="Normal 30 5 2 4 2" xfId="17260" xr:uid="{00000000-0005-0000-0000-0000C43C0000}"/>
    <cellStyle name="Normal 30 5 2 4 2 2" xfId="33834" xr:uid="{00000000-0005-0000-0000-0000C53C0000}"/>
    <cellStyle name="Normal 30 5 2 4 3" xfId="25787" xr:uid="{00000000-0005-0000-0000-0000C63C0000}"/>
    <cellStyle name="Normal 30 5 2 5" xfId="13400" xr:uid="{00000000-0005-0000-0000-0000C73C0000}"/>
    <cellStyle name="Normal 30 5 2 5 2" xfId="29944" xr:uid="{00000000-0005-0000-0000-0000C83C0000}"/>
    <cellStyle name="Normal 30 5 2 6" xfId="21901" xr:uid="{00000000-0005-0000-0000-0000C93C0000}"/>
    <cellStyle name="Normal 30 5 3" xfId="4009" xr:uid="{00000000-0005-0000-0000-0000CA3C0000}"/>
    <cellStyle name="Normal 30 5 3 2" xfId="4010" xr:uid="{00000000-0005-0000-0000-0000CB3C0000}"/>
    <cellStyle name="Normal 30 5 3 2 2" xfId="8084" xr:uid="{00000000-0005-0000-0000-0000CC3C0000}"/>
    <cellStyle name="Normal 30 5 3 2 2 2" xfId="17261" xr:uid="{00000000-0005-0000-0000-0000CD3C0000}"/>
    <cellStyle name="Normal 30 5 3 2 2 2 2" xfId="33835" xr:uid="{00000000-0005-0000-0000-0000CE3C0000}"/>
    <cellStyle name="Normal 30 5 3 2 2 3" xfId="25788" xr:uid="{00000000-0005-0000-0000-0000CF3C0000}"/>
    <cellStyle name="Normal 30 5 3 2 3" xfId="13405" xr:uid="{00000000-0005-0000-0000-0000D03C0000}"/>
    <cellStyle name="Normal 30 5 3 2 3 2" xfId="29949" xr:uid="{00000000-0005-0000-0000-0000D13C0000}"/>
    <cellStyle name="Normal 30 5 3 2 4" xfId="21906" xr:uid="{00000000-0005-0000-0000-0000D23C0000}"/>
    <cellStyle name="Normal 30 5 3 3" xfId="8085" xr:uid="{00000000-0005-0000-0000-0000D33C0000}"/>
    <cellStyle name="Normal 30 5 3 3 2" xfId="17262" xr:uid="{00000000-0005-0000-0000-0000D43C0000}"/>
    <cellStyle name="Normal 30 5 3 3 2 2" xfId="33836" xr:uid="{00000000-0005-0000-0000-0000D53C0000}"/>
    <cellStyle name="Normal 30 5 3 3 3" xfId="25789" xr:uid="{00000000-0005-0000-0000-0000D63C0000}"/>
    <cellStyle name="Normal 30 5 3 4" xfId="13404" xr:uid="{00000000-0005-0000-0000-0000D73C0000}"/>
    <cellStyle name="Normal 30 5 3 4 2" xfId="29948" xr:uid="{00000000-0005-0000-0000-0000D83C0000}"/>
    <cellStyle name="Normal 30 5 3 5" xfId="21905" xr:uid="{00000000-0005-0000-0000-0000D93C0000}"/>
    <cellStyle name="Normal 30 5 4" xfId="4011" xr:uid="{00000000-0005-0000-0000-0000DA3C0000}"/>
    <cellStyle name="Normal 30 5 4 2" xfId="8086" xr:uid="{00000000-0005-0000-0000-0000DB3C0000}"/>
    <cellStyle name="Normal 30 5 4 2 2" xfId="17263" xr:uid="{00000000-0005-0000-0000-0000DC3C0000}"/>
    <cellStyle name="Normal 30 5 4 2 2 2" xfId="33837" xr:uid="{00000000-0005-0000-0000-0000DD3C0000}"/>
    <cellStyle name="Normal 30 5 4 2 3" xfId="25790" xr:uid="{00000000-0005-0000-0000-0000DE3C0000}"/>
    <cellStyle name="Normal 30 5 4 3" xfId="13406" xr:uid="{00000000-0005-0000-0000-0000DF3C0000}"/>
    <cellStyle name="Normal 30 5 4 3 2" xfId="29950" xr:uid="{00000000-0005-0000-0000-0000E03C0000}"/>
    <cellStyle name="Normal 30 5 4 4" xfId="21907" xr:uid="{00000000-0005-0000-0000-0000E13C0000}"/>
    <cellStyle name="Normal 30 5 5" xfId="8087" xr:uid="{00000000-0005-0000-0000-0000E23C0000}"/>
    <cellStyle name="Normal 30 5 5 2" xfId="17264" xr:uid="{00000000-0005-0000-0000-0000E33C0000}"/>
    <cellStyle name="Normal 30 5 5 2 2" xfId="33838" xr:uid="{00000000-0005-0000-0000-0000E43C0000}"/>
    <cellStyle name="Normal 30 5 5 3" xfId="25791" xr:uid="{00000000-0005-0000-0000-0000E53C0000}"/>
    <cellStyle name="Normal 30 5 6" xfId="13399" xr:uid="{00000000-0005-0000-0000-0000E63C0000}"/>
    <cellStyle name="Normal 30 5 6 2" xfId="29943" xr:uid="{00000000-0005-0000-0000-0000E73C0000}"/>
    <cellStyle name="Normal 30 5 7" xfId="21900" xr:uid="{00000000-0005-0000-0000-0000E83C0000}"/>
    <cellStyle name="Normal 30 6" xfId="4012" xr:uid="{00000000-0005-0000-0000-0000E93C0000}"/>
    <cellStyle name="Normal 30 6 2" xfId="4013" xr:uid="{00000000-0005-0000-0000-0000EA3C0000}"/>
    <cellStyle name="Normal 30 6 2 2" xfId="4014" xr:uid="{00000000-0005-0000-0000-0000EB3C0000}"/>
    <cellStyle name="Normal 30 6 2 2 2" xfId="8088" xr:uid="{00000000-0005-0000-0000-0000EC3C0000}"/>
    <cellStyle name="Normal 30 6 2 2 2 2" xfId="17265" xr:uid="{00000000-0005-0000-0000-0000ED3C0000}"/>
    <cellStyle name="Normal 30 6 2 2 2 2 2" xfId="33839" xr:uid="{00000000-0005-0000-0000-0000EE3C0000}"/>
    <cellStyle name="Normal 30 6 2 2 2 3" xfId="25792" xr:uid="{00000000-0005-0000-0000-0000EF3C0000}"/>
    <cellStyle name="Normal 30 6 2 2 3" xfId="13409" xr:uid="{00000000-0005-0000-0000-0000F03C0000}"/>
    <cellStyle name="Normal 30 6 2 2 3 2" xfId="29953" xr:uid="{00000000-0005-0000-0000-0000F13C0000}"/>
    <cellStyle name="Normal 30 6 2 2 4" xfId="21910" xr:uid="{00000000-0005-0000-0000-0000F23C0000}"/>
    <cellStyle name="Normal 30 6 2 3" xfId="8089" xr:uid="{00000000-0005-0000-0000-0000F33C0000}"/>
    <cellStyle name="Normal 30 6 2 3 2" xfId="17266" xr:uid="{00000000-0005-0000-0000-0000F43C0000}"/>
    <cellStyle name="Normal 30 6 2 3 2 2" xfId="33840" xr:uid="{00000000-0005-0000-0000-0000F53C0000}"/>
    <cellStyle name="Normal 30 6 2 3 3" xfId="25793" xr:uid="{00000000-0005-0000-0000-0000F63C0000}"/>
    <cellStyle name="Normal 30 6 2 4" xfId="13408" xr:uid="{00000000-0005-0000-0000-0000F73C0000}"/>
    <cellStyle name="Normal 30 6 2 4 2" xfId="29952" xr:uid="{00000000-0005-0000-0000-0000F83C0000}"/>
    <cellStyle name="Normal 30 6 2 5" xfId="21909" xr:uid="{00000000-0005-0000-0000-0000F93C0000}"/>
    <cellStyle name="Normal 30 6 3" xfId="4015" xr:uid="{00000000-0005-0000-0000-0000FA3C0000}"/>
    <cellStyle name="Normal 30 6 3 2" xfId="8090" xr:uid="{00000000-0005-0000-0000-0000FB3C0000}"/>
    <cellStyle name="Normal 30 6 3 2 2" xfId="17267" xr:uid="{00000000-0005-0000-0000-0000FC3C0000}"/>
    <cellStyle name="Normal 30 6 3 2 2 2" xfId="33841" xr:uid="{00000000-0005-0000-0000-0000FD3C0000}"/>
    <cellStyle name="Normal 30 6 3 2 3" xfId="25794" xr:uid="{00000000-0005-0000-0000-0000FE3C0000}"/>
    <cellStyle name="Normal 30 6 3 3" xfId="13410" xr:uid="{00000000-0005-0000-0000-0000FF3C0000}"/>
    <cellStyle name="Normal 30 6 3 3 2" xfId="29954" xr:uid="{00000000-0005-0000-0000-0000003D0000}"/>
    <cellStyle name="Normal 30 6 3 4" xfId="21911" xr:uid="{00000000-0005-0000-0000-0000013D0000}"/>
    <cellStyle name="Normal 30 6 4" xfId="8091" xr:uid="{00000000-0005-0000-0000-0000023D0000}"/>
    <cellStyle name="Normal 30 6 4 2" xfId="17268" xr:uid="{00000000-0005-0000-0000-0000033D0000}"/>
    <cellStyle name="Normal 30 6 4 2 2" xfId="33842" xr:uid="{00000000-0005-0000-0000-0000043D0000}"/>
    <cellStyle name="Normal 30 6 4 3" xfId="25795" xr:uid="{00000000-0005-0000-0000-0000053D0000}"/>
    <cellStyle name="Normal 30 6 5" xfId="13407" xr:uid="{00000000-0005-0000-0000-0000063D0000}"/>
    <cellStyle name="Normal 30 6 5 2" xfId="29951" xr:uid="{00000000-0005-0000-0000-0000073D0000}"/>
    <cellStyle name="Normal 30 6 6" xfId="21908" xr:uid="{00000000-0005-0000-0000-0000083D0000}"/>
    <cellStyle name="Normal 30 7" xfId="4016" xr:uid="{00000000-0005-0000-0000-0000093D0000}"/>
    <cellStyle name="Normal 30 7 2" xfId="4017" xr:uid="{00000000-0005-0000-0000-00000A3D0000}"/>
    <cellStyle name="Normal 30 7 2 2" xfId="8092" xr:uid="{00000000-0005-0000-0000-00000B3D0000}"/>
    <cellStyle name="Normal 30 7 2 2 2" xfId="17269" xr:uid="{00000000-0005-0000-0000-00000C3D0000}"/>
    <cellStyle name="Normal 30 7 2 2 2 2" xfId="33843" xr:uid="{00000000-0005-0000-0000-00000D3D0000}"/>
    <cellStyle name="Normal 30 7 2 2 3" xfId="25796" xr:uid="{00000000-0005-0000-0000-00000E3D0000}"/>
    <cellStyle name="Normal 30 7 2 3" xfId="13412" xr:uid="{00000000-0005-0000-0000-00000F3D0000}"/>
    <cellStyle name="Normal 30 7 2 3 2" xfId="29956" xr:uid="{00000000-0005-0000-0000-0000103D0000}"/>
    <cellStyle name="Normal 30 7 2 4" xfId="21913" xr:uid="{00000000-0005-0000-0000-0000113D0000}"/>
    <cellStyle name="Normal 30 7 3" xfId="8093" xr:uid="{00000000-0005-0000-0000-0000123D0000}"/>
    <cellStyle name="Normal 30 7 3 2" xfId="17270" xr:uid="{00000000-0005-0000-0000-0000133D0000}"/>
    <cellStyle name="Normal 30 7 3 2 2" xfId="33844" xr:uid="{00000000-0005-0000-0000-0000143D0000}"/>
    <cellStyle name="Normal 30 7 3 3" xfId="25797" xr:uid="{00000000-0005-0000-0000-0000153D0000}"/>
    <cellStyle name="Normal 30 7 4" xfId="13411" xr:uid="{00000000-0005-0000-0000-0000163D0000}"/>
    <cellStyle name="Normal 30 7 4 2" xfId="29955" xr:uid="{00000000-0005-0000-0000-0000173D0000}"/>
    <cellStyle name="Normal 30 7 5" xfId="21912" xr:uid="{00000000-0005-0000-0000-0000183D0000}"/>
    <cellStyle name="Normal 30 8" xfId="4018" xr:uid="{00000000-0005-0000-0000-0000193D0000}"/>
    <cellStyle name="Normal 30 8 2" xfId="8094" xr:uid="{00000000-0005-0000-0000-00001A3D0000}"/>
    <cellStyle name="Normal 30 8 2 2" xfId="17271" xr:uid="{00000000-0005-0000-0000-00001B3D0000}"/>
    <cellStyle name="Normal 30 8 2 2 2" xfId="33845" xr:uid="{00000000-0005-0000-0000-00001C3D0000}"/>
    <cellStyle name="Normal 30 8 2 3" xfId="25798" xr:uid="{00000000-0005-0000-0000-00001D3D0000}"/>
    <cellStyle name="Normal 30 8 3" xfId="13413" xr:uid="{00000000-0005-0000-0000-00001E3D0000}"/>
    <cellStyle name="Normal 30 8 3 2" xfId="29957" xr:uid="{00000000-0005-0000-0000-00001F3D0000}"/>
    <cellStyle name="Normal 30 8 4" xfId="21914" xr:uid="{00000000-0005-0000-0000-0000203D0000}"/>
    <cellStyle name="Normal 30 9" xfId="8095" xr:uid="{00000000-0005-0000-0000-0000213D0000}"/>
    <cellStyle name="Normal 30 9 2" xfId="17272" xr:uid="{00000000-0005-0000-0000-0000223D0000}"/>
    <cellStyle name="Normal 30 9 2 2" xfId="33846" xr:uid="{00000000-0005-0000-0000-0000233D0000}"/>
    <cellStyle name="Normal 30 9 3" xfId="25799" xr:uid="{00000000-0005-0000-0000-0000243D0000}"/>
    <cellStyle name="Normal 300" xfId="10928" xr:uid="{00000000-0005-0000-0000-0000253D0000}"/>
    <cellStyle name="Normal 301" xfId="10956" xr:uid="{00000000-0005-0000-0000-0000263D0000}"/>
    <cellStyle name="Normal 302" xfId="10959" xr:uid="{00000000-0005-0000-0000-0000273D0000}"/>
    <cellStyle name="Normal 303" xfId="10962" xr:uid="{00000000-0005-0000-0000-0000283D0000}"/>
    <cellStyle name="Normal 304" xfId="10965" xr:uid="{00000000-0005-0000-0000-0000293D0000}"/>
    <cellStyle name="Normal 305" xfId="10968" xr:uid="{00000000-0005-0000-0000-00002A3D0000}"/>
    <cellStyle name="Normal 306" xfId="10971" xr:uid="{00000000-0005-0000-0000-00002B3D0000}"/>
    <cellStyle name="Normal 307" xfId="10974" xr:uid="{00000000-0005-0000-0000-00002C3D0000}"/>
    <cellStyle name="Normal 308" xfId="10977" xr:uid="{00000000-0005-0000-0000-00002D3D0000}"/>
    <cellStyle name="Normal 309" xfId="10980" xr:uid="{00000000-0005-0000-0000-00002E3D0000}"/>
    <cellStyle name="Normal 31" xfId="4019" xr:uid="{00000000-0005-0000-0000-00002F3D0000}"/>
    <cellStyle name="Normal 31 10" xfId="13414" xr:uid="{00000000-0005-0000-0000-0000303D0000}"/>
    <cellStyle name="Normal 31 10 2" xfId="29958" xr:uid="{00000000-0005-0000-0000-0000313D0000}"/>
    <cellStyle name="Normal 31 11" xfId="21915" xr:uid="{00000000-0005-0000-0000-0000323D0000}"/>
    <cellStyle name="Normal 31 2" xfId="4020" xr:uid="{00000000-0005-0000-0000-0000333D0000}"/>
    <cellStyle name="Normal 31 2 2" xfId="4021" xr:uid="{00000000-0005-0000-0000-0000343D0000}"/>
    <cellStyle name="Normal 31 2 3" xfId="13415" xr:uid="{00000000-0005-0000-0000-0000353D0000}"/>
    <cellStyle name="Normal 31 2 3 2" xfId="29959" xr:uid="{00000000-0005-0000-0000-0000363D0000}"/>
    <cellStyle name="Normal 31 2 4" xfId="21916" xr:uid="{00000000-0005-0000-0000-0000373D0000}"/>
    <cellStyle name="Normal 31 3" xfId="4022" xr:uid="{00000000-0005-0000-0000-0000383D0000}"/>
    <cellStyle name="Normal 31 3 2" xfId="4023" xr:uid="{00000000-0005-0000-0000-0000393D0000}"/>
    <cellStyle name="Normal 31 3 2 2" xfId="4024" xr:uid="{00000000-0005-0000-0000-00003A3D0000}"/>
    <cellStyle name="Normal 31 3 2 2 2" xfId="4025" xr:uid="{00000000-0005-0000-0000-00003B3D0000}"/>
    <cellStyle name="Normal 31 3 2 2 2 2" xfId="8096" xr:uid="{00000000-0005-0000-0000-00003C3D0000}"/>
    <cellStyle name="Normal 31 3 2 2 2 2 2" xfId="17273" xr:uid="{00000000-0005-0000-0000-00003D3D0000}"/>
    <cellStyle name="Normal 31 3 2 2 2 2 2 2" xfId="33847" xr:uid="{00000000-0005-0000-0000-00003E3D0000}"/>
    <cellStyle name="Normal 31 3 2 2 2 2 3" xfId="25800" xr:uid="{00000000-0005-0000-0000-00003F3D0000}"/>
    <cellStyle name="Normal 31 3 2 2 2 3" xfId="13418" xr:uid="{00000000-0005-0000-0000-0000403D0000}"/>
    <cellStyle name="Normal 31 3 2 2 2 3 2" xfId="29962" xr:uid="{00000000-0005-0000-0000-0000413D0000}"/>
    <cellStyle name="Normal 31 3 2 2 2 4" xfId="21919" xr:uid="{00000000-0005-0000-0000-0000423D0000}"/>
    <cellStyle name="Normal 31 3 2 2 3" xfId="8097" xr:uid="{00000000-0005-0000-0000-0000433D0000}"/>
    <cellStyle name="Normal 31 3 2 2 3 2" xfId="17274" xr:uid="{00000000-0005-0000-0000-0000443D0000}"/>
    <cellStyle name="Normal 31 3 2 2 3 2 2" xfId="33848" xr:uid="{00000000-0005-0000-0000-0000453D0000}"/>
    <cellStyle name="Normal 31 3 2 2 3 3" xfId="25801" xr:uid="{00000000-0005-0000-0000-0000463D0000}"/>
    <cellStyle name="Normal 31 3 2 2 4" xfId="13417" xr:uid="{00000000-0005-0000-0000-0000473D0000}"/>
    <cellStyle name="Normal 31 3 2 2 4 2" xfId="29961" xr:uid="{00000000-0005-0000-0000-0000483D0000}"/>
    <cellStyle name="Normal 31 3 2 2 5" xfId="21918" xr:uid="{00000000-0005-0000-0000-0000493D0000}"/>
    <cellStyle name="Normal 31 3 2 3" xfId="4026" xr:uid="{00000000-0005-0000-0000-00004A3D0000}"/>
    <cellStyle name="Normal 31 3 2 3 2" xfId="8098" xr:uid="{00000000-0005-0000-0000-00004B3D0000}"/>
    <cellStyle name="Normal 31 3 2 3 2 2" xfId="17275" xr:uid="{00000000-0005-0000-0000-00004C3D0000}"/>
    <cellStyle name="Normal 31 3 2 3 2 2 2" xfId="33849" xr:uid="{00000000-0005-0000-0000-00004D3D0000}"/>
    <cellStyle name="Normal 31 3 2 3 2 3" xfId="25802" xr:uid="{00000000-0005-0000-0000-00004E3D0000}"/>
    <cellStyle name="Normal 31 3 2 3 3" xfId="13419" xr:uid="{00000000-0005-0000-0000-00004F3D0000}"/>
    <cellStyle name="Normal 31 3 2 3 3 2" xfId="29963" xr:uid="{00000000-0005-0000-0000-0000503D0000}"/>
    <cellStyle name="Normal 31 3 2 3 4" xfId="21920" xr:uid="{00000000-0005-0000-0000-0000513D0000}"/>
    <cellStyle name="Normal 31 3 2 4" xfId="8099" xr:uid="{00000000-0005-0000-0000-0000523D0000}"/>
    <cellStyle name="Normal 31 3 2 4 2" xfId="17276" xr:uid="{00000000-0005-0000-0000-0000533D0000}"/>
    <cellStyle name="Normal 31 3 2 4 2 2" xfId="33850" xr:uid="{00000000-0005-0000-0000-0000543D0000}"/>
    <cellStyle name="Normal 31 3 2 4 3" xfId="25803" xr:uid="{00000000-0005-0000-0000-0000553D0000}"/>
    <cellStyle name="Normal 31 3 2 5" xfId="13416" xr:uid="{00000000-0005-0000-0000-0000563D0000}"/>
    <cellStyle name="Normal 31 3 2 5 2" xfId="29960" xr:uid="{00000000-0005-0000-0000-0000573D0000}"/>
    <cellStyle name="Normal 31 3 2 6" xfId="21917" xr:uid="{00000000-0005-0000-0000-0000583D0000}"/>
    <cellStyle name="Normal 31 3 3" xfId="4027" xr:uid="{00000000-0005-0000-0000-0000593D0000}"/>
    <cellStyle name="Normal 31 3 3 2" xfId="4028" xr:uid="{00000000-0005-0000-0000-00005A3D0000}"/>
    <cellStyle name="Normal 31 3 3 2 2" xfId="8100" xr:uid="{00000000-0005-0000-0000-00005B3D0000}"/>
    <cellStyle name="Normal 31 3 3 2 2 2" xfId="17277" xr:uid="{00000000-0005-0000-0000-00005C3D0000}"/>
    <cellStyle name="Normal 31 3 3 2 2 2 2" xfId="33851" xr:uid="{00000000-0005-0000-0000-00005D3D0000}"/>
    <cellStyle name="Normal 31 3 3 2 2 3" xfId="25804" xr:uid="{00000000-0005-0000-0000-00005E3D0000}"/>
    <cellStyle name="Normal 31 3 3 2 3" xfId="13421" xr:uid="{00000000-0005-0000-0000-00005F3D0000}"/>
    <cellStyle name="Normal 31 3 3 2 3 2" xfId="29965" xr:uid="{00000000-0005-0000-0000-0000603D0000}"/>
    <cellStyle name="Normal 31 3 3 2 4" xfId="21922" xr:uid="{00000000-0005-0000-0000-0000613D0000}"/>
    <cellStyle name="Normal 31 3 3 3" xfId="8101" xr:uid="{00000000-0005-0000-0000-0000623D0000}"/>
    <cellStyle name="Normal 31 3 3 3 2" xfId="17278" xr:uid="{00000000-0005-0000-0000-0000633D0000}"/>
    <cellStyle name="Normal 31 3 3 3 2 2" xfId="33852" xr:uid="{00000000-0005-0000-0000-0000643D0000}"/>
    <cellStyle name="Normal 31 3 3 3 3" xfId="25805" xr:uid="{00000000-0005-0000-0000-0000653D0000}"/>
    <cellStyle name="Normal 31 3 3 4" xfId="13420" xr:uid="{00000000-0005-0000-0000-0000663D0000}"/>
    <cellStyle name="Normal 31 3 3 4 2" xfId="29964" xr:uid="{00000000-0005-0000-0000-0000673D0000}"/>
    <cellStyle name="Normal 31 3 3 5" xfId="21921" xr:uid="{00000000-0005-0000-0000-0000683D0000}"/>
    <cellStyle name="Normal 31 3 4" xfId="4029" xr:uid="{00000000-0005-0000-0000-0000693D0000}"/>
    <cellStyle name="Normal 31 3 4 2" xfId="8102" xr:uid="{00000000-0005-0000-0000-00006A3D0000}"/>
    <cellStyle name="Normal 31 3 4 2 2" xfId="17279" xr:uid="{00000000-0005-0000-0000-00006B3D0000}"/>
    <cellStyle name="Normal 31 3 4 2 2 2" xfId="33853" xr:uid="{00000000-0005-0000-0000-00006C3D0000}"/>
    <cellStyle name="Normal 31 3 4 2 3" xfId="25806" xr:uid="{00000000-0005-0000-0000-00006D3D0000}"/>
    <cellStyle name="Normal 31 3 4 3" xfId="13422" xr:uid="{00000000-0005-0000-0000-00006E3D0000}"/>
    <cellStyle name="Normal 31 3 4 3 2" xfId="29966" xr:uid="{00000000-0005-0000-0000-00006F3D0000}"/>
    <cellStyle name="Normal 31 3 4 4" xfId="21923" xr:uid="{00000000-0005-0000-0000-0000703D0000}"/>
    <cellStyle name="Normal 31 3 5" xfId="4030" xr:uid="{00000000-0005-0000-0000-0000713D0000}"/>
    <cellStyle name="Normal 31 3 5 2" xfId="13423" xr:uid="{00000000-0005-0000-0000-0000723D0000}"/>
    <cellStyle name="Normal 31 3 5 2 2" xfId="29967" xr:uid="{00000000-0005-0000-0000-0000733D0000}"/>
    <cellStyle name="Normal 31 3 5 3" xfId="21924" xr:uid="{00000000-0005-0000-0000-0000743D0000}"/>
    <cellStyle name="Normal 31 4" xfId="4031" xr:uid="{00000000-0005-0000-0000-0000753D0000}"/>
    <cellStyle name="Normal 31 4 2" xfId="4032" xr:uid="{00000000-0005-0000-0000-0000763D0000}"/>
    <cellStyle name="Normal 31 4 2 2" xfId="4033" xr:uid="{00000000-0005-0000-0000-0000773D0000}"/>
    <cellStyle name="Normal 31 4 2 2 2" xfId="4034" xr:uid="{00000000-0005-0000-0000-0000783D0000}"/>
    <cellStyle name="Normal 31 4 2 2 2 2" xfId="8103" xr:uid="{00000000-0005-0000-0000-0000793D0000}"/>
    <cellStyle name="Normal 31 4 2 2 2 2 2" xfId="17280" xr:uid="{00000000-0005-0000-0000-00007A3D0000}"/>
    <cellStyle name="Normal 31 4 2 2 2 2 2 2" xfId="33854" xr:uid="{00000000-0005-0000-0000-00007B3D0000}"/>
    <cellStyle name="Normal 31 4 2 2 2 2 3" xfId="25807" xr:uid="{00000000-0005-0000-0000-00007C3D0000}"/>
    <cellStyle name="Normal 31 4 2 2 2 3" xfId="13427" xr:uid="{00000000-0005-0000-0000-00007D3D0000}"/>
    <cellStyle name="Normal 31 4 2 2 2 3 2" xfId="29971" xr:uid="{00000000-0005-0000-0000-00007E3D0000}"/>
    <cellStyle name="Normal 31 4 2 2 2 4" xfId="21928" xr:uid="{00000000-0005-0000-0000-00007F3D0000}"/>
    <cellStyle name="Normal 31 4 2 2 3" xfId="8104" xr:uid="{00000000-0005-0000-0000-0000803D0000}"/>
    <cellStyle name="Normal 31 4 2 2 3 2" xfId="17281" xr:uid="{00000000-0005-0000-0000-0000813D0000}"/>
    <cellStyle name="Normal 31 4 2 2 3 2 2" xfId="33855" xr:uid="{00000000-0005-0000-0000-0000823D0000}"/>
    <cellStyle name="Normal 31 4 2 2 3 3" xfId="25808" xr:uid="{00000000-0005-0000-0000-0000833D0000}"/>
    <cellStyle name="Normal 31 4 2 2 4" xfId="13426" xr:uid="{00000000-0005-0000-0000-0000843D0000}"/>
    <cellStyle name="Normal 31 4 2 2 4 2" xfId="29970" xr:uid="{00000000-0005-0000-0000-0000853D0000}"/>
    <cellStyle name="Normal 31 4 2 2 5" xfId="21927" xr:uid="{00000000-0005-0000-0000-0000863D0000}"/>
    <cellStyle name="Normal 31 4 2 3" xfId="4035" xr:uid="{00000000-0005-0000-0000-0000873D0000}"/>
    <cellStyle name="Normal 31 4 2 3 2" xfId="8105" xr:uid="{00000000-0005-0000-0000-0000883D0000}"/>
    <cellStyle name="Normal 31 4 2 3 2 2" xfId="17282" xr:uid="{00000000-0005-0000-0000-0000893D0000}"/>
    <cellStyle name="Normal 31 4 2 3 2 2 2" xfId="33856" xr:uid="{00000000-0005-0000-0000-00008A3D0000}"/>
    <cellStyle name="Normal 31 4 2 3 2 3" xfId="25809" xr:uid="{00000000-0005-0000-0000-00008B3D0000}"/>
    <cellStyle name="Normal 31 4 2 3 3" xfId="13428" xr:uid="{00000000-0005-0000-0000-00008C3D0000}"/>
    <cellStyle name="Normal 31 4 2 3 3 2" xfId="29972" xr:uid="{00000000-0005-0000-0000-00008D3D0000}"/>
    <cellStyle name="Normal 31 4 2 3 4" xfId="21929" xr:uid="{00000000-0005-0000-0000-00008E3D0000}"/>
    <cellStyle name="Normal 31 4 2 4" xfId="8106" xr:uid="{00000000-0005-0000-0000-00008F3D0000}"/>
    <cellStyle name="Normal 31 4 2 4 2" xfId="17283" xr:uid="{00000000-0005-0000-0000-0000903D0000}"/>
    <cellStyle name="Normal 31 4 2 4 2 2" xfId="33857" xr:uid="{00000000-0005-0000-0000-0000913D0000}"/>
    <cellStyle name="Normal 31 4 2 4 3" xfId="25810" xr:uid="{00000000-0005-0000-0000-0000923D0000}"/>
    <cellStyle name="Normal 31 4 2 5" xfId="13425" xr:uid="{00000000-0005-0000-0000-0000933D0000}"/>
    <cellStyle name="Normal 31 4 2 5 2" xfId="29969" xr:uid="{00000000-0005-0000-0000-0000943D0000}"/>
    <cellStyle name="Normal 31 4 2 6" xfId="21926" xr:uid="{00000000-0005-0000-0000-0000953D0000}"/>
    <cellStyle name="Normal 31 4 3" xfId="4036" xr:uid="{00000000-0005-0000-0000-0000963D0000}"/>
    <cellStyle name="Normal 31 4 3 2" xfId="4037" xr:uid="{00000000-0005-0000-0000-0000973D0000}"/>
    <cellStyle name="Normal 31 4 3 2 2" xfId="8107" xr:uid="{00000000-0005-0000-0000-0000983D0000}"/>
    <cellStyle name="Normal 31 4 3 2 2 2" xfId="17284" xr:uid="{00000000-0005-0000-0000-0000993D0000}"/>
    <cellStyle name="Normal 31 4 3 2 2 2 2" xfId="33858" xr:uid="{00000000-0005-0000-0000-00009A3D0000}"/>
    <cellStyle name="Normal 31 4 3 2 2 3" xfId="25811" xr:uid="{00000000-0005-0000-0000-00009B3D0000}"/>
    <cellStyle name="Normal 31 4 3 2 3" xfId="13430" xr:uid="{00000000-0005-0000-0000-00009C3D0000}"/>
    <cellStyle name="Normal 31 4 3 2 3 2" xfId="29974" xr:uid="{00000000-0005-0000-0000-00009D3D0000}"/>
    <cellStyle name="Normal 31 4 3 2 4" xfId="21931" xr:uid="{00000000-0005-0000-0000-00009E3D0000}"/>
    <cellStyle name="Normal 31 4 3 3" xfId="8108" xr:uid="{00000000-0005-0000-0000-00009F3D0000}"/>
    <cellStyle name="Normal 31 4 3 3 2" xfId="17285" xr:uid="{00000000-0005-0000-0000-0000A03D0000}"/>
    <cellStyle name="Normal 31 4 3 3 2 2" xfId="33859" xr:uid="{00000000-0005-0000-0000-0000A13D0000}"/>
    <cellStyle name="Normal 31 4 3 3 3" xfId="25812" xr:uid="{00000000-0005-0000-0000-0000A23D0000}"/>
    <cellStyle name="Normal 31 4 3 4" xfId="13429" xr:uid="{00000000-0005-0000-0000-0000A33D0000}"/>
    <cellStyle name="Normal 31 4 3 4 2" xfId="29973" xr:uid="{00000000-0005-0000-0000-0000A43D0000}"/>
    <cellStyle name="Normal 31 4 3 5" xfId="21930" xr:uid="{00000000-0005-0000-0000-0000A53D0000}"/>
    <cellStyle name="Normal 31 4 4" xfId="4038" xr:uid="{00000000-0005-0000-0000-0000A63D0000}"/>
    <cellStyle name="Normal 31 4 4 2" xfId="8109" xr:uid="{00000000-0005-0000-0000-0000A73D0000}"/>
    <cellStyle name="Normal 31 4 4 2 2" xfId="17286" xr:uid="{00000000-0005-0000-0000-0000A83D0000}"/>
    <cellStyle name="Normal 31 4 4 2 2 2" xfId="33860" xr:uid="{00000000-0005-0000-0000-0000A93D0000}"/>
    <cellStyle name="Normal 31 4 4 2 3" xfId="25813" xr:uid="{00000000-0005-0000-0000-0000AA3D0000}"/>
    <cellStyle name="Normal 31 4 4 3" xfId="13431" xr:uid="{00000000-0005-0000-0000-0000AB3D0000}"/>
    <cellStyle name="Normal 31 4 4 3 2" xfId="29975" xr:uid="{00000000-0005-0000-0000-0000AC3D0000}"/>
    <cellStyle name="Normal 31 4 4 4" xfId="21932" xr:uid="{00000000-0005-0000-0000-0000AD3D0000}"/>
    <cellStyle name="Normal 31 4 5" xfId="8110" xr:uid="{00000000-0005-0000-0000-0000AE3D0000}"/>
    <cellStyle name="Normal 31 4 5 2" xfId="17287" xr:uid="{00000000-0005-0000-0000-0000AF3D0000}"/>
    <cellStyle name="Normal 31 4 5 2 2" xfId="33861" xr:uid="{00000000-0005-0000-0000-0000B03D0000}"/>
    <cellStyle name="Normal 31 4 5 3" xfId="25814" xr:uid="{00000000-0005-0000-0000-0000B13D0000}"/>
    <cellStyle name="Normal 31 4 6" xfId="13424" xr:uid="{00000000-0005-0000-0000-0000B23D0000}"/>
    <cellStyle name="Normal 31 4 6 2" xfId="29968" xr:uid="{00000000-0005-0000-0000-0000B33D0000}"/>
    <cellStyle name="Normal 31 4 7" xfId="21925" xr:uid="{00000000-0005-0000-0000-0000B43D0000}"/>
    <cellStyle name="Normal 31 5" xfId="4039" xr:uid="{00000000-0005-0000-0000-0000B53D0000}"/>
    <cellStyle name="Normal 31 5 2" xfId="4040" xr:uid="{00000000-0005-0000-0000-0000B63D0000}"/>
    <cellStyle name="Normal 31 5 2 2" xfId="4041" xr:uid="{00000000-0005-0000-0000-0000B73D0000}"/>
    <cellStyle name="Normal 31 5 2 2 2" xfId="4042" xr:uid="{00000000-0005-0000-0000-0000B83D0000}"/>
    <cellStyle name="Normal 31 5 2 2 2 2" xfId="8111" xr:uid="{00000000-0005-0000-0000-0000B93D0000}"/>
    <cellStyle name="Normal 31 5 2 2 2 2 2" xfId="17288" xr:uid="{00000000-0005-0000-0000-0000BA3D0000}"/>
    <cellStyle name="Normal 31 5 2 2 2 2 2 2" xfId="33862" xr:uid="{00000000-0005-0000-0000-0000BB3D0000}"/>
    <cellStyle name="Normal 31 5 2 2 2 2 3" xfId="25815" xr:uid="{00000000-0005-0000-0000-0000BC3D0000}"/>
    <cellStyle name="Normal 31 5 2 2 2 3" xfId="13435" xr:uid="{00000000-0005-0000-0000-0000BD3D0000}"/>
    <cellStyle name="Normal 31 5 2 2 2 3 2" xfId="29979" xr:uid="{00000000-0005-0000-0000-0000BE3D0000}"/>
    <cellStyle name="Normal 31 5 2 2 2 4" xfId="21936" xr:uid="{00000000-0005-0000-0000-0000BF3D0000}"/>
    <cellStyle name="Normal 31 5 2 2 3" xfId="8112" xr:uid="{00000000-0005-0000-0000-0000C03D0000}"/>
    <cellStyle name="Normal 31 5 2 2 3 2" xfId="17289" xr:uid="{00000000-0005-0000-0000-0000C13D0000}"/>
    <cellStyle name="Normal 31 5 2 2 3 2 2" xfId="33863" xr:uid="{00000000-0005-0000-0000-0000C23D0000}"/>
    <cellStyle name="Normal 31 5 2 2 3 3" xfId="25816" xr:uid="{00000000-0005-0000-0000-0000C33D0000}"/>
    <cellStyle name="Normal 31 5 2 2 4" xfId="13434" xr:uid="{00000000-0005-0000-0000-0000C43D0000}"/>
    <cellStyle name="Normal 31 5 2 2 4 2" xfId="29978" xr:uid="{00000000-0005-0000-0000-0000C53D0000}"/>
    <cellStyle name="Normal 31 5 2 2 5" xfId="21935" xr:uid="{00000000-0005-0000-0000-0000C63D0000}"/>
    <cellStyle name="Normal 31 5 2 3" xfId="4043" xr:uid="{00000000-0005-0000-0000-0000C73D0000}"/>
    <cellStyle name="Normal 31 5 2 3 2" xfId="8113" xr:uid="{00000000-0005-0000-0000-0000C83D0000}"/>
    <cellStyle name="Normal 31 5 2 3 2 2" xfId="17290" xr:uid="{00000000-0005-0000-0000-0000C93D0000}"/>
    <cellStyle name="Normal 31 5 2 3 2 2 2" xfId="33864" xr:uid="{00000000-0005-0000-0000-0000CA3D0000}"/>
    <cellStyle name="Normal 31 5 2 3 2 3" xfId="25817" xr:uid="{00000000-0005-0000-0000-0000CB3D0000}"/>
    <cellStyle name="Normal 31 5 2 3 3" xfId="13436" xr:uid="{00000000-0005-0000-0000-0000CC3D0000}"/>
    <cellStyle name="Normal 31 5 2 3 3 2" xfId="29980" xr:uid="{00000000-0005-0000-0000-0000CD3D0000}"/>
    <cellStyle name="Normal 31 5 2 3 4" xfId="21937" xr:uid="{00000000-0005-0000-0000-0000CE3D0000}"/>
    <cellStyle name="Normal 31 5 2 4" xfId="8114" xr:uid="{00000000-0005-0000-0000-0000CF3D0000}"/>
    <cellStyle name="Normal 31 5 2 4 2" xfId="17291" xr:uid="{00000000-0005-0000-0000-0000D03D0000}"/>
    <cellStyle name="Normal 31 5 2 4 2 2" xfId="33865" xr:uid="{00000000-0005-0000-0000-0000D13D0000}"/>
    <cellStyle name="Normal 31 5 2 4 3" xfId="25818" xr:uid="{00000000-0005-0000-0000-0000D23D0000}"/>
    <cellStyle name="Normal 31 5 2 5" xfId="13433" xr:uid="{00000000-0005-0000-0000-0000D33D0000}"/>
    <cellStyle name="Normal 31 5 2 5 2" xfId="29977" xr:uid="{00000000-0005-0000-0000-0000D43D0000}"/>
    <cellStyle name="Normal 31 5 2 6" xfId="21934" xr:uid="{00000000-0005-0000-0000-0000D53D0000}"/>
    <cellStyle name="Normal 31 5 3" xfId="4044" xr:uid="{00000000-0005-0000-0000-0000D63D0000}"/>
    <cellStyle name="Normal 31 5 3 2" xfId="4045" xr:uid="{00000000-0005-0000-0000-0000D73D0000}"/>
    <cellStyle name="Normal 31 5 3 2 2" xfId="8115" xr:uid="{00000000-0005-0000-0000-0000D83D0000}"/>
    <cellStyle name="Normal 31 5 3 2 2 2" xfId="17292" xr:uid="{00000000-0005-0000-0000-0000D93D0000}"/>
    <cellStyle name="Normal 31 5 3 2 2 2 2" xfId="33866" xr:uid="{00000000-0005-0000-0000-0000DA3D0000}"/>
    <cellStyle name="Normal 31 5 3 2 2 3" xfId="25819" xr:uid="{00000000-0005-0000-0000-0000DB3D0000}"/>
    <cellStyle name="Normal 31 5 3 2 3" xfId="13438" xr:uid="{00000000-0005-0000-0000-0000DC3D0000}"/>
    <cellStyle name="Normal 31 5 3 2 3 2" xfId="29982" xr:uid="{00000000-0005-0000-0000-0000DD3D0000}"/>
    <cellStyle name="Normal 31 5 3 2 4" xfId="21939" xr:uid="{00000000-0005-0000-0000-0000DE3D0000}"/>
    <cellStyle name="Normal 31 5 3 3" xfId="8116" xr:uid="{00000000-0005-0000-0000-0000DF3D0000}"/>
    <cellStyle name="Normal 31 5 3 3 2" xfId="17293" xr:uid="{00000000-0005-0000-0000-0000E03D0000}"/>
    <cellStyle name="Normal 31 5 3 3 2 2" xfId="33867" xr:uid="{00000000-0005-0000-0000-0000E13D0000}"/>
    <cellStyle name="Normal 31 5 3 3 3" xfId="25820" xr:uid="{00000000-0005-0000-0000-0000E23D0000}"/>
    <cellStyle name="Normal 31 5 3 4" xfId="13437" xr:uid="{00000000-0005-0000-0000-0000E33D0000}"/>
    <cellStyle name="Normal 31 5 3 4 2" xfId="29981" xr:uid="{00000000-0005-0000-0000-0000E43D0000}"/>
    <cellStyle name="Normal 31 5 3 5" xfId="21938" xr:uid="{00000000-0005-0000-0000-0000E53D0000}"/>
    <cellStyle name="Normal 31 5 4" xfId="4046" xr:uid="{00000000-0005-0000-0000-0000E63D0000}"/>
    <cellStyle name="Normal 31 5 4 2" xfId="8117" xr:uid="{00000000-0005-0000-0000-0000E73D0000}"/>
    <cellStyle name="Normal 31 5 4 2 2" xfId="17294" xr:uid="{00000000-0005-0000-0000-0000E83D0000}"/>
    <cellStyle name="Normal 31 5 4 2 2 2" xfId="33868" xr:uid="{00000000-0005-0000-0000-0000E93D0000}"/>
    <cellStyle name="Normal 31 5 4 2 3" xfId="25821" xr:uid="{00000000-0005-0000-0000-0000EA3D0000}"/>
    <cellStyle name="Normal 31 5 4 3" xfId="13439" xr:uid="{00000000-0005-0000-0000-0000EB3D0000}"/>
    <cellStyle name="Normal 31 5 4 3 2" xfId="29983" xr:uid="{00000000-0005-0000-0000-0000EC3D0000}"/>
    <cellStyle name="Normal 31 5 4 4" xfId="21940" xr:uid="{00000000-0005-0000-0000-0000ED3D0000}"/>
    <cellStyle name="Normal 31 5 5" xfId="8118" xr:uid="{00000000-0005-0000-0000-0000EE3D0000}"/>
    <cellStyle name="Normal 31 5 5 2" xfId="17295" xr:uid="{00000000-0005-0000-0000-0000EF3D0000}"/>
    <cellStyle name="Normal 31 5 5 2 2" xfId="33869" xr:uid="{00000000-0005-0000-0000-0000F03D0000}"/>
    <cellStyle name="Normal 31 5 5 3" xfId="25822" xr:uid="{00000000-0005-0000-0000-0000F13D0000}"/>
    <cellStyle name="Normal 31 5 6" xfId="13432" xr:uid="{00000000-0005-0000-0000-0000F23D0000}"/>
    <cellStyle name="Normal 31 5 6 2" xfId="29976" xr:uid="{00000000-0005-0000-0000-0000F33D0000}"/>
    <cellStyle name="Normal 31 5 7" xfId="21933" xr:uid="{00000000-0005-0000-0000-0000F43D0000}"/>
    <cellStyle name="Normal 31 6" xfId="4047" xr:uid="{00000000-0005-0000-0000-0000F53D0000}"/>
    <cellStyle name="Normal 31 6 2" xfId="4048" xr:uid="{00000000-0005-0000-0000-0000F63D0000}"/>
    <cellStyle name="Normal 31 6 2 2" xfId="4049" xr:uid="{00000000-0005-0000-0000-0000F73D0000}"/>
    <cellStyle name="Normal 31 6 2 2 2" xfId="8119" xr:uid="{00000000-0005-0000-0000-0000F83D0000}"/>
    <cellStyle name="Normal 31 6 2 2 2 2" xfId="17296" xr:uid="{00000000-0005-0000-0000-0000F93D0000}"/>
    <cellStyle name="Normal 31 6 2 2 2 2 2" xfId="33870" xr:uid="{00000000-0005-0000-0000-0000FA3D0000}"/>
    <cellStyle name="Normal 31 6 2 2 2 3" xfId="25823" xr:uid="{00000000-0005-0000-0000-0000FB3D0000}"/>
    <cellStyle name="Normal 31 6 2 2 3" xfId="13442" xr:uid="{00000000-0005-0000-0000-0000FC3D0000}"/>
    <cellStyle name="Normal 31 6 2 2 3 2" xfId="29986" xr:uid="{00000000-0005-0000-0000-0000FD3D0000}"/>
    <cellStyle name="Normal 31 6 2 2 4" xfId="21943" xr:uid="{00000000-0005-0000-0000-0000FE3D0000}"/>
    <cellStyle name="Normal 31 6 2 3" xfId="8120" xr:uid="{00000000-0005-0000-0000-0000FF3D0000}"/>
    <cellStyle name="Normal 31 6 2 3 2" xfId="17297" xr:uid="{00000000-0005-0000-0000-0000003E0000}"/>
    <cellStyle name="Normal 31 6 2 3 2 2" xfId="33871" xr:uid="{00000000-0005-0000-0000-0000013E0000}"/>
    <cellStyle name="Normal 31 6 2 3 3" xfId="25824" xr:uid="{00000000-0005-0000-0000-0000023E0000}"/>
    <cellStyle name="Normal 31 6 2 4" xfId="13441" xr:uid="{00000000-0005-0000-0000-0000033E0000}"/>
    <cellStyle name="Normal 31 6 2 4 2" xfId="29985" xr:uid="{00000000-0005-0000-0000-0000043E0000}"/>
    <cellStyle name="Normal 31 6 2 5" xfId="21942" xr:uid="{00000000-0005-0000-0000-0000053E0000}"/>
    <cellStyle name="Normal 31 6 3" xfId="4050" xr:uid="{00000000-0005-0000-0000-0000063E0000}"/>
    <cellStyle name="Normal 31 6 3 2" xfId="8121" xr:uid="{00000000-0005-0000-0000-0000073E0000}"/>
    <cellStyle name="Normal 31 6 3 2 2" xfId="17298" xr:uid="{00000000-0005-0000-0000-0000083E0000}"/>
    <cellStyle name="Normal 31 6 3 2 2 2" xfId="33872" xr:uid="{00000000-0005-0000-0000-0000093E0000}"/>
    <cellStyle name="Normal 31 6 3 2 3" xfId="25825" xr:uid="{00000000-0005-0000-0000-00000A3E0000}"/>
    <cellStyle name="Normal 31 6 3 3" xfId="13443" xr:uid="{00000000-0005-0000-0000-00000B3E0000}"/>
    <cellStyle name="Normal 31 6 3 3 2" xfId="29987" xr:uid="{00000000-0005-0000-0000-00000C3E0000}"/>
    <cellStyle name="Normal 31 6 3 4" xfId="21944" xr:uid="{00000000-0005-0000-0000-00000D3E0000}"/>
    <cellStyle name="Normal 31 6 4" xfId="8122" xr:uid="{00000000-0005-0000-0000-00000E3E0000}"/>
    <cellStyle name="Normal 31 6 4 2" xfId="17299" xr:uid="{00000000-0005-0000-0000-00000F3E0000}"/>
    <cellStyle name="Normal 31 6 4 2 2" xfId="33873" xr:uid="{00000000-0005-0000-0000-0000103E0000}"/>
    <cellStyle name="Normal 31 6 4 3" xfId="25826" xr:uid="{00000000-0005-0000-0000-0000113E0000}"/>
    <cellStyle name="Normal 31 6 5" xfId="13440" xr:uid="{00000000-0005-0000-0000-0000123E0000}"/>
    <cellStyle name="Normal 31 6 5 2" xfId="29984" xr:uid="{00000000-0005-0000-0000-0000133E0000}"/>
    <cellStyle name="Normal 31 6 6" xfId="21941" xr:uid="{00000000-0005-0000-0000-0000143E0000}"/>
    <cellStyle name="Normal 31 7" xfId="4051" xr:uid="{00000000-0005-0000-0000-0000153E0000}"/>
    <cellStyle name="Normal 31 7 2" xfId="4052" xr:uid="{00000000-0005-0000-0000-0000163E0000}"/>
    <cellStyle name="Normal 31 7 2 2" xfId="8123" xr:uid="{00000000-0005-0000-0000-0000173E0000}"/>
    <cellStyle name="Normal 31 7 2 2 2" xfId="17300" xr:uid="{00000000-0005-0000-0000-0000183E0000}"/>
    <cellStyle name="Normal 31 7 2 2 2 2" xfId="33874" xr:uid="{00000000-0005-0000-0000-0000193E0000}"/>
    <cellStyle name="Normal 31 7 2 2 3" xfId="25827" xr:uid="{00000000-0005-0000-0000-00001A3E0000}"/>
    <cellStyle name="Normal 31 7 2 3" xfId="13445" xr:uid="{00000000-0005-0000-0000-00001B3E0000}"/>
    <cellStyle name="Normal 31 7 2 3 2" xfId="29989" xr:uid="{00000000-0005-0000-0000-00001C3E0000}"/>
    <cellStyle name="Normal 31 7 2 4" xfId="21946" xr:uid="{00000000-0005-0000-0000-00001D3E0000}"/>
    <cellStyle name="Normal 31 7 3" xfId="8124" xr:uid="{00000000-0005-0000-0000-00001E3E0000}"/>
    <cellStyle name="Normal 31 7 3 2" xfId="17301" xr:uid="{00000000-0005-0000-0000-00001F3E0000}"/>
    <cellStyle name="Normal 31 7 3 2 2" xfId="33875" xr:uid="{00000000-0005-0000-0000-0000203E0000}"/>
    <cellStyle name="Normal 31 7 3 3" xfId="25828" xr:uid="{00000000-0005-0000-0000-0000213E0000}"/>
    <cellStyle name="Normal 31 7 4" xfId="13444" xr:uid="{00000000-0005-0000-0000-0000223E0000}"/>
    <cellStyle name="Normal 31 7 4 2" xfId="29988" xr:uid="{00000000-0005-0000-0000-0000233E0000}"/>
    <cellStyle name="Normal 31 7 5" xfId="21945" xr:uid="{00000000-0005-0000-0000-0000243E0000}"/>
    <cellStyle name="Normal 31 8" xfId="4053" xr:uid="{00000000-0005-0000-0000-0000253E0000}"/>
    <cellStyle name="Normal 31 8 2" xfId="8125" xr:uid="{00000000-0005-0000-0000-0000263E0000}"/>
    <cellStyle name="Normal 31 8 2 2" xfId="17302" xr:uid="{00000000-0005-0000-0000-0000273E0000}"/>
    <cellStyle name="Normal 31 8 2 2 2" xfId="33876" xr:uid="{00000000-0005-0000-0000-0000283E0000}"/>
    <cellStyle name="Normal 31 8 2 3" xfId="25829" xr:uid="{00000000-0005-0000-0000-0000293E0000}"/>
    <cellStyle name="Normal 31 8 3" xfId="13446" xr:uid="{00000000-0005-0000-0000-00002A3E0000}"/>
    <cellStyle name="Normal 31 8 3 2" xfId="29990" xr:uid="{00000000-0005-0000-0000-00002B3E0000}"/>
    <cellStyle name="Normal 31 8 4" xfId="21947" xr:uid="{00000000-0005-0000-0000-00002C3E0000}"/>
    <cellStyle name="Normal 31 9" xfId="8126" xr:uid="{00000000-0005-0000-0000-00002D3E0000}"/>
    <cellStyle name="Normal 31 9 2" xfId="17303" xr:uid="{00000000-0005-0000-0000-00002E3E0000}"/>
    <cellStyle name="Normal 31 9 2 2" xfId="33877" xr:uid="{00000000-0005-0000-0000-00002F3E0000}"/>
    <cellStyle name="Normal 31 9 3" xfId="25830" xr:uid="{00000000-0005-0000-0000-0000303E0000}"/>
    <cellStyle name="Normal 310" xfId="10983" xr:uid="{00000000-0005-0000-0000-0000313E0000}"/>
    <cellStyle name="Normal 311" xfId="10986" xr:uid="{00000000-0005-0000-0000-0000323E0000}"/>
    <cellStyle name="Normal 312" xfId="10989" xr:uid="{00000000-0005-0000-0000-0000333E0000}"/>
    <cellStyle name="Normal 313" xfId="10992" xr:uid="{00000000-0005-0000-0000-0000343E0000}"/>
    <cellStyle name="Normal 314" xfId="10995" xr:uid="{00000000-0005-0000-0000-0000353E0000}"/>
    <cellStyle name="Normal 315" xfId="10998" xr:uid="{00000000-0005-0000-0000-0000363E0000}"/>
    <cellStyle name="Normal 316" xfId="11001" xr:uid="{00000000-0005-0000-0000-0000373E0000}"/>
    <cellStyle name="Normal 317" xfId="11004" xr:uid="{00000000-0005-0000-0000-0000383E0000}"/>
    <cellStyle name="Normal 318" xfId="11007" xr:uid="{00000000-0005-0000-0000-0000393E0000}"/>
    <cellStyle name="Normal 319" xfId="11010" xr:uid="{00000000-0005-0000-0000-00003A3E0000}"/>
    <cellStyle name="Normal 32" xfId="4054" xr:uid="{00000000-0005-0000-0000-00003B3E0000}"/>
    <cellStyle name="Normal 32 10" xfId="13447" xr:uid="{00000000-0005-0000-0000-00003C3E0000}"/>
    <cellStyle name="Normal 32 10 2" xfId="29991" xr:uid="{00000000-0005-0000-0000-00003D3E0000}"/>
    <cellStyle name="Normal 32 11" xfId="21948" xr:uid="{00000000-0005-0000-0000-00003E3E0000}"/>
    <cellStyle name="Normal 32 2" xfId="4055" xr:uid="{00000000-0005-0000-0000-00003F3E0000}"/>
    <cellStyle name="Normal 32 2 2" xfId="4056" xr:uid="{00000000-0005-0000-0000-0000403E0000}"/>
    <cellStyle name="Normal 32 2 3" xfId="13448" xr:uid="{00000000-0005-0000-0000-0000413E0000}"/>
    <cellStyle name="Normal 32 2 3 2" xfId="29992" xr:uid="{00000000-0005-0000-0000-0000423E0000}"/>
    <cellStyle name="Normal 32 2 4" xfId="21949" xr:uid="{00000000-0005-0000-0000-0000433E0000}"/>
    <cellStyle name="Normal 32 3" xfId="4057" xr:uid="{00000000-0005-0000-0000-0000443E0000}"/>
    <cellStyle name="Normal 32 3 2" xfId="4058" xr:uid="{00000000-0005-0000-0000-0000453E0000}"/>
    <cellStyle name="Normal 32 3 2 2" xfId="4059" xr:uid="{00000000-0005-0000-0000-0000463E0000}"/>
    <cellStyle name="Normal 32 3 2 2 2" xfId="4060" xr:uid="{00000000-0005-0000-0000-0000473E0000}"/>
    <cellStyle name="Normal 32 3 2 2 2 2" xfId="8127" xr:uid="{00000000-0005-0000-0000-0000483E0000}"/>
    <cellStyle name="Normal 32 3 2 2 2 2 2" xfId="17304" xr:uid="{00000000-0005-0000-0000-0000493E0000}"/>
    <cellStyle name="Normal 32 3 2 2 2 2 2 2" xfId="33878" xr:uid="{00000000-0005-0000-0000-00004A3E0000}"/>
    <cellStyle name="Normal 32 3 2 2 2 2 3" xfId="25831" xr:uid="{00000000-0005-0000-0000-00004B3E0000}"/>
    <cellStyle name="Normal 32 3 2 2 2 3" xfId="13451" xr:uid="{00000000-0005-0000-0000-00004C3E0000}"/>
    <cellStyle name="Normal 32 3 2 2 2 3 2" xfId="29995" xr:uid="{00000000-0005-0000-0000-00004D3E0000}"/>
    <cellStyle name="Normal 32 3 2 2 2 4" xfId="21952" xr:uid="{00000000-0005-0000-0000-00004E3E0000}"/>
    <cellStyle name="Normal 32 3 2 2 3" xfId="8128" xr:uid="{00000000-0005-0000-0000-00004F3E0000}"/>
    <cellStyle name="Normal 32 3 2 2 3 2" xfId="17305" xr:uid="{00000000-0005-0000-0000-0000503E0000}"/>
    <cellStyle name="Normal 32 3 2 2 3 2 2" xfId="33879" xr:uid="{00000000-0005-0000-0000-0000513E0000}"/>
    <cellStyle name="Normal 32 3 2 2 3 3" xfId="25832" xr:uid="{00000000-0005-0000-0000-0000523E0000}"/>
    <cellStyle name="Normal 32 3 2 2 4" xfId="13450" xr:uid="{00000000-0005-0000-0000-0000533E0000}"/>
    <cellStyle name="Normal 32 3 2 2 4 2" xfId="29994" xr:uid="{00000000-0005-0000-0000-0000543E0000}"/>
    <cellStyle name="Normal 32 3 2 2 5" xfId="21951" xr:uid="{00000000-0005-0000-0000-0000553E0000}"/>
    <cellStyle name="Normal 32 3 2 3" xfId="4061" xr:uid="{00000000-0005-0000-0000-0000563E0000}"/>
    <cellStyle name="Normal 32 3 2 3 2" xfId="8129" xr:uid="{00000000-0005-0000-0000-0000573E0000}"/>
    <cellStyle name="Normal 32 3 2 3 2 2" xfId="17306" xr:uid="{00000000-0005-0000-0000-0000583E0000}"/>
    <cellStyle name="Normal 32 3 2 3 2 2 2" xfId="33880" xr:uid="{00000000-0005-0000-0000-0000593E0000}"/>
    <cellStyle name="Normal 32 3 2 3 2 3" xfId="25833" xr:uid="{00000000-0005-0000-0000-00005A3E0000}"/>
    <cellStyle name="Normal 32 3 2 3 3" xfId="13452" xr:uid="{00000000-0005-0000-0000-00005B3E0000}"/>
    <cellStyle name="Normal 32 3 2 3 3 2" xfId="29996" xr:uid="{00000000-0005-0000-0000-00005C3E0000}"/>
    <cellStyle name="Normal 32 3 2 3 4" xfId="21953" xr:uid="{00000000-0005-0000-0000-00005D3E0000}"/>
    <cellStyle name="Normal 32 3 2 4" xfId="8130" xr:uid="{00000000-0005-0000-0000-00005E3E0000}"/>
    <cellStyle name="Normal 32 3 2 4 2" xfId="17307" xr:uid="{00000000-0005-0000-0000-00005F3E0000}"/>
    <cellStyle name="Normal 32 3 2 4 2 2" xfId="33881" xr:uid="{00000000-0005-0000-0000-0000603E0000}"/>
    <cellStyle name="Normal 32 3 2 4 3" xfId="25834" xr:uid="{00000000-0005-0000-0000-0000613E0000}"/>
    <cellStyle name="Normal 32 3 2 5" xfId="13449" xr:uid="{00000000-0005-0000-0000-0000623E0000}"/>
    <cellStyle name="Normal 32 3 2 5 2" xfId="29993" xr:uid="{00000000-0005-0000-0000-0000633E0000}"/>
    <cellStyle name="Normal 32 3 2 6" xfId="21950" xr:uid="{00000000-0005-0000-0000-0000643E0000}"/>
    <cellStyle name="Normal 32 3 3" xfId="4062" xr:uid="{00000000-0005-0000-0000-0000653E0000}"/>
    <cellStyle name="Normal 32 3 3 2" xfId="4063" xr:uid="{00000000-0005-0000-0000-0000663E0000}"/>
    <cellStyle name="Normal 32 3 3 2 2" xfId="8131" xr:uid="{00000000-0005-0000-0000-0000673E0000}"/>
    <cellStyle name="Normal 32 3 3 2 2 2" xfId="17308" xr:uid="{00000000-0005-0000-0000-0000683E0000}"/>
    <cellStyle name="Normal 32 3 3 2 2 2 2" xfId="33882" xr:uid="{00000000-0005-0000-0000-0000693E0000}"/>
    <cellStyle name="Normal 32 3 3 2 2 3" xfId="25835" xr:uid="{00000000-0005-0000-0000-00006A3E0000}"/>
    <cellStyle name="Normal 32 3 3 2 3" xfId="13454" xr:uid="{00000000-0005-0000-0000-00006B3E0000}"/>
    <cellStyle name="Normal 32 3 3 2 3 2" xfId="29998" xr:uid="{00000000-0005-0000-0000-00006C3E0000}"/>
    <cellStyle name="Normal 32 3 3 2 4" xfId="21955" xr:uid="{00000000-0005-0000-0000-00006D3E0000}"/>
    <cellStyle name="Normal 32 3 3 3" xfId="8132" xr:uid="{00000000-0005-0000-0000-00006E3E0000}"/>
    <cellStyle name="Normal 32 3 3 3 2" xfId="17309" xr:uid="{00000000-0005-0000-0000-00006F3E0000}"/>
    <cellStyle name="Normal 32 3 3 3 2 2" xfId="33883" xr:uid="{00000000-0005-0000-0000-0000703E0000}"/>
    <cellStyle name="Normal 32 3 3 3 3" xfId="25836" xr:uid="{00000000-0005-0000-0000-0000713E0000}"/>
    <cellStyle name="Normal 32 3 3 4" xfId="13453" xr:uid="{00000000-0005-0000-0000-0000723E0000}"/>
    <cellStyle name="Normal 32 3 3 4 2" xfId="29997" xr:uid="{00000000-0005-0000-0000-0000733E0000}"/>
    <cellStyle name="Normal 32 3 3 5" xfId="21954" xr:uid="{00000000-0005-0000-0000-0000743E0000}"/>
    <cellStyle name="Normal 32 3 4" xfId="4064" xr:uid="{00000000-0005-0000-0000-0000753E0000}"/>
    <cellStyle name="Normal 32 3 4 2" xfId="8133" xr:uid="{00000000-0005-0000-0000-0000763E0000}"/>
    <cellStyle name="Normal 32 3 4 2 2" xfId="17310" xr:uid="{00000000-0005-0000-0000-0000773E0000}"/>
    <cellStyle name="Normal 32 3 4 2 2 2" xfId="33884" xr:uid="{00000000-0005-0000-0000-0000783E0000}"/>
    <cellStyle name="Normal 32 3 4 2 3" xfId="25837" xr:uid="{00000000-0005-0000-0000-0000793E0000}"/>
    <cellStyle name="Normal 32 3 4 3" xfId="13455" xr:uid="{00000000-0005-0000-0000-00007A3E0000}"/>
    <cellStyle name="Normal 32 3 4 3 2" xfId="29999" xr:uid="{00000000-0005-0000-0000-00007B3E0000}"/>
    <cellStyle name="Normal 32 3 4 4" xfId="21956" xr:uid="{00000000-0005-0000-0000-00007C3E0000}"/>
    <cellStyle name="Normal 32 3 5" xfId="4065" xr:uid="{00000000-0005-0000-0000-00007D3E0000}"/>
    <cellStyle name="Normal 32 3 5 2" xfId="13456" xr:uid="{00000000-0005-0000-0000-00007E3E0000}"/>
    <cellStyle name="Normal 32 3 5 2 2" xfId="30000" xr:uid="{00000000-0005-0000-0000-00007F3E0000}"/>
    <cellStyle name="Normal 32 3 5 3" xfId="21957" xr:uid="{00000000-0005-0000-0000-0000803E0000}"/>
    <cellStyle name="Normal 32 4" xfId="4066" xr:uid="{00000000-0005-0000-0000-0000813E0000}"/>
    <cellStyle name="Normal 32 4 2" xfId="4067" xr:uid="{00000000-0005-0000-0000-0000823E0000}"/>
    <cellStyle name="Normal 32 4 2 2" xfId="4068" xr:uid="{00000000-0005-0000-0000-0000833E0000}"/>
    <cellStyle name="Normal 32 4 2 2 2" xfId="4069" xr:uid="{00000000-0005-0000-0000-0000843E0000}"/>
    <cellStyle name="Normal 32 4 2 2 2 2" xfId="8134" xr:uid="{00000000-0005-0000-0000-0000853E0000}"/>
    <cellStyle name="Normal 32 4 2 2 2 2 2" xfId="17311" xr:uid="{00000000-0005-0000-0000-0000863E0000}"/>
    <cellStyle name="Normal 32 4 2 2 2 2 2 2" xfId="33885" xr:uid="{00000000-0005-0000-0000-0000873E0000}"/>
    <cellStyle name="Normal 32 4 2 2 2 2 3" xfId="25838" xr:uid="{00000000-0005-0000-0000-0000883E0000}"/>
    <cellStyle name="Normal 32 4 2 2 2 3" xfId="13460" xr:uid="{00000000-0005-0000-0000-0000893E0000}"/>
    <cellStyle name="Normal 32 4 2 2 2 3 2" xfId="30004" xr:uid="{00000000-0005-0000-0000-00008A3E0000}"/>
    <cellStyle name="Normal 32 4 2 2 2 4" xfId="21961" xr:uid="{00000000-0005-0000-0000-00008B3E0000}"/>
    <cellStyle name="Normal 32 4 2 2 3" xfId="8135" xr:uid="{00000000-0005-0000-0000-00008C3E0000}"/>
    <cellStyle name="Normal 32 4 2 2 3 2" xfId="17312" xr:uid="{00000000-0005-0000-0000-00008D3E0000}"/>
    <cellStyle name="Normal 32 4 2 2 3 2 2" xfId="33886" xr:uid="{00000000-0005-0000-0000-00008E3E0000}"/>
    <cellStyle name="Normal 32 4 2 2 3 3" xfId="25839" xr:uid="{00000000-0005-0000-0000-00008F3E0000}"/>
    <cellStyle name="Normal 32 4 2 2 4" xfId="13459" xr:uid="{00000000-0005-0000-0000-0000903E0000}"/>
    <cellStyle name="Normal 32 4 2 2 4 2" xfId="30003" xr:uid="{00000000-0005-0000-0000-0000913E0000}"/>
    <cellStyle name="Normal 32 4 2 2 5" xfId="21960" xr:uid="{00000000-0005-0000-0000-0000923E0000}"/>
    <cellStyle name="Normal 32 4 2 3" xfId="4070" xr:uid="{00000000-0005-0000-0000-0000933E0000}"/>
    <cellStyle name="Normal 32 4 2 3 2" xfId="8136" xr:uid="{00000000-0005-0000-0000-0000943E0000}"/>
    <cellStyle name="Normal 32 4 2 3 2 2" xfId="17313" xr:uid="{00000000-0005-0000-0000-0000953E0000}"/>
    <cellStyle name="Normal 32 4 2 3 2 2 2" xfId="33887" xr:uid="{00000000-0005-0000-0000-0000963E0000}"/>
    <cellStyle name="Normal 32 4 2 3 2 3" xfId="25840" xr:uid="{00000000-0005-0000-0000-0000973E0000}"/>
    <cellStyle name="Normal 32 4 2 3 3" xfId="13461" xr:uid="{00000000-0005-0000-0000-0000983E0000}"/>
    <cellStyle name="Normal 32 4 2 3 3 2" xfId="30005" xr:uid="{00000000-0005-0000-0000-0000993E0000}"/>
    <cellStyle name="Normal 32 4 2 3 4" xfId="21962" xr:uid="{00000000-0005-0000-0000-00009A3E0000}"/>
    <cellStyle name="Normal 32 4 2 4" xfId="8137" xr:uid="{00000000-0005-0000-0000-00009B3E0000}"/>
    <cellStyle name="Normal 32 4 2 4 2" xfId="17314" xr:uid="{00000000-0005-0000-0000-00009C3E0000}"/>
    <cellStyle name="Normal 32 4 2 4 2 2" xfId="33888" xr:uid="{00000000-0005-0000-0000-00009D3E0000}"/>
    <cellStyle name="Normal 32 4 2 4 3" xfId="25841" xr:uid="{00000000-0005-0000-0000-00009E3E0000}"/>
    <cellStyle name="Normal 32 4 2 5" xfId="13458" xr:uid="{00000000-0005-0000-0000-00009F3E0000}"/>
    <cellStyle name="Normal 32 4 2 5 2" xfId="30002" xr:uid="{00000000-0005-0000-0000-0000A03E0000}"/>
    <cellStyle name="Normal 32 4 2 6" xfId="21959" xr:uid="{00000000-0005-0000-0000-0000A13E0000}"/>
    <cellStyle name="Normal 32 4 3" xfId="4071" xr:uid="{00000000-0005-0000-0000-0000A23E0000}"/>
    <cellStyle name="Normal 32 4 3 2" xfId="4072" xr:uid="{00000000-0005-0000-0000-0000A33E0000}"/>
    <cellStyle name="Normal 32 4 3 2 2" xfId="8138" xr:uid="{00000000-0005-0000-0000-0000A43E0000}"/>
    <cellStyle name="Normal 32 4 3 2 2 2" xfId="17315" xr:uid="{00000000-0005-0000-0000-0000A53E0000}"/>
    <cellStyle name="Normal 32 4 3 2 2 2 2" xfId="33889" xr:uid="{00000000-0005-0000-0000-0000A63E0000}"/>
    <cellStyle name="Normal 32 4 3 2 2 3" xfId="25842" xr:uid="{00000000-0005-0000-0000-0000A73E0000}"/>
    <cellStyle name="Normal 32 4 3 2 3" xfId="13463" xr:uid="{00000000-0005-0000-0000-0000A83E0000}"/>
    <cellStyle name="Normal 32 4 3 2 3 2" xfId="30007" xr:uid="{00000000-0005-0000-0000-0000A93E0000}"/>
    <cellStyle name="Normal 32 4 3 2 4" xfId="21964" xr:uid="{00000000-0005-0000-0000-0000AA3E0000}"/>
    <cellStyle name="Normal 32 4 3 3" xfId="8139" xr:uid="{00000000-0005-0000-0000-0000AB3E0000}"/>
    <cellStyle name="Normal 32 4 3 3 2" xfId="17316" xr:uid="{00000000-0005-0000-0000-0000AC3E0000}"/>
    <cellStyle name="Normal 32 4 3 3 2 2" xfId="33890" xr:uid="{00000000-0005-0000-0000-0000AD3E0000}"/>
    <cellStyle name="Normal 32 4 3 3 3" xfId="25843" xr:uid="{00000000-0005-0000-0000-0000AE3E0000}"/>
    <cellStyle name="Normal 32 4 3 4" xfId="13462" xr:uid="{00000000-0005-0000-0000-0000AF3E0000}"/>
    <cellStyle name="Normal 32 4 3 4 2" xfId="30006" xr:uid="{00000000-0005-0000-0000-0000B03E0000}"/>
    <cellStyle name="Normal 32 4 3 5" xfId="21963" xr:uid="{00000000-0005-0000-0000-0000B13E0000}"/>
    <cellStyle name="Normal 32 4 4" xfId="4073" xr:uid="{00000000-0005-0000-0000-0000B23E0000}"/>
    <cellStyle name="Normal 32 4 4 2" xfId="8140" xr:uid="{00000000-0005-0000-0000-0000B33E0000}"/>
    <cellStyle name="Normal 32 4 4 2 2" xfId="17317" xr:uid="{00000000-0005-0000-0000-0000B43E0000}"/>
    <cellStyle name="Normal 32 4 4 2 2 2" xfId="33891" xr:uid="{00000000-0005-0000-0000-0000B53E0000}"/>
    <cellStyle name="Normal 32 4 4 2 3" xfId="25844" xr:uid="{00000000-0005-0000-0000-0000B63E0000}"/>
    <cellStyle name="Normal 32 4 4 3" xfId="13464" xr:uid="{00000000-0005-0000-0000-0000B73E0000}"/>
    <cellStyle name="Normal 32 4 4 3 2" xfId="30008" xr:uid="{00000000-0005-0000-0000-0000B83E0000}"/>
    <cellStyle name="Normal 32 4 4 4" xfId="21965" xr:uid="{00000000-0005-0000-0000-0000B93E0000}"/>
    <cellStyle name="Normal 32 4 5" xfId="8141" xr:uid="{00000000-0005-0000-0000-0000BA3E0000}"/>
    <cellStyle name="Normal 32 4 5 2" xfId="17318" xr:uid="{00000000-0005-0000-0000-0000BB3E0000}"/>
    <cellStyle name="Normal 32 4 5 2 2" xfId="33892" xr:uid="{00000000-0005-0000-0000-0000BC3E0000}"/>
    <cellStyle name="Normal 32 4 5 3" xfId="25845" xr:uid="{00000000-0005-0000-0000-0000BD3E0000}"/>
    <cellStyle name="Normal 32 4 6" xfId="13457" xr:uid="{00000000-0005-0000-0000-0000BE3E0000}"/>
    <cellStyle name="Normal 32 4 6 2" xfId="30001" xr:uid="{00000000-0005-0000-0000-0000BF3E0000}"/>
    <cellStyle name="Normal 32 4 7" xfId="21958" xr:uid="{00000000-0005-0000-0000-0000C03E0000}"/>
    <cellStyle name="Normal 32 5" xfId="4074" xr:uid="{00000000-0005-0000-0000-0000C13E0000}"/>
    <cellStyle name="Normal 32 5 2" xfId="4075" xr:uid="{00000000-0005-0000-0000-0000C23E0000}"/>
    <cellStyle name="Normal 32 5 2 2" xfId="4076" xr:uid="{00000000-0005-0000-0000-0000C33E0000}"/>
    <cellStyle name="Normal 32 5 2 2 2" xfId="4077" xr:uid="{00000000-0005-0000-0000-0000C43E0000}"/>
    <cellStyle name="Normal 32 5 2 2 2 2" xfId="8142" xr:uid="{00000000-0005-0000-0000-0000C53E0000}"/>
    <cellStyle name="Normal 32 5 2 2 2 2 2" xfId="17319" xr:uid="{00000000-0005-0000-0000-0000C63E0000}"/>
    <cellStyle name="Normal 32 5 2 2 2 2 2 2" xfId="33893" xr:uid="{00000000-0005-0000-0000-0000C73E0000}"/>
    <cellStyle name="Normal 32 5 2 2 2 2 3" xfId="25846" xr:uid="{00000000-0005-0000-0000-0000C83E0000}"/>
    <cellStyle name="Normal 32 5 2 2 2 3" xfId="13468" xr:uid="{00000000-0005-0000-0000-0000C93E0000}"/>
    <cellStyle name="Normal 32 5 2 2 2 3 2" xfId="30012" xr:uid="{00000000-0005-0000-0000-0000CA3E0000}"/>
    <cellStyle name="Normal 32 5 2 2 2 4" xfId="21969" xr:uid="{00000000-0005-0000-0000-0000CB3E0000}"/>
    <cellStyle name="Normal 32 5 2 2 3" xfId="8143" xr:uid="{00000000-0005-0000-0000-0000CC3E0000}"/>
    <cellStyle name="Normal 32 5 2 2 3 2" xfId="17320" xr:uid="{00000000-0005-0000-0000-0000CD3E0000}"/>
    <cellStyle name="Normal 32 5 2 2 3 2 2" xfId="33894" xr:uid="{00000000-0005-0000-0000-0000CE3E0000}"/>
    <cellStyle name="Normal 32 5 2 2 3 3" xfId="25847" xr:uid="{00000000-0005-0000-0000-0000CF3E0000}"/>
    <cellStyle name="Normal 32 5 2 2 4" xfId="13467" xr:uid="{00000000-0005-0000-0000-0000D03E0000}"/>
    <cellStyle name="Normal 32 5 2 2 4 2" xfId="30011" xr:uid="{00000000-0005-0000-0000-0000D13E0000}"/>
    <cellStyle name="Normal 32 5 2 2 5" xfId="21968" xr:uid="{00000000-0005-0000-0000-0000D23E0000}"/>
    <cellStyle name="Normal 32 5 2 3" xfId="4078" xr:uid="{00000000-0005-0000-0000-0000D33E0000}"/>
    <cellStyle name="Normal 32 5 2 3 2" xfId="8144" xr:uid="{00000000-0005-0000-0000-0000D43E0000}"/>
    <cellStyle name="Normal 32 5 2 3 2 2" xfId="17321" xr:uid="{00000000-0005-0000-0000-0000D53E0000}"/>
    <cellStyle name="Normal 32 5 2 3 2 2 2" xfId="33895" xr:uid="{00000000-0005-0000-0000-0000D63E0000}"/>
    <cellStyle name="Normal 32 5 2 3 2 3" xfId="25848" xr:uid="{00000000-0005-0000-0000-0000D73E0000}"/>
    <cellStyle name="Normal 32 5 2 3 3" xfId="13469" xr:uid="{00000000-0005-0000-0000-0000D83E0000}"/>
    <cellStyle name="Normal 32 5 2 3 3 2" xfId="30013" xr:uid="{00000000-0005-0000-0000-0000D93E0000}"/>
    <cellStyle name="Normal 32 5 2 3 4" xfId="21970" xr:uid="{00000000-0005-0000-0000-0000DA3E0000}"/>
    <cellStyle name="Normal 32 5 2 4" xfId="8145" xr:uid="{00000000-0005-0000-0000-0000DB3E0000}"/>
    <cellStyle name="Normal 32 5 2 4 2" xfId="17322" xr:uid="{00000000-0005-0000-0000-0000DC3E0000}"/>
    <cellStyle name="Normal 32 5 2 4 2 2" xfId="33896" xr:uid="{00000000-0005-0000-0000-0000DD3E0000}"/>
    <cellStyle name="Normal 32 5 2 4 3" xfId="25849" xr:uid="{00000000-0005-0000-0000-0000DE3E0000}"/>
    <cellStyle name="Normal 32 5 2 5" xfId="13466" xr:uid="{00000000-0005-0000-0000-0000DF3E0000}"/>
    <cellStyle name="Normal 32 5 2 5 2" xfId="30010" xr:uid="{00000000-0005-0000-0000-0000E03E0000}"/>
    <cellStyle name="Normal 32 5 2 6" xfId="21967" xr:uid="{00000000-0005-0000-0000-0000E13E0000}"/>
    <cellStyle name="Normal 32 5 3" xfId="4079" xr:uid="{00000000-0005-0000-0000-0000E23E0000}"/>
    <cellStyle name="Normal 32 5 3 2" xfId="4080" xr:uid="{00000000-0005-0000-0000-0000E33E0000}"/>
    <cellStyle name="Normal 32 5 3 2 2" xfId="8146" xr:uid="{00000000-0005-0000-0000-0000E43E0000}"/>
    <cellStyle name="Normal 32 5 3 2 2 2" xfId="17323" xr:uid="{00000000-0005-0000-0000-0000E53E0000}"/>
    <cellStyle name="Normal 32 5 3 2 2 2 2" xfId="33897" xr:uid="{00000000-0005-0000-0000-0000E63E0000}"/>
    <cellStyle name="Normal 32 5 3 2 2 3" xfId="25850" xr:uid="{00000000-0005-0000-0000-0000E73E0000}"/>
    <cellStyle name="Normal 32 5 3 2 3" xfId="13471" xr:uid="{00000000-0005-0000-0000-0000E83E0000}"/>
    <cellStyle name="Normal 32 5 3 2 3 2" xfId="30015" xr:uid="{00000000-0005-0000-0000-0000E93E0000}"/>
    <cellStyle name="Normal 32 5 3 2 4" xfId="21972" xr:uid="{00000000-0005-0000-0000-0000EA3E0000}"/>
    <cellStyle name="Normal 32 5 3 3" xfId="8147" xr:uid="{00000000-0005-0000-0000-0000EB3E0000}"/>
    <cellStyle name="Normal 32 5 3 3 2" xfId="17324" xr:uid="{00000000-0005-0000-0000-0000EC3E0000}"/>
    <cellStyle name="Normal 32 5 3 3 2 2" xfId="33898" xr:uid="{00000000-0005-0000-0000-0000ED3E0000}"/>
    <cellStyle name="Normal 32 5 3 3 3" xfId="25851" xr:uid="{00000000-0005-0000-0000-0000EE3E0000}"/>
    <cellStyle name="Normal 32 5 3 4" xfId="13470" xr:uid="{00000000-0005-0000-0000-0000EF3E0000}"/>
    <cellStyle name="Normal 32 5 3 4 2" xfId="30014" xr:uid="{00000000-0005-0000-0000-0000F03E0000}"/>
    <cellStyle name="Normal 32 5 3 5" xfId="21971" xr:uid="{00000000-0005-0000-0000-0000F13E0000}"/>
    <cellStyle name="Normal 32 5 4" xfId="4081" xr:uid="{00000000-0005-0000-0000-0000F23E0000}"/>
    <cellStyle name="Normal 32 5 4 2" xfId="8148" xr:uid="{00000000-0005-0000-0000-0000F33E0000}"/>
    <cellStyle name="Normal 32 5 4 2 2" xfId="17325" xr:uid="{00000000-0005-0000-0000-0000F43E0000}"/>
    <cellStyle name="Normal 32 5 4 2 2 2" xfId="33899" xr:uid="{00000000-0005-0000-0000-0000F53E0000}"/>
    <cellStyle name="Normal 32 5 4 2 3" xfId="25852" xr:uid="{00000000-0005-0000-0000-0000F63E0000}"/>
    <cellStyle name="Normal 32 5 4 3" xfId="13472" xr:uid="{00000000-0005-0000-0000-0000F73E0000}"/>
    <cellStyle name="Normal 32 5 4 3 2" xfId="30016" xr:uid="{00000000-0005-0000-0000-0000F83E0000}"/>
    <cellStyle name="Normal 32 5 4 4" xfId="21973" xr:uid="{00000000-0005-0000-0000-0000F93E0000}"/>
    <cellStyle name="Normal 32 5 5" xfId="8149" xr:uid="{00000000-0005-0000-0000-0000FA3E0000}"/>
    <cellStyle name="Normal 32 5 5 2" xfId="17326" xr:uid="{00000000-0005-0000-0000-0000FB3E0000}"/>
    <cellStyle name="Normal 32 5 5 2 2" xfId="33900" xr:uid="{00000000-0005-0000-0000-0000FC3E0000}"/>
    <cellStyle name="Normal 32 5 5 3" xfId="25853" xr:uid="{00000000-0005-0000-0000-0000FD3E0000}"/>
    <cellStyle name="Normal 32 5 6" xfId="13465" xr:uid="{00000000-0005-0000-0000-0000FE3E0000}"/>
    <cellStyle name="Normal 32 5 6 2" xfId="30009" xr:uid="{00000000-0005-0000-0000-0000FF3E0000}"/>
    <cellStyle name="Normal 32 5 7" xfId="21966" xr:uid="{00000000-0005-0000-0000-0000003F0000}"/>
    <cellStyle name="Normal 32 6" xfId="4082" xr:uid="{00000000-0005-0000-0000-0000013F0000}"/>
    <cellStyle name="Normal 32 6 2" xfId="4083" xr:uid="{00000000-0005-0000-0000-0000023F0000}"/>
    <cellStyle name="Normal 32 6 2 2" xfId="4084" xr:uid="{00000000-0005-0000-0000-0000033F0000}"/>
    <cellStyle name="Normal 32 6 2 2 2" xfId="8150" xr:uid="{00000000-0005-0000-0000-0000043F0000}"/>
    <cellStyle name="Normal 32 6 2 2 2 2" xfId="17327" xr:uid="{00000000-0005-0000-0000-0000053F0000}"/>
    <cellStyle name="Normal 32 6 2 2 2 2 2" xfId="33901" xr:uid="{00000000-0005-0000-0000-0000063F0000}"/>
    <cellStyle name="Normal 32 6 2 2 2 3" xfId="25854" xr:uid="{00000000-0005-0000-0000-0000073F0000}"/>
    <cellStyle name="Normal 32 6 2 2 3" xfId="13475" xr:uid="{00000000-0005-0000-0000-0000083F0000}"/>
    <cellStyle name="Normal 32 6 2 2 3 2" xfId="30019" xr:uid="{00000000-0005-0000-0000-0000093F0000}"/>
    <cellStyle name="Normal 32 6 2 2 4" xfId="21976" xr:uid="{00000000-0005-0000-0000-00000A3F0000}"/>
    <cellStyle name="Normal 32 6 2 3" xfId="8151" xr:uid="{00000000-0005-0000-0000-00000B3F0000}"/>
    <cellStyle name="Normal 32 6 2 3 2" xfId="17328" xr:uid="{00000000-0005-0000-0000-00000C3F0000}"/>
    <cellStyle name="Normal 32 6 2 3 2 2" xfId="33902" xr:uid="{00000000-0005-0000-0000-00000D3F0000}"/>
    <cellStyle name="Normal 32 6 2 3 3" xfId="25855" xr:uid="{00000000-0005-0000-0000-00000E3F0000}"/>
    <cellStyle name="Normal 32 6 2 4" xfId="13474" xr:uid="{00000000-0005-0000-0000-00000F3F0000}"/>
    <cellStyle name="Normal 32 6 2 4 2" xfId="30018" xr:uid="{00000000-0005-0000-0000-0000103F0000}"/>
    <cellStyle name="Normal 32 6 2 5" xfId="21975" xr:uid="{00000000-0005-0000-0000-0000113F0000}"/>
    <cellStyle name="Normal 32 6 3" xfId="4085" xr:uid="{00000000-0005-0000-0000-0000123F0000}"/>
    <cellStyle name="Normal 32 6 3 2" xfId="8152" xr:uid="{00000000-0005-0000-0000-0000133F0000}"/>
    <cellStyle name="Normal 32 6 3 2 2" xfId="17329" xr:uid="{00000000-0005-0000-0000-0000143F0000}"/>
    <cellStyle name="Normal 32 6 3 2 2 2" xfId="33903" xr:uid="{00000000-0005-0000-0000-0000153F0000}"/>
    <cellStyle name="Normal 32 6 3 2 3" xfId="25856" xr:uid="{00000000-0005-0000-0000-0000163F0000}"/>
    <cellStyle name="Normal 32 6 3 3" xfId="13476" xr:uid="{00000000-0005-0000-0000-0000173F0000}"/>
    <cellStyle name="Normal 32 6 3 3 2" xfId="30020" xr:uid="{00000000-0005-0000-0000-0000183F0000}"/>
    <cellStyle name="Normal 32 6 3 4" xfId="21977" xr:uid="{00000000-0005-0000-0000-0000193F0000}"/>
    <cellStyle name="Normal 32 6 4" xfId="8153" xr:uid="{00000000-0005-0000-0000-00001A3F0000}"/>
    <cellStyle name="Normal 32 6 4 2" xfId="17330" xr:uid="{00000000-0005-0000-0000-00001B3F0000}"/>
    <cellStyle name="Normal 32 6 4 2 2" xfId="33904" xr:uid="{00000000-0005-0000-0000-00001C3F0000}"/>
    <cellStyle name="Normal 32 6 4 3" xfId="25857" xr:uid="{00000000-0005-0000-0000-00001D3F0000}"/>
    <cellStyle name="Normal 32 6 5" xfId="13473" xr:uid="{00000000-0005-0000-0000-00001E3F0000}"/>
    <cellStyle name="Normal 32 6 5 2" xfId="30017" xr:uid="{00000000-0005-0000-0000-00001F3F0000}"/>
    <cellStyle name="Normal 32 6 6" xfId="21974" xr:uid="{00000000-0005-0000-0000-0000203F0000}"/>
    <cellStyle name="Normal 32 7" xfId="4086" xr:uid="{00000000-0005-0000-0000-0000213F0000}"/>
    <cellStyle name="Normal 32 7 2" xfId="4087" xr:uid="{00000000-0005-0000-0000-0000223F0000}"/>
    <cellStyle name="Normal 32 7 2 2" xfId="8154" xr:uid="{00000000-0005-0000-0000-0000233F0000}"/>
    <cellStyle name="Normal 32 7 2 2 2" xfId="17331" xr:uid="{00000000-0005-0000-0000-0000243F0000}"/>
    <cellStyle name="Normal 32 7 2 2 2 2" xfId="33905" xr:uid="{00000000-0005-0000-0000-0000253F0000}"/>
    <cellStyle name="Normal 32 7 2 2 3" xfId="25858" xr:uid="{00000000-0005-0000-0000-0000263F0000}"/>
    <cellStyle name="Normal 32 7 2 3" xfId="13478" xr:uid="{00000000-0005-0000-0000-0000273F0000}"/>
    <cellStyle name="Normal 32 7 2 3 2" xfId="30022" xr:uid="{00000000-0005-0000-0000-0000283F0000}"/>
    <cellStyle name="Normal 32 7 2 4" xfId="21979" xr:uid="{00000000-0005-0000-0000-0000293F0000}"/>
    <cellStyle name="Normal 32 7 3" xfId="8155" xr:uid="{00000000-0005-0000-0000-00002A3F0000}"/>
    <cellStyle name="Normal 32 7 3 2" xfId="17332" xr:uid="{00000000-0005-0000-0000-00002B3F0000}"/>
    <cellStyle name="Normal 32 7 3 2 2" xfId="33906" xr:uid="{00000000-0005-0000-0000-00002C3F0000}"/>
    <cellStyle name="Normal 32 7 3 3" xfId="25859" xr:uid="{00000000-0005-0000-0000-00002D3F0000}"/>
    <cellStyle name="Normal 32 7 4" xfId="13477" xr:uid="{00000000-0005-0000-0000-00002E3F0000}"/>
    <cellStyle name="Normal 32 7 4 2" xfId="30021" xr:uid="{00000000-0005-0000-0000-00002F3F0000}"/>
    <cellStyle name="Normal 32 7 5" xfId="21978" xr:uid="{00000000-0005-0000-0000-0000303F0000}"/>
    <cellStyle name="Normal 32 8" xfId="4088" xr:uid="{00000000-0005-0000-0000-0000313F0000}"/>
    <cellStyle name="Normal 32 8 2" xfId="8156" xr:uid="{00000000-0005-0000-0000-0000323F0000}"/>
    <cellStyle name="Normal 32 8 2 2" xfId="17333" xr:uid="{00000000-0005-0000-0000-0000333F0000}"/>
    <cellStyle name="Normal 32 8 2 2 2" xfId="33907" xr:uid="{00000000-0005-0000-0000-0000343F0000}"/>
    <cellStyle name="Normal 32 8 2 3" xfId="25860" xr:uid="{00000000-0005-0000-0000-0000353F0000}"/>
    <cellStyle name="Normal 32 8 3" xfId="13479" xr:uid="{00000000-0005-0000-0000-0000363F0000}"/>
    <cellStyle name="Normal 32 8 3 2" xfId="30023" xr:uid="{00000000-0005-0000-0000-0000373F0000}"/>
    <cellStyle name="Normal 32 8 4" xfId="21980" xr:uid="{00000000-0005-0000-0000-0000383F0000}"/>
    <cellStyle name="Normal 32 9" xfId="8157" xr:uid="{00000000-0005-0000-0000-0000393F0000}"/>
    <cellStyle name="Normal 32 9 2" xfId="17334" xr:uid="{00000000-0005-0000-0000-00003A3F0000}"/>
    <cellStyle name="Normal 32 9 2 2" xfId="33908" xr:uid="{00000000-0005-0000-0000-00003B3F0000}"/>
    <cellStyle name="Normal 32 9 3" xfId="25861" xr:uid="{00000000-0005-0000-0000-00003C3F0000}"/>
    <cellStyle name="Normal 320" xfId="11013" xr:uid="{00000000-0005-0000-0000-00003D3F0000}"/>
    <cellStyle name="Normal 321" xfId="11016" xr:uid="{00000000-0005-0000-0000-00003E3F0000}"/>
    <cellStyle name="Normal 322" xfId="11019" xr:uid="{00000000-0005-0000-0000-00003F3F0000}"/>
    <cellStyle name="Normal 323" xfId="11022" xr:uid="{00000000-0005-0000-0000-0000403F0000}"/>
    <cellStyle name="Normal 324" xfId="11025" xr:uid="{00000000-0005-0000-0000-0000413F0000}"/>
    <cellStyle name="Normal 325" xfId="11028" xr:uid="{00000000-0005-0000-0000-0000423F0000}"/>
    <cellStyle name="Normal 326" xfId="11031" xr:uid="{00000000-0005-0000-0000-0000433F0000}"/>
    <cellStyle name="Normal 327" xfId="11034" xr:uid="{00000000-0005-0000-0000-0000443F0000}"/>
    <cellStyle name="Normal 328" xfId="11037" xr:uid="{00000000-0005-0000-0000-0000453F0000}"/>
    <cellStyle name="Normal 329" xfId="11040" xr:uid="{00000000-0005-0000-0000-0000463F0000}"/>
    <cellStyle name="Normal 33" xfId="4089" xr:uid="{00000000-0005-0000-0000-0000473F0000}"/>
    <cellStyle name="Normal 33 10" xfId="13480" xr:uid="{00000000-0005-0000-0000-0000483F0000}"/>
    <cellStyle name="Normal 33 10 2" xfId="30024" xr:uid="{00000000-0005-0000-0000-0000493F0000}"/>
    <cellStyle name="Normal 33 11" xfId="21981" xr:uid="{00000000-0005-0000-0000-00004A3F0000}"/>
    <cellStyle name="Normal 33 2" xfId="4090" xr:uid="{00000000-0005-0000-0000-00004B3F0000}"/>
    <cellStyle name="Normal 33 2 2" xfId="4091" xr:uid="{00000000-0005-0000-0000-00004C3F0000}"/>
    <cellStyle name="Normal 33 2 3" xfId="13481" xr:uid="{00000000-0005-0000-0000-00004D3F0000}"/>
    <cellStyle name="Normal 33 2 3 2" xfId="30025" xr:uid="{00000000-0005-0000-0000-00004E3F0000}"/>
    <cellStyle name="Normal 33 2 4" xfId="21982" xr:uid="{00000000-0005-0000-0000-00004F3F0000}"/>
    <cellStyle name="Normal 33 3" xfId="4092" xr:uid="{00000000-0005-0000-0000-0000503F0000}"/>
    <cellStyle name="Normal 33 3 2" xfId="4093" xr:uid="{00000000-0005-0000-0000-0000513F0000}"/>
    <cellStyle name="Normal 33 3 2 2" xfId="4094" xr:uid="{00000000-0005-0000-0000-0000523F0000}"/>
    <cellStyle name="Normal 33 3 2 2 2" xfId="4095" xr:uid="{00000000-0005-0000-0000-0000533F0000}"/>
    <cellStyle name="Normal 33 3 2 2 2 2" xfId="8158" xr:uid="{00000000-0005-0000-0000-0000543F0000}"/>
    <cellStyle name="Normal 33 3 2 2 2 2 2" xfId="17335" xr:uid="{00000000-0005-0000-0000-0000553F0000}"/>
    <cellStyle name="Normal 33 3 2 2 2 2 2 2" xfId="33909" xr:uid="{00000000-0005-0000-0000-0000563F0000}"/>
    <cellStyle name="Normal 33 3 2 2 2 2 3" xfId="25862" xr:uid="{00000000-0005-0000-0000-0000573F0000}"/>
    <cellStyle name="Normal 33 3 2 2 2 3" xfId="13484" xr:uid="{00000000-0005-0000-0000-0000583F0000}"/>
    <cellStyle name="Normal 33 3 2 2 2 3 2" xfId="30028" xr:uid="{00000000-0005-0000-0000-0000593F0000}"/>
    <cellStyle name="Normal 33 3 2 2 2 4" xfId="21985" xr:uid="{00000000-0005-0000-0000-00005A3F0000}"/>
    <cellStyle name="Normal 33 3 2 2 3" xfId="8159" xr:uid="{00000000-0005-0000-0000-00005B3F0000}"/>
    <cellStyle name="Normal 33 3 2 2 3 2" xfId="17336" xr:uid="{00000000-0005-0000-0000-00005C3F0000}"/>
    <cellStyle name="Normal 33 3 2 2 3 2 2" xfId="33910" xr:uid="{00000000-0005-0000-0000-00005D3F0000}"/>
    <cellStyle name="Normal 33 3 2 2 3 3" xfId="25863" xr:uid="{00000000-0005-0000-0000-00005E3F0000}"/>
    <cellStyle name="Normal 33 3 2 2 4" xfId="13483" xr:uid="{00000000-0005-0000-0000-00005F3F0000}"/>
    <cellStyle name="Normal 33 3 2 2 4 2" xfId="30027" xr:uid="{00000000-0005-0000-0000-0000603F0000}"/>
    <cellStyle name="Normal 33 3 2 2 5" xfId="21984" xr:uid="{00000000-0005-0000-0000-0000613F0000}"/>
    <cellStyle name="Normal 33 3 2 3" xfId="4096" xr:uid="{00000000-0005-0000-0000-0000623F0000}"/>
    <cellStyle name="Normal 33 3 2 3 2" xfId="8160" xr:uid="{00000000-0005-0000-0000-0000633F0000}"/>
    <cellStyle name="Normal 33 3 2 3 2 2" xfId="17337" xr:uid="{00000000-0005-0000-0000-0000643F0000}"/>
    <cellStyle name="Normal 33 3 2 3 2 2 2" xfId="33911" xr:uid="{00000000-0005-0000-0000-0000653F0000}"/>
    <cellStyle name="Normal 33 3 2 3 2 3" xfId="25864" xr:uid="{00000000-0005-0000-0000-0000663F0000}"/>
    <cellStyle name="Normal 33 3 2 3 3" xfId="13485" xr:uid="{00000000-0005-0000-0000-0000673F0000}"/>
    <cellStyle name="Normal 33 3 2 3 3 2" xfId="30029" xr:uid="{00000000-0005-0000-0000-0000683F0000}"/>
    <cellStyle name="Normal 33 3 2 3 4" xfId="21986" xr:uid="{00000000-0005-0000-0000-0000693F0000}"/>
    <cellStyle name="Normal 33 3 2 4" xfId="8161" xr:uid="{00000000-0005-0000-0000-00006A3F0000}"/>
    <cellStyle name="Normal 33 3 2 4 2" xfId="17338" xr:uid="{00000000-0005-0000-0000-00006B3F0000}"/>
    <cellStyle name="Normal 33 3 2 4 2 2" xfId="33912" xr:uid="{00000000-0005-0000-0000-00006C3F0000}"/>
    <cellStyle name="Normal 33 3 2 4 3" xfId="25865" xr:uid="{00000000-0005-0000-0000-00006D3F0000}"/>
    <cellStyle name="Normal 33 3 2 5" xfId="13482" xr:uid="{00000000-0005-0000-0000-00006E3F0000}"/>
    <cellStyle name="Normal 33 3 2 5 2" xfId="30026" xr:uid="{00000000-0005-0000-0000-00006F3F0000}"/>
    <cellStyle name="Normal 33 3 2 6" xfId="21983" xr:uid="{00000000-0005-0000-0000-0000703F0000}"/>
    <cellStyle name="Normal 33 3 3" xfId="4097" xr:uid="{00000000-0005-0000-0000-0000713F0000}"/>
    <cellStyle name="Normal 33 3 3 2" xfId="4098" xr:uid="{00000000-0005-0000-0000-0000723F0000}"/>
    <cellStyle name="Normal 33 3 3 2 2" xfId="8162" xr:uid="{00000000-0005-0000-0000-0000733F0000}"/>
    <cellStyle name="Normal 33 3 3 2 2 2" xfId="17339" xr:uid="{00000000-0005-0000-0000-0000743F0000}"/>
    <cellStyle name="Normal 33 3 3 2 2 2 2" xfId="33913" xr:uid="{00000000-0005-0000-0000-0000753F0000}"/>
    <cellStyle name="Normal 33 3 3 2 2 3" xfId="25866" xr:uid="{00000000-0005-0000-0000-0000763F0000}"/>
    <cellStyle name="Normal 33 3 3 2 3" xfId="13487" xr:uid="{00000000-0005-0000-0000-0000773F0000}"/>
    <cellStyle name="Normal 33 3 3 2 3 2" xfId="30031" xr:uid="{00000000-0005-0000-0000-0000783F0000}"/>
    <cellStyle name="Normal 33 3 3 2 4" xfId="21988" xr:uid="{00000000-0005-0000-0000-0000793F0000}"/>
    <cellStyle name="Normal 33 3 3 3" xfId="8163" xr:uid="{00000000-0005-0000-0000-00007A3F0000}"/>
    <cellStyle name="Normal 33 3 3 3 2" xfId="17340" xr:uid="{00000000-0005-0000-0000-00007B3F0000}"/>
    <cellStyle name="Normal 33 3 3 3 2 2" xfId="33914" xr:uid="{00000000-0005-0000-0000-00007C3F0000}"/>
    <cellStyle name="Normal 33 3 3 3 3" xfId="25867" xr:uid="{00000000-0005-0000-0000-00007D3F0000}"/>
    <cellStyle name="Normal 33 3 3 4" xfId="13486" xr:uid="{00000000-0005-0000-0000-00007E3F0000}"/>
    <cellStyle name="Normal 33 3 3 4 2" xfId="30030" xr:uid="{00000000-0005-0000-0000-00007F3F0000}"/>
    <cellStyle name="Normal 33 3 3 5" xfId="21987" xr:uid="{00000000-0005-0000-0000-0000803F0000}"/>
    <cellStyle name="Normal 33 3 4" xfId="4099" xr:uid="{00000000-0005-0000-0000-0000813F0000}"/>
    <cellStyle name="Normal 33 3 4 2" xfId="8164" xr:uid="{00000000-0005-0000-0000-0000823F0000}"/>
    <cellStyle name="Normal 33 3 4 2 2" xfId="17341" xr:uid="{00000000-0005-0000-0000-0000833F0000}"/>
    <cellStyle name="Normal 33 3 4 2 2 2" xfId="33915" xr:uid="{00000000-0005-0000-0000-0000843F0000}"/>
    <cellStyle name="Normal 33 3 4 2 3" xfId="25868" xr:uid="{00000000-0005-0000-0000-0000853F0000}"/>
    <cellStyle name="Normal 33 3 4 3" xfId="13488" xr:uid="{00000000-0005-0000-0000-0000863F0000}"/>
    <cellStyle name="Normal 33 3 4 3 2" xfId="30032" xr:uid="{00000000-0005-0000-0000-0000873F0000}"/>
    <cellStyle name="Normal 33 3 4 4" xfId="21989" xr:uid="{00000000-0005-0000-0000-0000883F0000}"/>
    <cellStyle name="Normal 33 3 5" xfId="4100" xr:uid="{00000000-0005-0000-0000-0000893F0000}"/>
    <cellStyle name="Normal 33 3 5 2" xfId="13489" xr:uid="{00000000-0005-0000-0000-00008A3F0000}"/>
    <cellStyle name="Normal 33 3 5 2 2" xfId="30033" xr:uid="{00000000-0005-0000-0000-00008B3F0000}"/>
    <cellStyle name="Normal 33 3 5 3" xfId="21990" xr:uid="{00000000-0005-0000-0000-00008C3F0000}"/>
    <cellStyle name="Normal 33 4" xfId="4101" xr:uid="{00000000-0005-0000-0000-00008D3F0000}"/>
    <cellStyle name="Normal 33 4 2" xfId="4102" xr:uid="{00000000-0005-0000-0000-00008E3F0000}"/>
    <cellStyle name="Normal 33 4 2 2" xfId="4103" xr:uid="{00000000-0005-0000-0000-00008F3F0000}"/>
    <cellStyle name="Normal 33 4 2 2 2" xfId="4104" xr:uid="{00000000-0005-0000-0000-0000903F0000}"/>
    <cellStyle name="Normal 33 4 2 2 2 2" xfId="8165" xr:uid="{00000000-0005-0000-0000-0000913F0000}"/>
    <cellStyle name="Normal 33 4 2 2 2 2 2" xfId="17342" xr:uid="{00000000-0005-0000-0000-0000923F0000}"/>
    <cellStyle name="Normal 33 4 2 2 2 2 2 2" xfId="33916" xr:uid="{00000000-0005-0000-0000-0000933F0000}"/>
    <cellStyle name="Normal 33 4 2 2 2 2 3" xfId="25869" xr:uid="{00000000-0005-0000-0000-0000943F0000}"/>
    <cellStyle name="Normal 33 4 2 2 2 3" xfId="13493" xr:uid="{00000000-0005-0000-0000-0000953F0000}"/>
    <cellStyle name="Normal 33 4 2 2 2 3 2" xfId="30037" xr:uid="{00000000-0005-0000-0000-0000963F0000}"/>
    <cellStyle name="Normal 33 4 2 2 2 4" xfId="21994" xr:uid="{00000000-0005-0000-0000-0000973F0000}"/>
    <cellStyle name="Normal 33 4 2 2 3" xfId="8166" xr:uid="{00000000-0005-0000-0000-0000983F0000}"/>
    <cellStyle name="Normal 33 4 2 2 3 2" xfId="17343" xr:uid="{00000000-0005-0000-0000-0000993F0000}"/>
    <cellStyle name="Normal 33 4 2 2 3 2 2" xfId="33917" xr:uid="{00000000-0005-0000-0000-00009A3F0000}"/>
    <cellStyle name="Normal 33 4 2 2 3 3" xfId="25870" xr:uid="{00000000-0005-0000-0000-00009B3F0000}"/>
    <cellStyle name="Normal 33 4 2 2 4" xfId="13492" xr:uid="{00000000-0005-0000-0000-00009C3F0000}"/>
    <cellStyle name="Normal 33 4 2 2 4 2" xfId="30036" xr:uid="{00000000-0005-0000-0000-00009D3F0000}"/>
    <cellStyle name="Normal 33 4 2 2 5" xfId="21993" xr:uid="{00000000-0005-0000-0000-00009E3F0000}"/>
    <cellStyle name="Normal 33 4 2 3" xfId="4105" xr:uid="{00000000-0005-0000-0000-00009F3F0000}"/>
    <cellStyle name="Normal 33 4 2 3 2" xfId="8167" xr:uid="{00000000-0005-0000-0000-0000A03F0000}"/>
    <cellStyle name="Normal 33 4 2 3 2 2" xfId="17344" xr:uid="{00000000-0005-0000-0000-0000A13F0000}"/>
    <cellStyle name="Normal 33 4 2 3 2 2 2" xfId="33918" xr:uid="{00000000-0005-0000-0000-0000A23F0000}"/>
    <cellStyle name="Normal 33 4 2 3 2 3" xfId="25871" xr:uid="{00000000-0005-0000-0000-0000A33F0000}"/>
    <cellStyle name="Normal 33 4 2 3 3" xfId="13494" xr:uid="{00000000-0005-0000-0000-0000A43F0000}"/>
    <cellStyle name="Normal 33 4 2 3 3 2" xfId="30038" xr:uid="{00000000-0005-0000-0000-0000A53F0000}"/>
    <cellStyle name="Normal 33 4 2 3 4" xfId="21995" xr:uid="{00000000-0005-0000-0000-0000A63F0000}"/>
    <cellStyle name="Normal 33 4 2 4" xfId="8168" xr:uid="{00000000-0005-0000-0000-0000A73F0000}"/>
    <cellStyle name="Normal 33 4 2 4 2" xfId="17345" xr:uid="{00000000-0005-0000-0000-0000A83F0000}"/>
    <cellStyle name="Normal 33 4 2 4 2 2" xfId="33919" xr:uid="{00000000-0005-0000-0000-0000A93F0000}"/>
    <cellStyle name="Normal 33 4 2 4 3" xfId="25872" xr:uid="{00000000-0005-0000-0000-0000AA3F0000}"/>
    <cellStyle name="Normal 33 4 2 5" xfId="13491" xr:uid="{00000000-0005-0000-0000-0000AB3F0000}"/>
    <cellStyle name="Normal 33 4 2 5 2" xfId="30035" xr:uid="{00000000-0005-0000-0000-0000AC3F0000}"/>
    <cellStyle name="Normal 33 4 2 6" xfId="21992" xr:uid="{00000000-0005-0000-0000-0000AD3F0000}"/>
    <cellStyle name="Normal 33 4 3" xfId="4106" xr:uid="{00000000-0005-0000-0000-0000AE3F0000}"/>
    <cellStyle name="Normal 33 4 3 2" xfId="4107" xr:uid="{00000000-0005-0000-0000-0000AF3F0000}"/>
    <cellStyle name="Normal 33 4 3 2 2" xfId="8169" xr:uid="{00000000-0005-0000-0000-0000B03F0000}"/>
    <cellStyle name="Normal 33 4 3 2 2 2" xfId="17346" xr:uid="{00000000-0005-0000-0000-0000B13F0000}"/>
    <cellStyle name="Normal 33 4 3 2 2 2 2" xfId="33920" xr:uid="{00000000-0005-0000-0000-0000B23F0000}"/>
    <cellStyle name="Normal 33 4 3 2 2 3" xfId="25873" xr:uid="{00000000-0005-0000-0000-0000B33F0000}"/>
    <cellStyle name="Normal 33 4 3 2 3" xfId="13496" xr:uid="{00000000-0005-0000-0000-0000B43F0000}"/>
    <cellStyle name="Normal 33 4 3 2 3 2" xfId="30040" xr:uid="{00000000-0005-0000-0000-0000B53F0000}"/>
    <cellStyle name="Normal 33 4 3 2 4" xfId="21997" xr:uid="{00000000-0005-0000-0000-0000B63F0000}"/>
    <cellStyle name="Normal 33 4 3 3" xfId="8170" xr:uid="{00000000-0005-0000-0000-0000B73F0000}"/>
    <cellStyle name="Normal 33 4 3 3 2" xfId="17347" xr:uid="{00000000-0005-0000-0000-0000B83F0000}"/>
    <cellStyle name="Normal 33 4 3 3 2 2" xfId="33921" xr:uid="{00000000-0005-0000-0000-0000B93F0000}"/>
    <cellStyle name="Normal 33 4 3 3 3" xfId="25874" xr:uid="{00000000-0005-0000-0000-0000BA3F0000}"/>
    <cellStyle name="Normal 33 4 3 4" xfId="13495" xr:uid="{00000000-0005-0000-0000-0000BB3F0000}"/>
    <cellStyle name="Normal 33 4 3 4 2" xfId="30039" xr:uid="{00000000-0005-0000-0000-0000BC3F0000}"/>
    <cellStyle name="Normal 33 4 3 5" xfId="21996" xr:uid="{00000000-0005-0000-0000-0000BD3F0000}"/>
    <cellStyle name="Normal 33 4 4" xfId="4108" xr:uid="{00000000-0005-0000-0000-0000BE3F0000}"/>
    <cellStyle name="Normal 33 4 4 2" xfId="8171" xr:uid="{00000000-0005-0000-0000-0000BF3F0000}"/>
    <cellStyle name="Normal 33 4 4 2 2" xfId="17348" xr:uid="{00000000-0005-0000-0000-0000C03F0000}"/>
    <cellStyle name="Normal 33 4 4 2 2 2" xfId="33922" xr:uid="{00000000-0005-0000-0000-0000C13F0000}"/>
    <cellStyle name="Normal 33 4 4 2 3" xfId="25875" xr:uid="{00000000-0005-0000-0000-0000C23F0000}"/>
    <cellStyle name="Normal 33 4 4 3" xfId="13497" xr:uid="{00000000-0005-0000-0000-0000C33F0000}"/>
    <cellStyle name="Normal 33 4 4 3 2" xfId="30041" xr:uid="{00000000-0005-0000-0000-0000C43F0000}"/>
    <cellStyle name="Normal 33 4 4 4" xfId="21998" xr:uid="{00000000-0005-0000-0000-0000C53F0000}"/>
    <cellStyle name="Normal 33 4 5" xfId="8172" xr:uid="{00000000-0005-0000-0000-0000C63F0000}"/>
    <cellStyle name="Normal 33 4 5 2" xfId="17349" xr:uid="{00000000-0005-0000-0000-0000C73F0000}"/>
    <cellStyle name="Normal 33 4 5 2 2" xfId="33923" xr:uid="{00000000-0005-0000-0000-0000C83F0000}"/>
    <cellStyle name="Normal 33 4 5 3" xfId="25876" xr:uid="{00000000-0005-0000-0000-0000C93F0000}"/>
    <cellStyle name="Normal 33 4 6" xfId="13490" xr:uid="{00000000-0005-0000-0000-0000CA3F0000}"/>
    <cellStyle name="Normal 33 4 6 2" xfId="30034" xr:uid="{00000000-0005-0000-0000-0000CB3F0000}"/>
    <cellStyle name="Normal 33 4 7" xfId="21991" xr:uid="{00000000-0005-0000-0000-0000CC3F0000}"/>
    <cellStyle name="Normal 33 5" xfId="4109" xr:uid="{00000000-0005-0000-0000-0000CD3F0000}"/>
    <cellStyle name="Normal 33 5 2" xfId="4110" xr:uid="{00000000-0005-0000-0000-0000CE3F0000}"/>
    <cellStyle name="Normal 33 5 2 2" xfId="4111" xr:uid="{00000000-0005-0000-0000-0000CF3F0000}"/>
    <cellStyle name="Normal 33 5 2 2 2" xfId="4112" xr:uid="{00000000-0005-0000-0000-0000D03F0000}"/>
    <cellStyle name="Normal 33 5 2 2 2 2" xfId="8173" xr:uid="{00000000-0005-0000-0000-0000D13F0000}"/>
    <cellStyle name="Normal 33 5 2 2 2 2 2" xfId="17350" xr:uid="{00000000-0005-0000-0000-0000D23F0000}"/>
    <cellStyle name="Normal 33 5 2 2 2 2 2 2" xfId="33924" xr:uid="{00000000-0005-0000-0000-0000D33F0000}"/>
    <cellStyle name="Normal 33 5 2 2 2 2 3" xfId="25877" xr:uid="{00000000-0005-0000-0000-0000D43F0000}"/>
    <cellStyle name="Normal 33 5 2 2 2 3" xfId="13501" xr:uid="{00000000-0005-0000-0000-0000D53F0000}"/>
    <cellStyle name="Normal 33 5 2 2 2 3 2" xfId="30045" xr:uid="{00000000-0005-0000-0000-0000D63F0000}"/>
    <cellStyle name="Normal 33 5 2 2 2 4" xfId="22002" xr:uid="{00000000-0005-0000-0000-0000D73F0000}"/>
    <cellStyle name="Normal 33 5 2 2 3" xfId="8174" xr:uid="{00000000-0005-0000-0000-0000D83F0000}"/>
    <cellStyle name="Normal 33 5 2 2 3 2" xfId="17351" xr:uid="{00000000-0005-0000-0000-0000D93F0000}"/>
    <cellStyle name="Normal 33 5 2 2 3 2 2" xfId="33925" xr:uid="{00000000-0005-0000-0000-0000DA3F0000}"/>
    <cellStyle name="Normal 33 5 2 2 3 3" xfId="25878" xr:uid="{00000000-0005-0000-0000-0000DB3F0000}"/>
    <cellStyle name="Normal 33 5 2 2 4" xfId="13500" xr:uid="{00000000-0005-0000-0000-0000DC3F0000}"/>
    <cellStyle name="Normal 33 5 2 2 4 2" xfId="30044" xr:uid="{00000000-0005-0000-0000-0000DD3F0000}"/>
    <cellStyle name="Normal 33 5 2 2 5" xfId="22001" xr:uid="{00000000-0005-0000-0000-0000DE3F0000}"/>
    <cellStyle name="Normal 33 5 2 3" xfId="4113" xr:uid="{00000000-0005-0000-0000-0000DF3F0000}"/>
    <cellStyle name="Normal 33 5 2 3 2" xfId="8175" xr:uid="{00000000-0005-0000-0000-0000E03F0000}"/>
    <cellStyle name="Normal 33 5 2 3 2 2" xfId="17352" xr:uid="{00000000-0005-0000-0000-0000E13F0000}"/>
    <cellStyle name="Normal 33 5 2 3 2 2 2" xfId="33926" xr:uid="{00000000-0005-0000-0000-0000E23F0000}"/>
    <cellStyle name="Normal 33 5 2 3 2 3" xfId="25879" xr:uid="{00000000-0005-0000-0000-0000E33F0000}"/>
    <cellStyle name="Normal 33 5 2 3 3" xfId="13502" xr:uid="{00000000-0005-0000-0000-0000E43F0000}"/>
    <cellStyle name="Normal 33 5 2 3 3 2" xfId="30046" xr:uid="{00000000-0005-0000-0000-0000E53F0000}"/>
    <cellStyle name="Normal 33 5 2 3 4" xfId="22003" xr:uid="{00000000-0005-0000-0000-0000E63F0000}"/>
    <cellStyle name="Normal 33 5 2 4" xfId="8176" xr:uid="{00000000-0005-0000-0000-0000E73F0000}"/>
    <cellStyle name="Normal 33 5 2 4 2" xfId="17353" xr:uid="{00000000-0005-0000-0000-0000E83F0000}"/>
    <cellStyle name="Normal 33 5 2 4 2 2" xfId="33927" xr:uid="{00000000-0005-0000-0000-0000E93F0000}"/>
    <cellStyle name="Normal 33 5 2 4 3" xfId="25880" xr:uid="{00000000-0005-0000-0000-0000EA3F0000}"/>
    <cellStyle name="Normal 33 5 2 5" xfId="13499" xr:uid="{00000000-0005-0000-0000-0000EB3F0000}"/>
    <cellStyle name="Normal 33 5 2 5 2" xfId="30043" xr:uid="{00000000-0005-0000-0000-0000EC3F0000}"/>
    <cellStyle name="Normal 33 5 2 6" xfId="22000" xr:uid="{00000000-0005-0000-0000-0000ED3F0000}"/>
    <cellStyle name="Normal 33 5 3" xfId="4114" xr:uid="{00000000-0005-0000-0000-0000EE3F0000}"/>
    <cellStyle name="Normal 33 5 3 2" xfId="4115" xr:uid="{00000000-0005-0000-0000-0000EF3F0000}"/>
    <cellStyle name="Normal 33 5 3 2 2" xfId="8177" xr:uid="{00000000-0005-0000-0000-0000F03F0000}"/>
    <cellStyle name="Normal 33 5 3 2 2 2" xfId="17354" xr:uid="{00000000-0005-0000-0000-0000F13F0000}"/>
    <cellStyle name="Normal 33 5 3 2 2 2 2" xfId="33928" xr:uid="{00000000-0005-0000-0000-0000F23F0000}"/>
    <cellStyle name="Normal 33 5 3 2 2 3" xfId="25881" xr:uid="{00000000-0005-0000-0000-0000F33F0000}"/>
    <cellStyle name="Normal 33 5 3 2 3" xfId="13504" xr:uid="{00000000-0005-0000-0000-0000F43F0000}"/>
    <cellStyle name="Normal 33 5 3 2 3 2" xfId="30048" xr:uid="{00000000-0005-0000-0000-0000F53F0000}"/>
    <cellStyle name="Normal 33 5 3 2 4" xfId="22005" xr:uid="{00000000-0005-0000-0000-0000F63F0000}"/>
    <cellStyle name="Normal 33 5 3 3" xfId="8178" xr:uid="{00000000-0005-0000-0000-0000F73F0000}"/>
    <cellStyle name="Normal 33 5 3 3 2" xfId="17355" xr:uid="{00000000-0005-0000-0000-0000F83F0000}"/>
    <cellStyle name="Normal 33 5 3 3 2 2" xfId="33929" xr:uid="{00000000-0005-0000-0000-0000F93F0000}"/>
    <cellStyle name="Normal 33 5 3 3 3" xfId="25882" xr:uid="{00000000-0005-0000-0000-0000FA3F0000}"/>
    <cellStyle name="Normal 33 5 3 4" xfId="13503" xr:uid="{00000000-0005-0000-0000-0000FB3F0000}"/>
    <cellStyle name="Normal 33 5 3 4 2" xfId="30047" xr:uid="{00000000-0005-0000-0000-0000FC3F0000}"/>
    <cellStyle name="Normal 33 5 3 5" xfId="22004" xr:uid="{00000000-0005-0000-0000-0000FD3F0000}"/>
    <cellStyle name="Normal 33 5 4" xfId="4116" xr:uid="{00000000-0005-0000-0000-0000FE3F0000}"/>
    <cellStyle name="Normal 33 5 4 2" xfId="8179" xr:uid="{00000000-0005-0000-0000-0000FF3F0000}"/>
    <cellStyle name="Normal 33 5 4 2 2" xfId="17356" xr:uid="{00000000-0005-0000-0000-000000400000}"/>
    <cellStyle name="Normal 33 5 4 2 2 2" xfId="33930" xr:uid="{00000000-0005-0000-0000-000001400000}"/>
    <cellStyle name="Normal 33 5 4 2 3" xfId="25883" xr:uid="{00000000-0005-0000-0000-000002400000}"/>
    <cellStyle name="Normal 33 5 4 3" xfId="13505" xr:uid="{00000000-0005-0000-0000-000003400000}"/>
    <cellStyle name="Normal 33 5 4 3 2" xfId="30049" xr:uid="{00000000-0005-0000-0000-000004400000}"/>
    <cellStyle name="Normal 33 5 4 4" xfId="22006" xr:uid="{00000000-0005-0000-0000-000005400000}"/>
    <cellStyle name="Normal 33 5 5" xfId="8180" xr:uid="{00000000-0005-0000-0000-000006400000}"/>
    <cellStyle name="Normal 33 5 5 2" xfId="17357" xr:uid="{00000000-0005-0000-0000-000007400000}"/>
    <cellStyle name="Normal 33 5 5 2 2" xfId="33931" xr:uid="{00000000-0005-0000-0000-000008400000}"/>
    <cellStyle name="Normal 33 5 5 3" xfId="25884" xr:uid="{00000000-0005-0000-0000-000009400000}"/>
    <cellStyle name="Normal 33 5 6" xfId="13498" xr:uid="{00000000-0005-0000-0000-00000A400000}"/>
    <cellStyle name="Normal 33 5 6 2" xfId="30042" xr:uid="{00000000-0005-0000-0000-00000B400000}"/>
    <cellStyle name="Normal 33 5 7" xfId="21999" xr:uid="{00000000-0005-0000-0000-00000C400000}"/>
    <cellStyle name="Normal 33 6" xfId="4117" xr:uid="{00000000-0005-0000-0000-00000D400000}"/>
    <cellStyle name="Normal 33 6 2" xfId="4118" xr:uid="{00000000-0005-0000-0000-00000E400000}"/>
    <cellStyle name="Normal 33 6 2 2" xfId="4119" xr:uid="{00000000-0005-0000-0000-00000F400000}"/>
    <cellStyle name="Normal 33 6 2 2 2" xfId="8181" xr:uid="{00000000-0005-0000-0000-000010400000}"/>
    <cellStyle name="Normal 33 6 2 2 2 2" xfId="17358" xr:uid="{00000000-0005-0000-0000-000011400000}"/>
    <cellStyle name="Normal 33 6 2 2 2 2 2" xfId="33932" xr:uid="{00000000-0005-0000-0000-000012400000}"/>
    <cellStyle name="Normal 33 6 2 2 2 3" xfId="25885" xr:uid="{00000000-0005-0000-0000-000013400000}"/>
    <cellStyle name="Normal 33 6 2 2 3" xfId="13508" xr:uid="{00000000-0005-0000-0000-000014400000}"/>
    <cellStyle name="Normal 33 6 2 2 3 2" xfId="30052" xr:uid="{00000000-0005-0000-0000-000015400000}"/>
    <cellStyle name="Normal 33 6 2 2 4" xfId="22009" xr:uid="{00000000-0005-0000-0000-000016400000}"/>
    <cellStyle name="Normal 33 6 2 3" xfId="8182" xr:uid="{00000000-0005-0000-0000-000017400000}"/>
    <cellStyle name="Normal 33 6 2 3 2" xfId="17359" xr:uid="{00000000-0005-0000-0000-000018400000}"/>
    <cellStyle name="Normal 33 6 2 3 2 2" xfId="33933" xr:uid="{00000000-0005-0000-0000-000019400000}"/>
    <cellStyle name="Normal 33 6 2 3 3" xfId="25886" xr:uid="{00000000-0005-0000-0000-00001A400000}"/>
    <cellStyle name="Normal 33 6 2 4" xfId="13507" xr:uid="{00000000-0005-0000-0000-00001B400000}"/>
    <cellStyle name="Normal 33 6 2 4 2" xfId="30051" xr:uid="{00000000-0005-0000-0000-00001C400000}"/>
    <cellStyle name="Normal 33 6 2 5" xfId="22008" xr:uid="{00000000-0005-0000-0000-00001D400000}"/>
    <cellStyle name="Normal 33 6 3" xfId="4120" xr:uid="{00000000-0005-0000-0000-00001E400000}"/>
    <cellStyle name="Normal 33 6 3 2" xfId="8183" xr:uid="{00000000-0005-0000-0000-00001F400000}"/>
    <cellStyle name="Normal 33 6 3 2 2" xfId="17360" xr:uid="{00000000-0005-0000-0000-000020400000}"/>
    <cellStyle name="Normal 33 6 3 2 2 2" xfId="33934" xr:uid="{00000000-0005-0000-0000-000021400000}"/>
    <cellStyle name="Normal 33 6 3 2 3" xfId="25887" xr:uid="{00000000-0005-0000-0000-000022400000}"/>
    <cellStyle name="Normal 33 6 3 3" xfId="13509" xr:uid="{00000000-0005-0000-0000-000023400000}"/>
    <cellStyle name="Normal 33 6 3 3 2" xfId="30053" xr:uid="{00000000-0005-0000-0000-000024400000}"/>
    <cellStyle name="Normal 33 6 3 4" xfId="22010" xr:uid="{00000000-0005-0000-0000-000025400000}"/>
    <cellStyle name="Normal 33 6 4" xfId="8184" xr:uid="{00000000-0005-0000-0000-000026400000}"/>
    <cellStyle name="Normal 33 6 4 2" xfId="17361" xr:uid="{00000000-0005-0000-0000-000027400000}"/>
    <cellStyle name="Normal 33 6 4 2 2" xfId="33935" xr:uid="{00000000-0005-0000-0000-000028400000}"/>
    <cellStyle name="Normal 33 6 4 3" xfId="25888" xr:uid="{00000000-0005-0000-0000-000029400000}"/>
    <cellStyle name="Normal 33 6 5" xfId="13506" xr:uid="{00000000-0005-0000-0000-00002A400000}"/>
    <cellStyle name="Normal 33 6 5 2" xfId="30050" xr:uid="{00000000-0005-0000-0000-00002B400000}"/>
    <cellStyle name="Normal 33 6 6" xfId="22007" xr:uid="{00000000-0005-0000-0000-00002C400000}"/>
    <cellStyle name="Normal 33 7" xfId="4121" xr:uid="{00000000-0005-0000-0000-00002D400000}"/>
    <cellStyle name="Normal 33 7 2" xfId="4122" xr:uid="{00000000-0005-0000-0000-00002E400000}"/>
    <cellStyle name="Normal 33 7 2 2" xfId="8185" xr:uid="{00000000-0005-0000-0000-00002F400000}"/>
    <cellStyle name="Normal 33 7 2 2 2" xfId="17362" xr:uid="{00000000-0005-0000-0000-000030400000}"/>
    <cellStyle name="Normal 33 7 2 2 2 2" xfId="33936" xr:uid="{00000000-0005-0000-0000-000031400000}"/>
    <cellStyle name="Normal 33 7 2 2 3" xfId="25889" xr:uid="{00000000-0005-0000-0000-000032400000}"/>
    <cellStyle name="Normal 33 7 2 3" xfId="13511" xr:uid="{00000000-0005-0000-0000-000033400000}"/>
    <cellStyle name="Normal 33 7 2 3 2" xfId="30055" xr:uid="{00000000-0005-0000-0000-000034400000}"/>
    <cellStyle name="Normal 33 7 2 4" xfId="22012" xr:uid="{00000000-0005-0000-0000-000035400000}"/>
    <cellStyle name="Normal 33 7 3" xfId="8186" xr:uid="{00000000-0005-0000-0000-000036400000}"/>
    <cellStyle name="Normal 33 7 3 2" xfId="17363" xr:uid="{00000000-0005-0000-0000-000037400000}"/>
    <cellStyle name="Normal 33 7 3 2 2" xfId="33937" xr:uid="{00000000-0005-0000-0000-000038400000}"/>
    <cellStyle name="Normal 33 7 3 3" xfId="25890" xr:uid="{00000000-0005-0000-0000-000039400000}"/>
    <cellStyle name="Normal 33 7 4" xfId="13510" xr:uid="{00000000-0005-0000-0000-00003A400000}"/>
    <cellStyle name="Normal 33 7 4 2" xfId="30054" xr:uid="{00000000-0005-0000-0000-00003B400000}"/>
    <cellStyle name="Normal 33 7 5" xfId="22011" xr:uid="{00000000-0005-0000-0000-00003C400000}"/>
    <cellStyle name="Normal 33 8" xfId="4123" xr:uid="{00000000-0005-0000-0000-00003D400000}"/>
    <cellStyle name="Normal 33 8 2" xfId="8187" xr:uid="{00000000-0005-0000-0000-00003E400000}"/>
    <cellStyle name="Normal 33 8 2 2" xfId="17364" xr:uid="{00000000-0005-0000-0000-00003F400000}"/>
    <cellStyle name="Normal 33 8 2 2 2" xfId="33938" xr:uid="{00000000-0005-0000-0000-000040400000}"/>
    <cellStyle name="Normal 33 8 2 3" xfId="25891" xr:uid="{00000000-0005-0000-0000-000041400000}"/>
    <cellStyle name="Normal 33 8 3" xfId="13512" xr:uid="{00000000-0005-0000-0000-000042400000}"/>
    <cellStyle name="Normal 33 8 3 2" xfId="30056" xr:uid="{00000000-0005-0000-0000-000043400000}"/>
    <cellStyle name="Normal 33 8 4" xfId="22013" xr:uid="{00000000-0005-0000-0000-000044400000}"/>
    <cellStyle name="Normal 33 9" xfId="8188" xr:uid="{00000000-0005-0000-0000-000045400000}"/>
    <cellStyle name="Normal 33 9 2" xfId="17365" xr:uid="{00000000-0005-0000-0000-000046400000}"/>
    <cellStyle name="Normal 33 9 2 2" xfId="33939" xr:uid="{00000000-0005-0000-0000-000047400000}"/>
    <cellStyle name="Normal 33 9 3" xfId="25892" xr:uid="{00000000-0005-0000-0000-000048400000}"/>
    <cellStyle name="Normal 330" xfId="11043" xr:uid="{00000000-0005-0000-0000-000049400000}"/>
    <cellStyle name="Normal 331" xfId="11046" xr:uid="{00000000-0005-0000-0000-00004A400000}"/>
    <cellStyle name="Normal 332" xfId="11049" xr:uid="{00000000-0005-0000-0000-00004B400000}"/>
    <cellStyle name="Normal 333" xfId="11052" xr:uid="{00000000-0005-0000-0000-00004C400000}"/>
    <cellStyle name="Normal 334" xfId="11055" xr:uid="{00000000-0005-0000-0000-00004D400000}"/>
    <cellStyle name="Normal 335" xfId="11058" xr:uid="{00000000-0005-0000-0000-00004E400000}"/>
    <cellStyle name="Normal 336" xfId="11061" xr:uid="{00000000-0005-0000-0000-00004F400000}"/>
    <cellStyle name="Normal 337" xfId="11063" xr:uid="{00000000-0005-0000-0000-000050400000}"/>
    <cellStyle name="Normal 338" xfId="1792" xr:uid="{00000000-0005-0000-0000-000051400000}"/>
    <cellStyle name="Normal 339" xfId="10955" xr:uid="{00000000-0005-0000-0000-000052400000}"/>
    <cellStyle name="Normal 34" xfId="4124" xr:uid="{00000000-0005-0000-0000-000053400000}"/>
    <cellStyle name="Normal 34 10" xfId="13513" xr:uid="{00000000-0005-0000-0000-000054400000}"/>
    <cellStyle name="Normal 34 10 2" xfId="30057" xr:uid="{00000000-0005-0000-0000-000055400000}"/>
    <cellStyle name="Normal 34 11" xfId="22014" xr:uid="{00000000-0005-0000-0000-000056400000}"/>
    <cellStyle name="Normal 34 2" xfId="4125" xr:uid="{00000000-0005-0000-0000-000057400000}"/>
    <cellStyle name="Normal 34 2 2" xfId="4126" xr:uid="{00000000-0005-0000-0000-000058400000}"/>
    <cellStyle name="Normal 34 2 3" xfId="13514" xr:uid="{00000000-0005-0000-0000-000059400000}"/>
    <cellStyle name="Normal 34 2 3 2" xfId="30058" xr:uid="{00000000-0005-0000-0000-00005A400000}"/>
    <cellStyle name="Normal 34 2 4" xfId="22015" xr:uid="{00000000-0005-0000-0000-00005B400000}"/>
    <cellStyle name="Normal 34 3" xfId="4127" xr:uid="{00000000-0005-0000-0000-00005C400000}"/>
    <cellStyle name="Normal 34 3 2" xfId="4128" xr:uid="{00000000-0005-0000-0000-00005D400000}"/>
    <cellStyle name="Normal 34 3 2 2" xfId="4129" xr:uid="{00000000-0005-0000-0000-00005E400000}"/>
    <cellStyle name="Normal 34 3 2 2 2" xfId="4130" xr:uid="{00000000-0005-0000-0000-00005F400000}"/>
    <cellStyle name="Normal 34 3 2 2 2 2" xfId="8189" xr:uid="{00000000-0005-0000-0000-000060400000}"/>
    <cellStyle name="Normal 34 3 2 2 2 2 2" xfId="17366" xr:uid="{00000000-0005-0000-0000-000061400000}"/>
    <cellStyle name="Normal 34 3 2 2 2 2 2 2" xfId="33940" xr:uid="{00000000-0005-0000-0000-000062400000}"/>
    <cellStyle name="Normal 34 3 2 2 2 2 3" xfId="25893" xr:uid="{00000000-0005-0000-0000-000063400000}"/>
    <cellStyle name="Normal 34 3 2 2 2 3" xfId="13517" xr:uid="{00000000-0005-0000-0000-000064400000}"/>
    <cellStyle name="Normal 34 3 2 2 2 3 2" xfId="30061" xr:uid="{00000000-0005-0000-0000-000065400000}"/>
    <cellStyle name="Normal 34 3 2 2 2 4" xfId="22018" xr:uid="{00000000-0005-0000-0000-000066400000}"/>
    <cellStyle name="Normal 34 3 2 2 3" xfId="8190" xr:uid="{00000000-0005-0000-0000-000067400000}"/>
    <cellStyle name="Normal 34 3 2 2 3 2" xfId="17367" xr:uid="{00000000-0005-0000-0000-000068400000}"/>
    <cellStyle name="Normal 34 3 2 2 3 2 2" xfId="33941" xr:uid="{00000000-0005-0000-0000-000069400000}"/>
    <cellStyle name="Normal 34 3 2 2 3 3" xfId="25894" xr:uid="{00000000-0005-0000-0000-00006A400000}"/>
    <cellStyle name="Normal 34 3 2 2 4" xfId="13516" xr:uid="{00000000-0005-0000-0000-00006B400000}"/>
    <cellStyle name="Normal 34 3 2 2 4 2" xfId="30060" xr:uid="{00000000-0005-0000-0000-00006C400000}"/>
    <cellStyle name="Normal 34 3 2 2 5" xfId="22017" xr:uid="{00000000-0005-0000-0000-00006D400000}"/>
    <cellStyle name="Normal 34 3 2 3" xfId="4131" xr:uid="{00000000-0005-0000-0000-00006E400000}"/>
    <cellStyle name="Normal 34 3 2 3 2" xfId="8191" xr:uid="{00000000-0005-0000-0000-00006F400000}"/>
    <cellStyle name="Normal 34 3 2 3 2 2" xfId="17368" xr:uid="{00000000-0005-0000-0000-000070400000}"/>
    <cellStyle name="Normal 34 3 2 3 2 2 2" xfId="33942" xr:uid="{00000000-0005-0000-0000-000071400000}"/>
    <cellStyle name="Normal 34 3 2 3 2 3" xfId="25895" xr:uid="{00000000-0005-0000-0000-000072400000}"/>
    <cellStyle name="Normal 34 3 2 3 3" xfId="13518" xr:uid="{00000000-0005-0000-0000-000073400000}"/>
    <cellStyle name="Normal 34 3 2 3 3 2" xfId="30062" xr:uid="{00000000-0005-0000-0000-000074400000}"/>
    <cellStyle name="Normal 34 3 2 3 4" xfId="22019" xr:uid="{00000000-0005-0000-0000-000075400000}"/>
    <cellStyle name="Normal 34 3 2 4" xfId="8192" xr:uid="{00000000-0005-0000-0000-000076400000}"/>
    <cellStyle name="Normal 34 3 2 4 2" xfId="17369" xr:uid="{00000000-0005-0000-0000-000077400000}"/>
    <cellStyle name="Normal 34 3 2 4 2 2" xfId="33943" xr:uid="{00000000-0005-0000-0000-000078400000}"/>
    <cellStyle name="Normal 34 3 2 4 3" xfId="25896" xr:uid="{00000000-0005-0000-0000-000079400000}"/>
    <cellStyle name="Normal 34 3 2 5" xfId="13515" xr:uid="{00000000-0005-0000-0000-00007A400000}"/>
    <cellStyle name="Normal 34 3 2 5 2" xfId="30059" xr:uid="{00000000-0005-0000-0000-00007B400000}"/>
    <cellStyle name="Normal 34 3 2 6" xfId="22016" xr:uid="{00000000-0005-0000-0000-00007C400000}"/>
    <cellStyle name="Normal 34 3 3" xfId="4132" xr:uid="{00000000-0005-0000-0000-00007D400000}"/>
    <cellStyle name="Normal 34 3 3 2" xfId="4133" xr:uid="{00000000-0005-0000-0000-00007E400000}"/>
    <cellStyle name="Normal 34 3 3 2 2" xfId="8193" xr:uid="{00000000-0005-0000-0000-00007F400000}"/>
    <cellStyle name="Normal 34 3 3 2 2 2" xfId="17370" xr:uid="{00000000-0005-0000-0000-000080400000}"/>
    <cellStyle name="Normal 34 3 3 2 2 2 2" xfId="33944" xr:uid="{00000000-0005-0000-0000-000081400000}"/>
    <cellStyle name="Normal 34 3 3 2 2 3" xfId="25897" xr:uid="{00000000-0005-0000-0000-000082400000}"/>
    <cellStyle name="Normal 34 3 3 2 3" xfId="13520" xr:uid="{00000000-0005-0000-0000-000083400000}"/>
    <cellStyle name="Normal 34 3 3 2 3 2" xfId="30064" xr:uid="{00000000-0005-0000-0000-000084400000}"/>
    <cellStyle name="Normal 34 3 3 2 4" xfId="22021" xr:uid="{00000000-0005-0000-0000-000085400000}"/>
    <cellStyle name="Normal 34 3 3 3" xfId="8194" xr:uid="{00000000-0005-0000-0000-000086400000}"/>
    <cellStyle name="Normal 34 3 3 3 2" xfId="17371" xr:uid="{00000000-0005-0000-0000-000087400000}"/>
    <cellStyle name="Normal 34 3 3 3 2 2" xfId="33945" xr:uid="{00000000-0005-0000-0000-000088400000}"/>
    <cellStyle name="Normal 34 3 3 3 3" xfId="25898" xr:uid="{00000000-0005-0000-0000-000089400000}"/>
    <cellStyle name="Normal 34 3 3 4" xfId="13519" xr:uid="{00000000-0005-0000-0000-00008A400000}"/>
    <cellStyle name="Normal 34 3 3 4 2" xfId="30063" xr:uid="{00000000-0005-0000-0000-00008B400000}"/>
    <cellStyle name="Normal 34 3 3 5" xfId="22020" xr:uid="{00000000-0005-0000-0000-00008C400000}"/>
    <cellStyle name="Normal 34 3 4" xfId="4134" xr:uid="{00000000-0005-0000-0000-00008D400000}"/>
    <cellStyle name="Normal 34 3 4 2" xfId="8195" xr:uid="{00000000-0005-0000-0000-00008E400000}"/>
    <cellStyle name="Normal 34 3 4 2 2" xfId="17372" xr:uid="{00000000-0005-0000-0000-00008F400000}"/>
    <cellStyle name="Normal 34 3 4 2 2 2" xfId="33946" xr:uid="{00000000-0005-0000-0000-000090400000}"/>
    <cellStyle name="Normal 34 3 4 2 3" xfId="25899" xr:uid="{00000000-0005-0000-0000-000091400000}"/>
    <cellStyle name="Normal 34 3 4 3" xfId="13521" xr:uid="{00000000-0005-0000-0000-000092400000}"/>
    <cellStyle name="Normal 34 3 4 3 2" xfId="30065" xr:uid="{00000000-0005-0000-0000-000093400000}"/>
    <cellStyle name="Normal 34 3 4 4" xfId="22022" xr:uid="{00000000-0005-0000-0000-000094400000}"/>
    <cellStyle name="Normal 34 3 5" xfId="4135" xr:uid="{00000000-0005-0000-0000-000095400000}"/>
    <cellStyle name="Normal 34 3 5 2" xfId="13522" xr:uid="{00000000-0005-0000-0000-000096400000}"/>
    <cellStyle name="Normal 34 3 5 2 2" xfId="30066" xr:uid="{00000000-0005-0000-0000-000097400000}"/>
    <cellStyle name="Normal 34 3 5 3" xfId="22023" xr:uid="{00000000-0005-0000-0000-000098400000}"/>
    <cellStyle name="Normal 34 4" xfId="4136" xr:uid="{00000000-0005-0000-0000-000099400000}"/>
    <cellStyle name="Normal 34 4 2" xfId="4137" xr:uid="{00000000-0005-0000-0000-00009A400000}"/>
    <cellStyle name="Normal 34 4 2 2" xfId="4138" xr:uid="{00000000-0005-0000-0000-00009B400000}"/>
    <cellStyle name="Normal 34 4 2 2 2" xfId="4139" xr:uid="{00000000-0005-0000-0000-00009C400000}"/>
    <cellStyle name="Normal 34 4 2 2 2 2" xfId="8196" xr:uid="{00000000-0005-0000-0000-00009D400000}"/>
    <cellStyle name="Normal 34 4 2 2 2 2 2" xfId="17373" xr:uid="{00000000-0005-0000-0000-00009E400000}"/>
    <cellStyle name="Normal 34 4 2 2 2 2 2 2" xfId="33947" xr:uid="{00000000-0005-0000-0000-00009F400000}"/>
    <cellStyle name="Normal 34 4 2 2 2 2 3" xfId="25900" xr:uid="{00000000-0005-0000-0000-0000A0400000}"/>
    <cellStyle name="Normal 34 4 2 2 2 3" xfId="13526" xr:uid="{00000000-0005-0000-0000-0000A1400000}"/>
    <cellStyle name="Normal 34 4 2 2 2 3 2" xfId="30070" xr:uid="{00000000-0005-0000-0000-0000A2400000}"/>
    <cellStyle name="Normal 34 4 2 2 2 4" xfId="22027" xr:uid="{00000000-0005-0000-0000-0000A3400000}"/>
    <cellStyle name="Normal 34 4 2 2 3" xfId="8197" xr:uid="{00000000-0005-0000-0000-0000A4400000}"/>
    <cellStyle name="Normal 34 4 2 2 3 2" xfId="17374" xr:uid="{00000000-0005-0000-0000-0000A5400000}"/>
    <cellStyle name="Normal 34 4 2 2 3 2 2" xfId="33948" xr:uid="{00000000-0005-0000-0000-0000A6400000}"/>
    <cellStyle name="Normal 34 4 2 2 3 3" xfId="25901" xr:uid="{00000000-0005-0000-0000-0000A7400000}"/>
    <cellStyle name="Normal 34 4 2 2 4" xfId="13525" xr:uid="{00000000-0005-0000-0000-0000A8400000}"/>
    <cellStyle name="Normal 34 4 2 2 4 2" xfId="30069" xr:uid="{00000000-0005-0000-0000-0000A9400000}"/>
    <cellStyle name="Normal 34 4 2 2 5" xfId="22026" xr:uid="{00000000-0005-0000-0000-0000AA400000}"/>
    <cellStyle name="Normal 34 4 2 3" xfId="4140" xr:uid="{00000000-0005-0000-0000-0000AB400000}"/>
    <cellStyle name="Normal 34 4 2 3 2" xfId="8198" xr:uid="{00000000-0005-0000-0000-0000AC400000}"/>
    <cellStyle name="Normal 34 4 2 3 2 2" xfId="17375" xr:uid="{00000000-0005-0000-0000-0000AD400000}"/>
    <cellStyle name="Normal 34 4 2 3 2 2 2" xfId="33949" xr:uid="{00000000-0005-0000-0000-0000AE400000}"/>
    <cellStyle name="Normal 34 4 2 3 2 3" xfId="25902" xr:uid="{00000000-0005-0000-0000-0000AF400000}"/>
    <cellStyle name="Normal 34 4 2 3 3" xfId="13527" xr:uid="{00000000-0005-0000-0000-0000B0400000}"/>
    <cellStyle name="Normal 34 4 2 3 3 2" xfId="30071" xr:uid="{00000000-0005-0000-0000-0000B1400000}"/>
    <cellStyle name="Normal 34 4 2 3 4" xfId="22028" xr:uid="{00000000-0005-0000-0000-0000B2400000}"/>
    <cellStyle name="Normal 34 4 2 4" xfId="8199" xr:uid="{00000000-0005-0000-0000-0000B3400000}"/>
    <cellStyle name="Normal 34 4 2 4 2" xfId="17376" xr:uid="{00000000-0005-0000-0000-0000B4400000}"/>
    <cellStyle name="Normal 34 4 2 4 2 2" xfId="33950" xr:uid="{00000000-0005-0000-0000-0000B5400000}"/>
    <cellStyle name="Normal 34 4 2 4 3" xfId="25903" xr:uid="{00000000-0005-0000-0000-0000B6400000}"/>
    <cellStyle name="Normal 34 4 2 5" xfId="13524" xr:uid="{00000000-0005-0000-0000-0000B7400000}"/>
    <cellStyle name="Normal 34 4 2 5 2" xfId="30068" xr:uid="{00000000-0005-0000-0000-0000B8400000}"/>
    <cellStyle name="Normal 34 4 2 6" xfId="22025" xr:uid="{00000000-0005-0000-0000-0000B9400000}"/>
    <cellStyle name="Normal 34 4 3" xfId="4141" xr:uid="{00000000-0005-0000-0000-0000BA400000}"/>
    <cellStyle name="Normal 34 4 3 2" xfId="4142" xr:uid="{00000000-0005-0000-0000-0000BB400000}"/>
    <cellStyle name="Normal 34 4 3 2 2" xfId="8200" xr:uid="{00000000-0005-0000-0000-0000BC400000}"/>
    <cellStyle name="Normal 34 4 3 2 2 2" xfId="17377" xr:uid="{00000000-0005-0000-0000-0000BD400000}"/>
    <cellStyle name="Normal 34 4 3 2 2 2 2" xfId="33951" xr:uid="{00000000-0005-0000-0000-0000BE400000}"/>
    <cellStyle name="Normal 34 4 3 2 2 3" xfId="25904" xr:uid="{00000000-0005-0000-0000-0000BF400000}"/>
    <cellStyle name="Normal 34 4 3 2 3" xfId="13529" xr:uid="{00000000-0005-0000-0000-0000C0400000}"/>
    <cellStyle name="Normal 34 4 3 2 3 2" xfId="30073" xr:uid="{00000000-0005-0000-0000-0000C1400000}"/>
    <cellStyle name="Normal 34 4 3 2 4" xfId="22030" xr:uid="{00000000-0005-0000-0000-0000C2400000}"/>
    <cellStyle name="Normal 34 4 3 3" xfId="8201" xr:uid="{00000000-0005-0000-0000-0000C3400000}"/>
    <cellStyle name="Normal 34 4 3 3 2" xfId="17378" xr:uid="{00000000-0005-0000-0000-0000C4400000}"/>
    <cellStyle name="Normal 34 4 3 3 2 2" xfId="33952" xr:uid="{00000000-0005-0000-0000-0000C5400000}"/>
    <cellStyle name="Normal 34 4 3 3 3" xfId="25905" xr:uid="{00000000-0005-0000-0000-0000C6400000}"/>
    <cellStyle name="Normal 34 4 3 4" xfId="13528" xr:uid="{00000000-0005-0000-0000-0000C7400000}"/>
    <cellStyle name="Normal 34 4 3 4 2" xfId="30072" xr:uid="{00000000-0005-0000-0000-0000C8400000}"/>
    <cellStyle name="Normal 34 4 3 5" xfId="22029" xr:uid="{00000000-0005-0000-0000-0000C9400000}"/>
    <cellStyle name="Normal 34 4 4" xfId="4143" xr:uid="{00000000-0005-0000-0000-0000CA400000}"/>
    <cellStyle name="Normal 34 4 4 2" xfId="8202" xr:uid="{00000000-0005-0000-0000-0000CB400000}"/>
    <cellStyle name="Normal 34 4 4 2 2" xfId="17379" xr:uid="{00000000-0005-0000-0000-0000CC400000}"/>
    <cellStyle name="Normal 34 4 4 2 2 2" xfId="33953" xr:uid="{00000000-0005-0000-0000-0000CD400000}"/>
    <cellStyle name="Normal 34 4 4 2 3" xfId="25906" xr:uid="{00000000-0005-0000-0000-0000CE400000}"/>
    <cellStyle name="Normal 34 4 4 3" xfId="13530" xr:uid="{00000000-0005-0000-0000-0000CF400000}"/>
    <cellStyle name="Normal 34 4 4 3 2" xfId="30074" xr:uid="{00000000-0005-0000-0000-0000D0400000}"/>
    <cellStyle name="Normal 34 4 4 4" xfId="22031" xr:uid="{00000000-0005-0000-0000-0000D1400000}"/>
    <cellStyle name="Normal 34 4 5" xfId="8203" xr:uid="{00000000-0005-0000-0000-0000D2400000}"/>
    <cellStyle name="Normal 34 4 5 2" xfId="17380" xr:uid="{00000000-0005-0000-0000-0000D3400000}"/>
    <cellStyle name="Normal 34 4 5 2 2" xfId="33954" xr:uid="{00000000-0005-0000-0000-0000D4400000}"/>
    <cellStyle name="Normal 34 4 5 3" xfId="25907" xr:uid="{00000000-0005-0000-0000-0000D5400000}"/>
    <cellStyle name="Normal 34 4 6" xfId="13523" xr:uid="{00000000-0005-0000-0000-0000D6400000}"/>
    <cellStyle name="Normal 34 4 6 2" xfId="30067" xr:uid="{00000000-0005-0000-0000-0000D7400000}"/>
    <cellStyle name="Normal 34 4 7" xfId="22024" xr:uid="{00000000-0005-0000-0000-0000D8400000}"/>
    <cellStyle name="Normal 34 5" xfId="4144" xr:uid="{00000000-0005-0000-0000-0000D9400000}"/>
    <cellStyle name="Normal 34 5 2" xfId="4145" xr:uid="{00000000-0005-0000-0000-0000DA400000}"/>
    <cellStyle name="Normal 34 5 2 2" xfId="4146" xr:uid="{00000000-0005-0000-0000-0000DB400000}"/>
    <cellStyle name="Normal 34 5 2 2 2" xfId="4147" xr:uid="{00000000-0005-0000-0000-0000DC400000}"/>
    <cellStyle name="Normal 34 5 2 2 2 2" xfId="8204" xr:uid="{00000000-0005-0000-0000-0000DD400000}"/>
    <cellStyle name="Normal 34 5 2 2 2 2 2" xfId="17381" xr:uid="{00000000-0005-0000-0000-0000DE400000}"/>
    <cellStyle name="Normal 34 5 2 2 2 2 2 2" xfId="33955" xr:uid="{00000000-0005-0000-0000-0000DF400000}"/>
    <cellStyle name="Normal 34 5 2 2 2 2 3" xfId="25908" xr:uid="{00000000-0005-0000-0000-0000E0400000}"/>
    <cellStyle name="Normal 34 5 2 2 2 3" xfId="13534" xr:uid="{00000000-0005-0000-0000-0000E1400000}"/>
    <cellStyle name="Normal 34 5 2 2 2 3 2" xfId="30078" xr:uid="{00000000-0005-0000-0000-0000E2400000}"/>
    <cellStyle name="Normal 34 5 2 2 2 4" xfId="22035" xr:uid="{00000000-0005-0000-0000-0000E3400000}"/>
    <cellStyle name="Normal 34 5 2 2 3" xfId="8205" xr:uid="{00000000-0005-0000-0000-0000E4400000}"/>
    <cellStyle name="Normal 34 5 2 2 3 2" xfId="17382" xr:uid="{00000000-0005-0000-0000-0000E5400000}"/>
    <cellStyle name="Normal 34 5 2 2 3 2 2" xfId="33956" xr:uid="{00000000-0005-0000-0000-0000E6400000}"/>
    <cellStyle name="Normal 34 5 2 2 3 3" xfId="25909" xr:uid="{00000000-0005-0000-0000-0000E7400000}"/>
    <cellStyle name="Normal 34 5 2 2 4" xfId="13533" xr:uid="{00000000-0005-0000-0000-0000E8400000}"/>
    <cellStyle name="Normal 34 5 2 2 4 2" xfId="30077" xr:uid="{00000000-0005-0000-0000-0000E9400000}"/>
    <cellStyle name="Normal 34 5 2 2 5" xfId="22034" xr:uid="{00000000-0005-0000-0000-0000EA400000}"/>
    <cellStyle name="Normal 34 5 2 3" xfId="4148" xr:uid="{00000000-0005-0000-0000-0000EB400000}"/>
    <cellStyle name="Normal 34 5 2 3 2" xfId="8206" xr:uid="{00000000-0005-0000-0000-0000EC400000}"/>
    <cellStyle name="Normal 34 5 2 3 2 2" xfId="17383" xr:uid="{00000000-0005-0000-0000-0000ED400000}"/>
    <cellStyle name="Normal 34 5 2 3 2 2 2" xfId="33957" xr:uid="{00000000-0005-0000-0000-0000EE400000}"/>
    <cellStyle name="Normal 34 5 2 3 2 3" xfId="25910" xr:uid="{00000000-0005-0000-0000-0000EF400000}"/>
    <cellStyle name="Normal 34 5 2 3 3" xfId="13535" xr:uid="{00000000-0005-0000-0000-0000F0400000}"/>
    <cellStyle name="Normal 34 5 2 3 3 2" xfId="30079" xr:uid="{00000000-0005-0000-0000-0000F1400000}"/>
    <cellStyle name="Normal 34 5 2 3 4" xfId="22036" xr:uid="{00000000-0005-0000-0000-0000F2400000}"/>
    <cellStyle name="Normal 34 5 2 4" xfId="8207" xr:uid="{00000000-0005-0000-0000-0000F3400000}"/>
    <cellStyle name="Normal 34 5 2 4 2" xfId="17384" xr:uid="{00000000-0005-0000-0000-0000F4400000}"/>
    <cellStyle name="Normal 34 5 2 4 2 2" xfId="33958" xr:uid="{00000000-0005-0000-0000-0000F5400000}"/>
    <cellStyle name="Normal 34 5 2 4 3" xfId="25911" xr:uid="{00000000-0005-0000-0000-0000F6400000}"/>
    <cellStyle name="Normal 34 5 2 5" xfId="13532" xr:uid="{00000000-0005-0000-0000-0000F7400000}"/>
    <cellStyle name="Normal 34 5 2 5 2" xfId="30076" xr:uid="{00000000-0005-0000-0000-0000F8400000}"/>
    <cellStyle name="Normal 34 5 2 6" xfId="22033" xr:uid="{00000000-0005-0000-0000-0000F9400000}"/>
    <cellStyle name="Normal 34 5 3" xfId="4149" xr:uid="{00000000-0005-0000-0000-0000FA400000}"/>
    <cellStyle name="Normal 34 5 3 2" xfId="4150" xr:uid="{00000000-0005-0000-0000-0000FB400000}"/>
    <cellStyle name="Normal 34 5 3 2 2" xfId="8208" xr:uid="{00000000-0005-0000-0000-0000FC400000}"/>
    <cellStyle name="Normal 34 5 3 2 2 2" xfId="17385" xr:uid="{00000000-0005-0000-0000-0000FD400000}"/>
    <cellStyle name="Normal 34 5 3 2 2 2 2" xfId="33959" xr:uid="{00000000-0005-0000-0000-0000FE400000}"/>
    <cellStyle name="Normal 34 5 3 2 2 3" xfId="25912" xr:uid="{00000000-0005-0000-0000-0000FF400000}"/>
    <cellStyle name="Normal 34 5 3 2 3" xfId="13537" xr:uid="{00000000-0005-0000-0000-000000410000}"/>
    <cellStyle name="Normal 34 5 3 2 3 2" xfId="30081" xr:uid="{00000000-0005-0000-0000-000001410000}"/>
    <cellStyle name="Normal 34 5 3 2 4" xfId="22038" xr:uid="{00000000-0005-0000-0000-000002410000}"/>
    <cellStyle name="Normal 34 5 3 3" xfId="8209" xr:uid="{00000000-0005-0000-0000-000003410000}"/>
    <cellStyle name="Normal 34 5 3 3 2" xfId="17386" xr:uid="{00000000-0005-0000-0000-000004410000}"/>
    <cellStyle name="Normal 34 5 3 3 2 2" xfId="33960" xr:uid="{00000000-0005-0000-0000-000005410000}"/>
    <cellStyle name="Normal 34 5 3 3 3" xfId="25913" xr:uid="{00000000-0005-0000-0000-000006410000}"/>
    <cellStyle name="Normal 34 5 3 4" xfId="13536" xr:uid="{00000000-0005-0000-0000-000007410000}"/>
    <cellStyle name="Normal 34 5 3 4 2" xfId="30080" xr:uid="{00000000-0005-0000-0000-000008410000}"/>
    <cellStyle name="Normal 34 5 3 5" xfId="22037" xr:uid="{00000000-0005-0000-0000-000009410000}"/>
    <cellStyle name="Normal 34 5 4" xfId="4151" xr:uid="{00000000-0005-0000-0000-00000A410000}"/>
    <cellStyle name="Normal 34 5 4 2" xfId="8210" xr:uid="{00000000-0005-0000-0000-00000B410000}"/>
    <cellStyle name="Normal 34 5 4 2 2" xfId="17387" xr:uid="{00000000-0005-0000-0000-00000C410000}"/>
    <cellStyle name="Normal 34 5 4 2 2 2" xfId="33961" xr:uid="{00000000-0005-0000-0000-00000D410000}"/>
    <cellStyle name="Normal 34 5 4 2 3" xfId="25914" xr:uid="{00000000-0005-0000-0000-00000E410000}"/>
    <cellStyle name="Normal 34 5 4 3" xfId="13538" xr:uid="{00000000-0005-0000-0000-00000F410000}"/>
    <cellStyle name="Normal 34 5 4 3 2" xfId="30082" xr:uid="{00000000-0005-0000-0000-000010410000}"/>
    <cellStyle name="Normal 34 5 4 4" xfId="22039" xr:uid="{00000000-0005-0000-0000-000011410000}"/>
    <cellStyle name="Normal 34 5 5" xfId="8211" xr:uid="{00000000-0005-0000-0000-000012410000}"/>
    <cellStyle name="Normal 34 5 5 2" xfId="17388" xr:uid="{00000000-0005-0000-0000-000013410000}"/>
    <cellStyle name="Normal 34 5 5 2 2" xfId="33962" xr:uid="{00000000-0005-0000-0000-000014410000}"/>
    <cellStyle name="Normal 34 5 5 3" xfId="25915" xr:uid="{00000000-0005-0000-0000-000015410000}"/>
    <cellStyle name="Normal 34 5 6" xfId="13531" xr:uid="{00000000-0005-0000-0000-000016410000}"/>
    <cellStyle name="Normal 34 5 6 2" xfId="30075" xr:uid="{00000000-0005-0000-0000-000017410000}"/>
    <cellStyle name="Normal 34 5 7" xfId="22032" xr:uid="{00000000-0005-0000-0000-000018410000}"/>
    <cellStyle name="Normal 34 6" xfId="4152" xr:uid="{00000000-0005-0000-0000-000019410000}"/>
    <cellStyle name="Normal 34 6 2" xfId="4153" xr:uid="{00000000-0005-0000-0000-00001A410000}"/>
    <cellStyle name="Normal 34 6 2 2" xfId="4154" xr:uid="{00000000-0005-0000-0000-00001B410000}"/>
    <cellStyle name="Normal 34 6 2 2 2" xfId="8212" xr:uid="{00000000-0005-0000-0000-00001C410000}"/>
    <cellStyle name="Normal 34 6 2 2 2 2" xfId="17389" xr:uid="{00000000-0005-0000-0000-00001D410000}"/>
    <cellStyle name="Normal 34 6 2 2 2 2 2" xfId="33963" xr:uid="{00000000-0005-0000-0000-00001E410000}"/>
    <cellStyle name="Normal 34 6 2 2 2 3" xfId="25916" xr:uid="{00000000-0005-0000-0000-00001F410000}"/>
    <cellStyle name="Normal 34 6 2 2 3" xfId="13541" xr:uid="{00000000-0005-0000-0000-000020410000}"/>
    <cellStyle name="Normal 34 6 2 2 3 2" xfId="30085" xr:uid="{00000000-0005-0000-0000-000021410000}"/>
    <cellStyle name="Normal 34 6 2 2 4" xfId="22042" xr:uid="{00000000-0005-0000-0000-000022410000}"/>
    <cellStyle name="Normal 34 6 2 3" xfId="8213" xr:uid="{00000000-0005-0000-0000-000023410000}"/>
    <cellStyle name="Normal 34 6 2 3 2" xfId="17390" xr:uid="{00000000-0005-0000-0000-000024410000}"/>
    <cellStyle name="Normal 34 6 2 3 2 2" xfId="33964" xr:uid="{00000000-0005-0000-0000-000025410000}"/>
    <cellStyle name="Normal 34 6 2 3 3" xfId="25917" xr:uid="{00000000-0005-0000-0000-000026410000}"/>
    <cellStyle name="Normal 34 6 2 4" xfId="13540" xr:uid="{00000000-0005-0000-0000-000027410000}"/>
    <cellStyle name="Normal 34 6 2 4 2" xfId="30084" xr:uid="{00000000-0005-0000-0000-000028410000}"/>
    <cellStyle name="Normal 34 6 2 5" xfId="22041" xr:uid="{00000000-0005-0000-0000-000029410000}"/>
    <cellStyle name="Normal 34 6 3" xfId="4155" xr:uid="{00000000-0005-0000-0000-00002A410000}"/>
    <cellStyle name="Normal 34 6 3 2" xfId="8214" xr:uid="{00000000-0005-0000-0000-00002B410000}"/>
    <cellStyle name="Normal 34 6 3 2 2" xfId="17391" xr:uid="{00000000-0005-0000-0000-00002C410000}"/>
    <cellStyle name="Normal 34 6 3 2 2 2" xfId="33965" xr:uid="{00000000-0005-0000-0000-00002D410000}"/>
    <cellStyle name="Normal 34 6 3 2 3" xfId="25918" xr:uid="{00000000-0005-0000-0000-00002E410000}"/>
    <cellStyle name="Normal 34 6 3 3" xfId="13542" xr:uid="{00000000-0005-0000-0000-00002F410000}"/>
    <cellStyle name="Normal 34 6 3 3 2" xfId="30086" xr:uid="{00000000-0005-0000-0000-000030410000}"/>
    <cellStyle name="Normal 34 6 3 4" xfId="22043" xr:uid="{00000000-0005-0000-0000-000031410000}"/>
    <cellStyle name="Normal 34 6 4" xfId="8215" xr:uid="{00000000-0005-0000-0000-000032410000}"/>
    <cellStyle name="Normal 34 6 4 2" xfId="17392" xr:uid="{00000000-0005-0000-0000-000033410000}"/>
    <cellStyle name="Normal 34 6 4 2 2" xfId="33966" xr:uid="{00000000-0005-0000-0000-000034410000}"/>
    <cellStyle name="Normal 34 6 4 3" xfId="25919" xr:uid="{00000000-0005-0000-0000-000035410000}"/>
    <cellStyle name="Normal 34 6 5" xfId="13539" xr:uid="{00000000-0005-0000-0000-000036410000}"/>
    <cellStyle name="Normal 34 6 5 2" xfId="30083" xr:uid="{00000000-0005-0000-0000-000037410000}"/>
    <cellStyle name="Normal 34 6 6" xfId="22040" xr:uid="{00000000-0005-0000-0000-000038410000}"/>
    <cellStyle name="Normal 34 7" xfId="4156" xr:uid="{00000000-0005-0000-0000-000039410000}"/>
    <cellStyle name="Normal 34 7 2" xfId="4157" xr:uid="{00000000-0005-0000-0000-00003A410000}"/>
    <cellStyle name="Normal 34 7 2 2" xfId="8216" xr:uid="{00000000-0005-0000-0000-00003B410000}"/>
    <cellStyle name="Normal 34 7 2 2 2" xfId="17393" xr:uid="{00000000-0005-0000-0000-00003C410000}"/>
    <cellStyle name="Normal 34 7 2 2 2 2" xfId="33967" xr:uid="{00000000-0005-0000-0000-00003D410000}"/>
    <cellStyle name="Normal 34 7 2 2 3" xfId="25920" xr:uid="{00000000-0005-0000-0000-00003E410000}"/>
    <cellStyle name="Normal 34 7 2 3" xfId="13544" xr:uid="{00000000-0005-0000-0000-00003F410000}"/>
    <cellStyle name="Normal 34 7 2 3 2" xfId="30088" xr:uid="{00000000-0005-0000-0000-000040410000}"/>
    <cellStyle name="Normal 34 7 2 4" xfId="22045" xr:uid="{00000000-0005-0000-0000-000041410000}"/>
    <cellStyle name="Normal 34 7 3" xfId="8217" xr:uid="{00000000-0005-0000-0000-000042410000}"/>
    <cellStyle name="Normal 34 7 3 2" xfId="17394" xr:uid="{00000000-0005-0000-0000-000043410000}"/>
    <cellStyle name="Normal 34 7 3 2 2" xfId="33968" xr:uid="{00000000-0005-0000-0000-000044410000}"/>
    <cellStyle name="Normal 34 7 3 3" xfId="25921" xr:uid="{00000000-0005-0000-0000-000045410000}"/>
    <cellStyle name="Normal 34 7 4" xfId="13543" xr:uid="{00000000-0005-0000-0000-000046410000}"/>
    <cellStyle name="Normal 34 7 4 2" xfId="30087" xr:uid="{00000000-0005-0000-0000-000047410000}"/>
    <cellStyle name="Normal 34 7 5" xfId="22044" xr:uid="{00000000-0005-0000-0000-000048410000}"/>
    <cellStyle name="Normal 34 8" xfId="4158" xr:uid="{00000000-0005-0000-0000-000049410000}"/>
    <cellStyle name="Normal 34 8 2" xfId="8218" xr:uid="{00000000-0005-0000-0000-00004A410000}"/>
    <cellStyle name="Normal 34 8 2 2" xfId="17395" xr:uid="{00000000-0005-0000-0000-00004B410000}"/>
    <cellStyle name="Normal 34 8 2 2 2" xfId="33969" xr:uid="{00000000-0005-0000-0000-00004C410000}"/>
    <cellStyle name="Normal 34 8 2 3" xfId="25922" xr:uid="{00000000-0005-0000-0000-00004D410000}"/>
    <cellStyle name="Normal 34 8 3" xfId="13545" xr:uid="{00000000-0005-0000-0000-00004E410000}"/>
    <cellStyle name="Normal 34 8 3 2" xfId="30089" xr:uid="{00000000-0005-0000-0000-00004F410000}"/>
    <cellStyle name="Normal 34 8 4" xfId="22046" xr:uid="{00000000-0005-0000-0000-000050410000}"/>
    <cellStyle name="Normal 34 9" xfId="8219" xr:uid="{00000000-0005-0000-0000-000051410000}"/>
    <cellStyle name="Normal 34 9 2" xfId="17396" xr:uid="{00000000-0005-0000-0000-000052410000}"/>
    <cellStyle name="Normal 34 9 2 2" xfId="33970" xr:uid="{00000000-0005-0000-0000-000053410000}"/>
    <cellStyle name="Normal 34 9 3" xfId="25923" xr:uid="{00000000-0005-0000-0000-000054410000}"/>
    <cellStyle name="Normal 340" xfId="11090" xr:uid="{00000000-0005-0000-0000-000055410000}"/>
    <cellStyle name="Normal 341" xfId="11119" xr:uid="{00000000-0005-0000-0000-000056410000}"/>
    <cellStyle name="Normal 342" xfId="36203" xr:uid="{00000000-0005-0000-0000-000057410000}"/>
    <cellStyle name="Normal 35" xfId="4159" xr:uid="{00000000-0005-0000-0000-000058410000}"/>
    <cellStyle name="Normal 35 10" xfId="13546" xr:uid="{00000000-0005-0000-0000-000059410000}"/>
    <cellStyle name="Normal 35 10 2" xfId="30090" xr:uid="{00000000-0005-0000-0000-00005A410000}"/>
    <cellStyle name="Normal 35 11" xfId="22047" xr:uid="{00000000-0005-0000-0000-00005B410000}"/>
    <cellStyle name="Normal 35 2" xfId="4160" xr:uid="{00000000-0005-0000-0000-00005C410000}"/>
    <cellStyle name="Normal 35 2 2" xfId="4161" xr:uid="{00000000-0005-0000-0000-00005D410000}"/>
    <cellStyle name="Normal 35 2 3" xfId="13547" xr:uid="{00000000-0005-0000-0000-00005E410000}"/>
    <cellStyle name="Normal 35 2 3 2" xfId="30091" xr:uid="{00000000-0005-0000-0000-00005F410000}"/>
    <cellStyle name="Normal 35 2 4" xfId="22048" xr:uid="{00000000-0005-0000-0000-000060410000}"/>
    <cellStyle name="Normal 35 3" xfId="4162" xr:uid="{00000000-0005-0000-0000-000061410000}"/>
    <cellStyle name="Normal 35 3 2" xfId="4163" xr:uid="{00000000-0005-0000-0000-000062410000}"/>
    <cellStyle name="Normal 35 3 2 2" xfId="4164" xr:uid="{00000000-0005-0000-0000-000063410000}"/>
    <cellStyle name="Normal 35 3 2 2 2" xfId="4165" xr:uid="{00000000-0005-0000-0000-000064410000}"/>
    <cellStyle name="Normal 35 3 2 2 2 2" xfId="8220" xr:uid="{00000000-0005-0000-0000-000065410000}"/>
    <cellStyle name="Normal 35 3 2 2 2 2 2" xfId="17397" xr:uid="{00000000-0005-0000-0000-000066410000}"/>
    <cellStyle name="Normal 35 3 2 2 2 2 2 2" xfId="33971" xr:uid="{00000000-0005-0000-0000-000067410000}"/>
    <cellStyle name="Normal 35 3 2 2 2 2 3" xfId="25924" xr:uid="{00000000-0005-0000-0000-000068410000}"/>
    <cellStyle name="Normal 35 3 2 2 2 3" xfId="13550" xr:uid="{00000000-0005-0000-0000-000069410000}"/>
    <cellStyle name="Normal 35 3 2 2 2 3 2" xfId="30094" xr:uid="{00000000-0005-0000-0000-00006A410000}"/>
    <cellStyle name="Normal 35 3 2 2 2 4" xfId="22051" xr:uid="{00000000-0005-0000-0000-00006B410000}"/>
    <cellStyle name="Normal 35 3 2 2 3" xfId="8221" xr:uid="{00000000-0005-0000-0000-00006C410000}"/>
    <cellStyle name="Normal 35 3 2 2 3 2" xfId="17398" xr:uid="{00000000-0005-0000-0000-00006D410000}"/>
    <cellStyle name="Normal 35 3 2 2 3 2 2" xfId="33972" xr:uid="{00000000-0005-0000-0000-00006E410000}"/>
    <cellStyle name="Normal 35 3 2 2 3 3" xfId="25925" xr:uid="{00000000-0005-0000-0000-00006F410000}"/>
    <cellStyle name="Normal 35 3 2 2 4" xfId="13549" xr:uid="{00000000-0005-0000-0000-000070410000}"/>
    <cellStyle name="Normal 35 3 2 2 4 2" xfId="30093" xr:uid="{00000000-0005-0000-0000-000071410000}"/>
    <cellStyle name="Normal 35 3 2 2 5" xfId="22050" xr:uid="{00000000-0005-0000-0000-000072410000}"/>
    <cellStyle name="Normal 35 3 2 3" xfId="4166" xr:uid="{00000000-0005-0000-0000-000073410000}"/>
    <cellStyle name="Normal 35 3 2 3 2" xfId="8222" xr:uid="{00000000-0005-0000-0000-000074410000}"/>
    <cellStyle name="Normal 35 3 2 3 2 2" xfId="17399" xr:uid="{00000000-0005-0000-0000-000075410000}"/>
    <cellStyle name="Normal 35 3 2 3 2 2 2" xfId="33973" xr:uid="{00000000-0005-0000-0000-000076410000}"/>
    <cellStyle name="Normal 35 3 2 3 2 3" xfId="25926" xr:uid="{00000000-0005-0000-0000-000077410000}"/>
    <cellStyle name="Normal 35 3 2 3 3" xfId="13551" xr:uid="{00000000-0005-0000-0000-000078410000}"/>
    <cellStyle name="Normal 35 3 2 3 3 2" xfId="30095" xr:uid="{00000000-0005-0000-0000-000079410000}"/>
    <cellStyle name="Normal 35 3 2 3 4" xfId="22052" xr:uid="{00000000-0005-0000-0000-00007A410000}"/>
    <cellStyle name="Normal 35 3 2 4" xfId="8223" xr:uid="{00000000-0005-0000-0000-00007B410000}"/>
    <cellStyle name="Normal 35 3 2 4 2" xfId="17400" xr:uid="{00000000-0005-0000-0000-00007C410000}"/>
    <cellStyle name="Normal 35 3 2 4 2 2" xfId="33974" xr:uid="{00000000-0005-0000-0000-00007D410000}"/>
    <cellStyle name="Normal 35 3 2 4 3" xfId="25927" xr:uid="{00000000-0005-0000-0000-00007E410000}"/>
    <cellStyle name="Normal 35 3 2 5" xfId="13548" xr:uid="{00000000-0005-0000-0000-00007F410000}"/>
    <cellStyle name="Normal 35 3 2 5 2" xfId="30092" xr:uid="{00000000-0005-0000-0000-000080410000}"/>
    <cellStyle name="Normal 35 3 2 6" xfId="22049" xr:uid="{00000000-0005-0000-0000-000081410000}"/>
    <cellStyle name="Normal 35 3 3" xfId="4167" xr:uid="{00000000-0005-0000-0000-000082410000}"/>
    <cellStyle name="Normal 35 3 3 2" xfId="4168" xr:uid="{00000000-0005-0000-0000-000083410000}"/>
    <cellStyle name="Normal 35 3 3 2 2" xfId="8224" xr:uid="{00000000-0005-0000-0000-000084410000}"/>
    <cellStyle name="Normal 35 3 3 2 2 2" xfId="17401" xr:uid="{00000000-0005-0000-0000-000085410000}"/>
    <cellStyle name="Normal 35 3 3 2 2 2 2" xfId="33975" xr:uid="{00000000-0005-0000-0000-000086410000}"/>
    <cellStyle name="Normal 35 3 3 2 2 3" xfId="25928" xr:uid="{00000000-0005-0000-0000-000087410000}"/>
    <cellStyle name="Normal 35 3 3 2 3" xfId="13553" xr:uid="{00000000-0005-0000-0000-000088410000}"/>
    <cellStyle name="Normal 35 3 3 2 3 2" xfId="30097" xr:uid="{00000000-0005-0000-0000-000089410000}"/>
    <cellStyle name="Normal 35 3 3 2 4" xfId="22054" xr:uid="{00000000-0005-0000-0000-00008A410000}"/>
    <cellStyle name="Normal 35 3 3 3" xfId="8225" xr:uid="{00000000-0005-0000-0000-00008B410000}"/>
    <cellStyle name="Normal 35 3 3 3 2" xfId="17402" xr:uid="{00000000-0005-0000-0000-00008C410000}"/>
    <cellStyle name="Normal 35 3 3 3 2 2" xfId="33976" xr:uid="{00000000-0005-0000-0000-00008D410000}"/>
    <cellStyle name="Normal 35 3 3 3 3" xfId="25929" xr:uid="{00000000-0005-0000-0000-00008E410000}"/>
    <cellStyle name="Normal 35 3 3 4" xfId="13552" xr:uid="{00000000-0005-0000-0000-00008F410000}"/>
    <cellStyle name="Normal 35 3 3 4 2" xfId="30096" xr:uid="{00000000-0005-0000-0000-000090410000}"/>
    <cellStyle name="Normal 35 3 3 5" xfId="22053" xr:uid="{00000000-0005-0000-0000-000091410000}"/>
    <cellStyle name="Normal 35 3 4" xfId="4169" xr:uid="{00000000-0005-0000-0000-000092410000}"/>
    <cellStyle name="Normal 35 3 4 2" xfId="8226" xr:uid="{00000000-0005-0000-0000-000093410000}"/>
    <cellStyle name="Normal 35 3 4 2 2" xfId="17403" xr:uid="{00000000-0005-0000-0000-000094410000}"/>
    <cellStyle name="Normal 35 3 4 2 2 2" xfId="33977" xr:uid="{00000000-0005-0000-0000-000095410000}"/>
    <cellStyle name="Normal 35 3 4 2 3" xfId="25930" xr:uid="{00000000-0005-0000-0000-000096410000}"/>
    <cellStyle name="Normal 35 3 4 3" xfId="13554" xr:uid="{00000000-0005-0000-0000-000097410000}"/>
    <cellStyle name="Normal 35 3 4 3 2" xfId="30098" xr:uid="{00000000-0005-0000-0000-000098410000}"/>
    <cellStyle name="Normal 35 3 4 4" xfId="22055" xr:uid="{00000000-0005-0000-0000-000099410000}"/>
    <cellStyle name="Normal 35 3 5" xfId="4170" xr:uid="{00000000-0005-0000-0000-00009A410000}"/>
    <cellStyle name="Normal 35 3 5 2" xfId="13555" xr:uid="{00000000-0005-0000-0000-00009B410000}"/>
    <cellStyle name="Normal 35 3 5 2 2" xfId="30099" xr:uid="{00000000-0005-0000-0000-00009C410000}"/>
    <cellStyle name="Normal 35 3 5 3" xfId="22056" xr:uid="{00000000-0005-0000-0000-00009D410000}"/>
    <cellStyle name="Normal 35 4" xfId="4171" xr:uid="{00000000-0005-0000-0000-00009E410000}"/>
    <cellStyle name="Normal 35 4 2" xfId="4172" xr:uid="{00000000-0005-0000-0000-00009F410000}"/>
    <cellStyle name="Normal 35 4 2 2" xfId="4173" xr:uid="{00000000-0005-0000-0000-0000A0410000}"/>
    <cellStyle name="Normal 35 4 2 2 2" xfId="4174" xr:uid="{00000000-0005-0000-0000-0000A1410000}"/>
    <cellStyle name="Normal 35 4 2 2 2 2" xfId="8227" xr:uid="{00000000-0005-0000-0000-0000A2410000}"/>
    <cellStyle name="Normal 35 4 2 2 2 2 2" xfId="17404" xr:uid="{00000000-0005-0000-0000-0000A3410000}"/>
    <cellStyle name="Normal 35 4 2 2 2 2 2 2" xfId="33978" xr:uid="{00000000-0005-0000-0000-0000A4410000}"/>
    <cellStyle name="Normal 35 4 2 2 2 2 3" xfId="25931" xr:uid="{00000000-0005-0000-0000-0000A5410000}"/>
    <cellStyle name="Normal 35 4 2 2 2 3" xfId="13559" xr:uid="{00000000-0005-0000-0000-0000A6410000}"/>
    <cellStyle name="Normal 35 4 2 2 2 3 2" xfId="30103" xr:uid="{00000000-0005-0000-0000-0000A7410000}"/>
    <cellStyle name="Normal 35 4 2 2 2 4" xfId="22060" xr:uid="{00000000-0005-0000-0000-0000A8410000}"/>
    <cellStyle name="Normal 35 4 2 2 3" xfId="8228" xr:uid="{00000000-0005-0000-0000-0000A9410000}"/>
    <cellStyle name="Normal 35 4 2 2 3 2" xfId="17405" xr:uid="{00000000-0005-0000-0000-0000AA410000}"/>
    <cellStyle name="Normal 35 4 2 2 3 2 2" xfId="33979" xr:uid="{00000000-0005-0000-0000-0000AB410000}"/>
    <cellStyle name="Normal 35 4 2 2 3 3" xfId="25932" xr:uid="{00000000-0005-0000-0000-0000AC410000}"/>
    <cellStyle name="Normal 35 4 2 2 4" xfId="13558" xr:uid="{00000000-0005-0000-0000-0000AD410000}"/>
    <cellStyle name="Normal 35 4 2 2 4 2" xfId="30102" xr:uid="{00000000-0005-0000-0000-0000AE410000}"/>
    <cellStyle name="Normal 35 4 2 2 5" xfId="22059" xr:uid="{00000000-0005-0000-0000-0000AF410000}"/>
    <cellStyle name="Normal 35 4 2 3" xfId="4175" xr:uid="{00000000-0005-0000-0000-0000B0410000}"/>
    <cellStyle name="Normal 35 4 2 3 2" xfId="8229" xr:uid="{00000000-0005-0000-0000-0000B1410000}"/>
    <cellStyle name="Normal 35 4 2 3 2 2" xfId="17406" xr:uid="{00000000-0005-0000-0000-0000B2410000}"/>
    <cellStyle name="Normal 35 4 2 3 2 2 2" xfId="33980" xr:uid="{00000000-0005-0000-0000-0000B3410000}"/>
    <cellStyle name="Normal 35 4 2 3 2 3" xfId="25933" xr:uid="{00000000-0005-0000-0000-0000B4410000}"/>
    <cellStyle name="Normal 35 4 2 3 3" xfId="13560" xr:uid="{00000000-0005-0000-0000-0000B5410000}"/>
    <cellStyle name="Normal 35 4 2 3 3 2" xfId="30104" xr:uid="{00000000-0005-0000-0000-0000B6410000}"/>
    <cellStyle name="Normal 35 4 2 3 4" xfId="22061" xr:uid="{00000000-0005-0000-0000-0000B7410000}"/>
    <cellStyle name="Normal 35 4 2 4" xfId="8230" xr:uid="{00000000-0005-0000-0000-0000B8410000}"/>
    <cellStyle name="Normal 35 4 2 4 2" xfId="17407" xr:uid="{00000000-0005-0000-0000-0000B9410000}"/>
    <cellStyle name="Normal 35 4 2 4 2 2" xfId="33981" xr:uid="{00000000-0005-0000-0000-0000BA410000}"/>
    <cellStyle name="Normal 35 4 2 4 3" xfId="25934" xr:uid="{00000000-0005-0000-0000-0000BB410000}"/>
    <cellStyle name="Normal 35 4 2 5" xfId="13557" xr:uid="{00000000-0005-0000-0000-0000BC410000}"/>
    <cellStyle name="Normal 35 4 2 5 2" xfId="30101" xr:uid="{00000000-0005-0000-0000-0000BD410000}"/>
    <cellStyle name="Normal 35 4 2 6" xfId="22058" xr:uid="{00000000-0005-0000-0000-0000BE410000}"/>
    <cellStyle name="Normal 35 4 3" xfId="4176" xr:uid="{00000000-0005-0000-0000-0000BF410000}"/>
    <cellStyle name="Normal 35 4 3 2" xfId="4177" xr:uid="{00000000-0005-0000-0000-0000C0410000}"/>
    <cellStyle name="Normal 35 4 3 2 2" xfId="8231" xr:uid="{00000000-0005-0000-0000-0000C1410000}"/>
    <cellStyle name="Normal 35 4 3 2 2 2" xfId="17408" xr:uid="{00000000-0005-0000-0000-0000C2410000}"/>
    <cellStyle name="Normal 35 4 3 2 2 2 2" xfId="33982" xr:uid="{00000000-0005-0000-0000-0000C3410000}"/>
    <cellStyle name="Normal 35 4 3 2 2 3" xfId="25935" xr:uid="{00000000-0005-0000-0000-0000C4410000}"/>
    <cellStyle name="Normal 35 4 3 2 3" xfId="13562" xr:uid="{00000000-0005-0000-0000-0000C5410000}"/>
    <cellStyle name="Normal 35 4 3 2 3 2" xfId="30106" xr:uid="{00000000-0005-0000-0000-0000C6410000}"/>
    <cellStyle name="Normal 35 4 3 2 4" xfId="22063" xr:uid="{00000000-0005-0000-0000-0000C7410000}"/>
    <cellStyle name="Normal 35 4 3 3" xfId="8232" xr:uid="{00000000-0005-0000-0000-0000C8410000}"/>
    <cellStyle name="Normal 35 4 3 3 2" xfId="17409" xr:uid="{00000000-0005-0000-0000-0000C9410000}"/>
    <cellStyle name="Normal 35 4 3 3 2 2" xfId="33983" xr:uid="{00000000-0005-0000-0000-0000CA410000}"/>
    <cellStyle name="Normal 35 4 3 3 3" xfId="25936" xr:uid="{00000000-0005-0000-0000-0000CB410000}"/>
    <cellStyle name="Normal 35 4 3 4" xfId="13561" xr:uid="{00000000-0005-0000-0000-0000CC410000}"/>
    <cellStyle name="Normal 35 4 3 4 2" xfId="30105" xr:uid="{00000000-0005-0000-0000-0000CD410000}"/>
    <cellStyle name="Normal 35 4 3 5" xfId="22062" xr:uid="{00000000-0005-0000-0000-0000CE410000}"/>
    <cellStyle name="Normal 35 4 4" xfId="4178" xr:uid="{00000000-0005-0000-0000-0000CF410000}"/>
    <cellStyle name="Normal 35 4 4 2" xfId="8233" xr:uid="{00000000-0005-0000-0000-0000D0410000}"/>
    <cellStyle name="Normal 35 4 4 2 2" xfId="17410" xr:uid="{00000000-0005-0000-0000-0000D1410000}"/>
    <cellStyle name="Normal 35 4 4 2 2 2" xfId="33984" xr:uid="{00000000-0005-0000-0000-0000D2410000}"/>
    <cellStyle name="Normal 35 4 4 2 3" xfId="25937" xr:uid="{00000000-0005-0000-0000-0000D3410000}"/>
    <cellStyle name="Normal 35 4 4 3" xfId="13563" xr:uid="{00000000-0005-0000-0000-0000D4410000}"/>
    <cellStyle name="Normal 35 4 4 3 2" xfId="30107" xr:uid="{00000000-0005-0000-0000-0000D5410000}"/>
    <cellStyle name="Normal 35 4 4 4" xfId="22064" xr:uid="{00000000-0005-0000-0000-0000D6410000}"/>
    <cellStyle name="Normal 35 4 5" xfId="8234" xr:uid="{00000000-0005-0000-0000-0000D7410000}"/>
    <cellStyle name="Normal 35 4 5 2" xfId="17411" xr:uid="{00000000-0005-0000-0000-0000D8410000}"/>
    <cellStyle name="Normal 35 4 5 2 2" xfId="33985" xr:uid="{00000000-0005-0000-0000-0000D9410000}"/>
    <cellStyle name="Normal 35 4 5 3" xfId="25938" xr:uid="{00000000-0005-0000-0000-0000DA410000}"/>
    <cellStyle name="Normal 35 4 6" xfId="13556" xr:uid="{00000000-0005-0000-0000-0000DB410000}"/>
    <cellStyle name="Normal 35 4 6 2" xfId="30100" xr:uid="{00000000-0005-0000-0000-0000DC410000}"/>
    <cellStyle name="Normal 35 4 7" xfId="22057" xr:uid="{00000000-0005-0000-0000-0000DD410000}"/>
    <cellStyle name="Normal 35 5" xfId="4179" xr:uid="{00000000-0005-0000-0000-0000DE410000}"/>
    <cellStyle name="Normal 35 5 2" xfId="4180" xr:uid="{00000000-0005-0000-0000-0000DF410000}"/>
    <cellStyle name="Normal 35 5 2 2" xfId="4181" xr:uid="{00000000-0005-0000-0000-0000E0410000}"/>
    <cellStyle name="Normal 35 5 2 2 2" xfId="4182" xr:uid="{00000000-0005-0000-0000-0000E1410000}"/>
    <cellStyle name="Normal 35 5 2 2 2 2" xfId="8235" xr:uid="{00000000-0005-0000-0000-0000E2410000}"/>
    <cellStyle name="Normal 35 5 2 2 2 2 2" xfId="17412" xr:uid="{00000000-0005-0000-0000-0000E3410000}"/>
    <cellStyle name="Normal 35 5 2 2 2 2 2 2" xfId="33986" xr:uid="{00000000-0005-0000-0000-0000E4410000}"/>
    <cellStyle name="Normal 35 5 2 2 2 2 3" xfId="25939" xr:uid="{00000000-0005-0000-0000-0000E5410000}"/>
    <cellStyle name="Normal 35 5 2 2 2 3" xfId="13567" xr:uid="{00000000-0005-0000-0000-0000E6410000}"/>
    <cellStyle name="Normal 35 5 2 2 2 3 2" xfId="30111" xr:uid="{00000000-0005-0000-0000-0000E7410000}"/>
    <cellStyle name="Normal 35 5 2 2 2 4" xfId="22068" xr:uid="{00000000-0005-0000-0000-0000E8410000}"/>
    <cellStyle name="Normal 35 5 2 2 3" xfId="8236" xr:uid="{00000000-0005-0000-0000-0000E9410000}"/>
    <cellStyle name="Normal 35 5 2 2 3 2" xfId="17413" xr:uid="{00000000-0005-0000-0000-0000EA410000}"/>
    <cellStyle name="Normal 35 5 2 2 3 2 2" xfId="33987" xr:uid="{00000000-0005-0000-0000-0000EB410000}"/>
    <cellStyle name="Normal 35 5 2 2 3 3" xfId="25940" xr:uid="{00000000-0005-0000-0000-0000EC410000}"/>
    <cellStyle name="Normal 35 5 2 2 4" xfId="13566" xr:uid="{00000000-0005-0000-0000-0000ED410000}"/>
    <cellStyle name="Normal 35 5 2 2 4 2" xfId="30110" xr:uid="{00000000-0005-0000-0000-0000EE410000}"/>
    <cellStyle name="Normal 35 5 2 2 5" xfId="22067" xr:uid="{00000000-0005-0000-0000-0000EF410000}"/>
    <cellStyle name="Normal 35 5 2 3" xfId="4183" xr:uid="{00000000-0005-0000-0000-0000F0410000}"/>
    <cellStyle name="Normal 35 5 2 3 2" xfId="8237" xr:uid="{00000000-0005-0000-0000-0000F1410000}"/>
    <cellStyle name="Normal 35 5 2 3 2 2" xfId="17414" xr:uid="{00000000-0005-0000-0000-0000F2410000}"/>
    <cellStyle name="Normal 35 5 2 3 2 2 2" xfId="33988" xr:uid="{00000000-0005-0000-0000-0000F3410000}"/>
    <cellStyle name="Normal 35 5 2 3 2 3" xfId="25941" xr:uid="{00000000-0005-0000-0000-0000F4410000}"/>
    <cellStyle name="Normal 35 5 2 3 3" xfId="13568" xr:uid="{00000000-0005-0000-0000-0000F5410000}"/>
    <cellStyle name="Normal 35 5 2 3 3 2" xfId="30112" xr:uid="{00000000-0005-0000-0000-0000F6410000}"/>
    <cellStyle name="Normal 35 5 2 3 4" xfId="22069" xr:uid="{00000000-0005-0000-0000-0000F7410000}"/>
    <cellStyle name="Normal 35 5 2 4" xfId="8238" xr:uid="{00000000-0005-0000-0000-0000F8410000}"/>
    <cellStyle name="Normal 35 5 2 4 2" xfId="17415" xr:uid="{00000000-0005-0000-0000-0000F9410000}"/>
    <cellStyle name="Normal 35 5 2 4 2 2" xfId="33989" xr:uid="{00000000-0005-0000-0000-0000FA410000}"/>
    <cellStyle name="Normal 35 5 2 4 3" xfId="25942" xr:uid="{00000000-0005-0000-0000-0000FB410000}"/>
    <cellStyle name="Normal 35 5 2 5" xfId="13565" xr:uid="{00000000-0005-0000-0000-0000FC410000}"/>
    <cellStyle name="Normal 35 5 2 5 2" xfId="30109" xr:uid="{00000000-0005-0000-0000-0000FD410000}"/>
    <cellStyle name="Normal 35 5 2 6" xfId="22066" xr:uid="{00000000-0005-0000-0000-0000FE410000}"/>
    <cellStyle name="Normal 35 5 3" xfId="4184" xr:uid="{00000000-0005-0000-0000-0000FF410000}"/>
    <cellStyle name="Normal 35 5 3 2" xfId="4185" xr:uid="{00000000-0005-0000-0000-000000420000}"/>
    <cellStyle name="Normal 35 5 3 2 2" xfId="8239" xr:uid="{00000000-0005-0000-0000-000001420000}"/>
    <cellStyle name="Normal 35 5 3 2 2 2" xfId="17416" xr:uid="{00000000-0005-0000-0000-000002420000}"/>
    <cellStyle name="Normal 35 5 3 2 2 2 2" xfId="33990" xr:uid="{00000000-0005-0000-0000-000003420000}"/>
    <cellStyle name="Normal 35 5 3 2 2 3" xfId="25943" xr:uid="{00000000-0005-0000-0000-000004420000}"/>
    <cellStyle name="Normal 35 5 3 2 3" xfId="13570" xr:uid="{00000000-0005-0000-0000-000005420000}"/>
    <cellStyle name="Normal 35 5 3 2 3 2" xfId="30114" xr:uid="{00000000-0005-0000-0000-000006420000}"/>
    <cellStyle name="Normal 35 5 3 2 4" xfId="22071" xr:uid="{00000000-0005-0000-0000-000007420000}"/>
    <cellStyle name="Normal 35 5 3 3" xfId="8240" xr:uid="{00000000-0005-0000-0000-000008420000}"/>
    <cellStyle name="Normal 35 5 3 3 2" xfId="17417" xr:uid="{00000000-0005-0000-0000-000009420000}"/>
    <cellStyle name="Normal 35 5 3 3 2 2" xfId="33991" xr:uid="{00000000-0005-0000-0000-00000A420000}"/>
    <cellStyle name="Normal 35 5 3 3 3" xfId="25944" xr:uid="{00000000-0005-0000-0000-00000B420000}"/>
    <cellStyle name="Normal 35 5 3 4" xfId="13569" xr:uid="{00000000-0005-0000-0000-00000C420000}"/>
    <cellStyle name="Normal 35 5 3 4 2" xfId="30113" xr:uid="{00000000-0005-0000-0000-00000D420000}"/>
    <cellStyle name="Normal 35 5 3 5" xfId="22070" xr:uid="{00000000-0005-0000-0000-00000E420000}"/>
    <cellStyle name="Normal 35 5 4" xfId="4186" xr:uid="{00000000-0005-0000-0000-00000F420000}"/>
    <cellStyle name="Normal 35 5 4 2" xfId="8241" xr:uid="{00000000-0005-0000-0000-000010420000}"/>
    <cellStyle name="Normal 35 5 4 2 2" xfId="17418" xr:uid="{00000000-0005-0000-0000-000011420000}"/>
    <cellStyle name="Normal 35 5 4 2 2 2" xfId="33992" xr:uid="{00000000-0005-0000-0000-000012420000}"/>
    <cellStyle name="Normal 35 5 4 2 3" xfId="25945" xr:uid="{00000000-0005-0000-0000-000013420000}"/>
    <cellStyle name="Normal 35 5 4 3" xfId="13571" xr:uid="{00000000-0005-0000-0000-000014420000}"/>
    <cellStyle name="Normal 35 5 4 3 2" xfId="30115" xr:uid="{00000000-0005-0000-0000-000015420000}"/>
    <cellStyle name="Normal 35 5 4 4" xfId="22072" xr:uid="{00000000-0005-0000-0000-000016420000}"/>
    <cellStyle name="Normal 35 5 5" xfId="8242" xr:uid="{00000000-0005-0000-0000-000017420000}"/>
    <cellStyle name="Normal 35 5 5 2" xfId="17419" xr:uid="{00000000-0005-0000-0000-000018420000}"/>
    <cellStyle name="Normal 35 5 5 2 2" xfId="33993" xr:uid="{00000000-0005-0000-0000-000019420000}"/>
    <cellStyle name="Normal 35 5 5 3" xfId="25946" xr:uid="{00000000-0005-0000-0000-00001A420000}"/>
    <cellStyle name="Normal 35 5 6" xfId="13564" xr:uid="{00000000-0005-0000-0000-00001B420000}"/>
    <cellStyle name="Normal 35 5 6 2" xfId="30108" xr:uid="{00000000-0005-0000-0000-00001C420000}"/>
    <cellStyle name="Normal 35 5 7" xfId="22065" xr:uid="{00000000-0005-0000-0000-00001D420000}"/>
    <cellStyle name="Normal 35 6" xfId="4187" xr:uid="{00000000-0005-0000-0000-00001E420000}"/>
    <cellStyle name="Normal 35 6 2" xfId="4188" xr:uid="{00000000-0005-0000-0000-00001F420000}"/>
    <cellStyle name="Normal 35 6 2 2" xfId="4189" xr:uid="{00000000-0005-0000-0000-000020420000}"/>
    <cellStyle name="Normal 35 6 2 2 2" xfId="8243" xr:uid="{00000000-0005-0000-0000-000021420000}"/>
    <cellStyle name="Normal 35 6 2 2 2 2" xfId="17420" xr:uid="{00000000-0005-0000-0000-000022420000}"/>
    <cellStyle name="Normal 35 6 2 2 2 2 2" xfId="33994" xr:uid="{00000000-0005-0000-0000-000023420000}"/>
    <cellStyle name="Normal 35 6 2 2 2 3" xfId="25947" xr:uid="{00000000-0005-0000-0000-000024420000}"/>
    <cellStyle name="Normal 35 6 2 2 3" xfId="13574" xr:uid="{00000000-0005-0000-0000-000025420000}"/>
    <cellStyle name="Normal 35 6 2 2 3 2" xfId="30118" xr:uid="{00000000-0005-0000-0000-000026420000}"/>
    <cellStyle name="Normal 35 6 2 2 4" xfId="22075" xr:uid="{00000000-0005-0000-0000-000027420000}"/>
    <cellStyle name="Normal 35 6 2 3" xfId="8244" xr:uid="{00000000-0005-0000-0000-000028420000}"/>
    <cellStyle name="Normal 35 6 2 3 2" xfId="17421" xr:uid="{00000000-0005-0000-0000-000029420000}"/>
    <cellStyle name="Normal 35 6 2 3 2 2" xfId="33995" xr:uid="{00000000-0005-0000-0000-00002A420000}"/>
    <cellStyle name="Normal 35 6 2 3 3" xfId="25948" xr:uid="{00000000-0005-0000-0000-00002B420000}"/>
    <cellStyle name="Normal 35 6 2 4" xfId="13573" xr:uid="{00000000-0005-0000-0000-00002C420000}"/>
    <cellStyle name="Normal 35 6 2 4 2" xfId="30117" xr:uid="{00000000-0005-0000-0000-00002D420000}"/>
    <cellStyle name="Normal 35 6 2 5" xfId="22074" xr:uid="{00000000-0005-0000-0000-00002E420000}"/>
    <cellStyle name="Normal 35 6 3" xfId="4190" xr:uid="{00000000-0005-0000-0000-00002F420000}"/>
    <cellStyle name="Normal 35 6 3 2" xfId="8245" xr:uid="{00000000-0005-0000-0000-000030420000}"/>
    <cellStyle name="Normal 35 6 3 2 2" xfId="17422" xr:uid="{00000000-0005-0000-0000-000031420000}"/>
    <cellStyle name="Normal 35 6 3 2 2 2" xfId="33996" xr:uid="{00000000-0005-0000-0000-000032420000}"/>
    <cellStyle name="Normal 35 6 3 2 3" xfId="25949" xr:uid="{00000000-0005-0000-0000-000033420000}"/>
    <cellStyle name="Normal 35 6 3 3" xfId="13575" xr:uid="{00000000-0005-0000-0000-000034420000}"/>
    <cellStyle name="Normal 35 6 3 3 2" xfId="30119" xr:uid="{00000000-0005-0000-0000-000035420000}"/>
    <cellStyle name="Normal 35 6 3 4" xfId="22076" xr:uid="{00000000-0005-0000-0000-000036420000}"/>
    <cellStyle name="Normal 35 6 4" xfId="8246" xr:uid="{00000000-0005-0000-0000-000037420000}"/>
    <cellStyle name="Normal 35 6 4 2" xfId="17423" xr:uid="{00000000-0005-0000-0000-000038420000}"/>
    <cellStyle name="Normal 35 6 4 2 2" xfId="33997" xr:uid="{00000000-0005-0000-0000-000039420000}"/>
    <cellStyle name="Normal 35 6 4 3" xfId="25950" xr:uid="{00000000-0005-0000-0000-00003A420000}"/>
    <cellStyle name="Normal 35 6 5" xfId="13572" xr:uid="{00000000-0005-0000-0000-00003B420000}"/>
    <cellStyle name="Normal 35 6 5 2" xfId="30116" xr:uid="{00000000-0005-0000-0000-00003C420000}"/>
    <cellStyle name="Normal 35 6 6" xfId="22073" xr:uid="{00000000-0005-0000-0000-00003D420000}"/>
    <cellStyle name="Normal 35 7" xfId="4191" xr:uid="{00000000-0005-0000-0000-00003E420000}"/>
    <cellStyle name="Normal 35 7 2" xfId="4192" xr:uid="{00000000-0005-0000-0000-00003F420000}"/>
    <cellStyle name="Normal 35 7 2 2" xfId="8247" xr:uid="{00000000-0005-0000-0000-000040420000}"/>
    <cellStyle name="Normal 35 7 2 2 2" xfId="17424" xr:uid="{00000000-0005-0000-0000-000041420000}"/>
    <cellStyle name="Normal 35 7 2 2 2 2" xfId="33998" xr:uid="{00000000-0005-0000-0000-000042420000}"/>
    <cellStyle name="Normal 35 7 2 2 3" xfId="25951" xr:uid="{00000000-0005-0000-0000-000043420000}"/>
    <cellStyle name="Normal 35 7 2 3" xfId="13577" xr:uid="{00000000-0005-0000-0000-000044420000}"/>
    <cellStyle name="Normal 35 7 2 3 2" xfId="30121" xr:uid="{00000000-0005-0000-0000-000045420000}"/>
    <cellStyle name="Normal 35 7 2 4" xfId="22078" xr:uid="{00000000-0005-0000-0000-000046420000}"/>
    <cellStyle name="Normal 35 7 3" xfId="8248" xr:uid="{00000000-0005-0000-0000-000047420000}"/>
    <cellStyle name="Normal 35 7 3 2" xfId="17425" xr:uid="{00000000-0005-0000-0000-000048420000}"/>
    <cellStyle name="Normal 35 7 3 2 2" xfId="33999" xr:uid="{00000000-0005-0000-0000-000049420000}"/>
    <cellStyle name="Normal 35 7 3 3" xfId="25952" xr:uid="{00000000-0005-0000-0000-00004A420000}"/>
    <cellStyle name="Normal 35 7 4" xfId="13576" xr:uid="{00000000-0005-0000-0000-00004B420000}"/>
    <cellStyle name="Normal 35 7 4 2" xfId="30120" xr:uid="{00000000-0005-0000-0000-00004C420000}"/>
    <cellStyle name="Normal 35 7 5" xfId="22077" xr:uid="{00000000-0005-0000-0000-00004D420000}"/>
    <cellStyle name="Normal 35 8" xfId="4193" xr:uid="{00000000-0005-0000-0000-00004E420000}"/>
    <cellStyle name="Normal 35 8 2" xfId="8249" xr:uid="{00000000-0005-0000-0000-00004F420000}"/>
    <cellStyle name="Normal 35 8 2 2" xfId="17426" xr:uid="{00000000-0005-0000-0000-000050420000}"/>
    <cellStyle name="Normal 35 8 2 2 2" xfId="34000" xr:uid="{00000000-0005-0000-0000-000051420000}"/>
    <cellStyle name="Normal 35 8 2 3" xfId="25953" xr:uid="{00000000-0005-0000-0000-000052420000}"/>
    <cellStyle name="Normal 35 8 3" xfId="13578" xr:uid="{00000000-0005-0000-0000-000053420000}"/>
    <cellStyle name="Normal 35 8 3 2" xfId="30122" xr:uid="{00000000-0005-0000-0000-000054420000}"/>
    <cellStyle name="Normal 35 8 4" xfId="22079" xr:uid="{00000000-0005-0000-0000-000055420000}"/>
    <cellStyle name="Normal 35 9" xfId="8250" xr:uid="{00000000-0005-0000-0000-000056420000}"/>
    <cellStyle name="Normal 35 9 2" xfId="17427" xr:uid="{00000000-0005-0000-0000-000057420000}"/>
    <cellStyle name="Normal 35 9 2 2" xfId="34001" xr:uid="{00000000-0005-0000-0000-000058420000}"/>
    <cellStyle name="Normal 35 9 3" xfId="25954" xr:uid="{00000000-0005-0000-0000-000059420000}"/>
    <cellStyle name="Normal 36" xfId="4194" xr:uid="{00000000-0005-0000-0000-00005A420000}"/>
    <cellStyle name="Normal 36 10" xfId="13579" xr:uid="{00000000-0005-0000-0000-00005B420000}"/>
    <cellStyle name="Normal 36 10 2" xfId="30123" xr:uid="{00000000-0005-0000-0000-00005C420000}"/>
    <cellStyle name="Normal 36 11" xfId="22080" xr:uid="{00000000-0005-0000-0000-00005D420000}"/>
    <cellStyle name="Normal 36 2" xfId="4195" xr:uid="{00000000-0005-0000-0000-00005E420000}"/>
    <cellStyle name="Normal 36 2 2" xfId="4196" xr:uid="{00000000-0005-0000-0000-00005F420000}"/>
    <cellStyle name="Normal 36 2 3" xfId="13580" xr:uid="{00000000-0005-0000-0000-000060420000}"/>
    <cellStyle name="Normal 36 2 3 2" xfId="30124" xr:uid="{00000000-0005-0000-0000-000061420000}"/>
    <cellStyle name="Normal 36 2 4" xfId="22081" xr:uid="{00000000-0005-0000-0000-000062420000}"/>
    <cellStyle name="Normal 36 3" xfId="4197" xr:uid="{00000000-0005-0000-0000-000063420000}"/>
    <cellStyle name="Normal 36 3 2" xfId="4198" xr:uid="{00000000-0005-0000-0000-000064420000}"/>
    <cellStyle name="Normal 36 3 2 2" xfId="4199" xr:uid="{00000000-0005-0000-0000-000065420000}"/>
    <cellStyle name="Normal 36 3 2 2 2" xfId="4200" xr:uid="{00000000-0005-0000-0000-000066420000}"/>
    <cellStyle name="Normal 36 3 2 2 2 2" xfId="8251" xr:uid="{00000000-0005-0000-0000-000067420000}"/>
    <cellStyle name="Normal 36 3 2 2 2 2 2" xfId="17428" xr:uid="{00000000-0005-0000-0000-000068420000}"/>
    <cellStyle name="Normal 36 3 2 2 2 2 2 2" xfId="34002" xr:uid="{00000000-0005-0000-0000-000069420000}"/>
    <cellStyle name="Normal 36 3 2 2 2 2 3" xfId="25955" xr:uid="{00000000-0005-0000-0000-00006A420000}"/>
    <cellStyle name="Normal 36 3 2 2 2 3" xfId="13583" xr:uid="{00000000-0005-0000-0000-00006B420000}"/>
    <cellStyle name="Normal 36 3 2 2 2 3 2" xfId="30127" xr:uid="{00000000-0005-0000-0000-00006C420000}"/>
    <cellStyle name="Normal 36 3 2 2 2 4" xfId="22084" xr:uid="{00000000-0005-0000-0000-00006D420000}"/>
    <cellStyle name="Normal 36 3 2 2 3" xfId="8252" xr:uid="{00000000-0005-0000-0000-00006E420000}"/>
    <cellStyle name="Normal 36 3 2 2 3 2" xfId="17429" xr:uid="{00000000-0005-0000-0000-00006F420000}"/>
    <cellStyle name="Normal 36 3 2 2 3 2 2" xfId="34003" xr:uid="{00000000-0005-0000-0000-000070420000}"/>
    <cellStyle name="Normal 36 3 2 2 3 3" xfId="25956" xr:uid="{00000000-0005-0000-0000-000071420000}"/>
    <cellStyle name="Normal 36 3 2 2 4" xfId="13582" xr:uid="{00000000-0005-0000-0000-000072420000}"/>
    <cellStyle name="Normal 36 3 2 2 4 2" xfId="30126" xr:uid="{00000000-0005-0000-0000-000073420000}"/>
    <cellStyle name="Normal 36 3 2 2 5" xfId="22083" xr:uid="{00000000-0005-0000-0000-000074420000}"/>
    <cellStyle name="Normal 36 3 2 3" xfId="4201" xr:uid="{00000000-0005-0000-0000-000075420000}"/>
    <cellStyle name="Normal 36 3 2 3 2" xfId="8253" xr:uid="{00000000-0005-0000-0000-000076420000}"/>
    <cellStyle name="Normal 36 3 2 3 2 2" xfId="17430" xr:uid="{00000000-0005-0000-0000-000077420000}"/>
    <cellStyle name="Normal 36 3 2 3 2 2 2" xfId="34004" xr:uid="{00000000-0005-0000-0000-000078420000}"/>
    <cellStyle name="Normal 36 3 2 3 2 3" xfId="25957" xr:uid="{00000000-0005-0000-0000-000079420000}"/>
    <cellStyle name="Normal 36 3 2 3 3" xfId="13584" xr:uid="{00000000-0005-0000-0000-00007A420000}"/>
    <cellStyle name="Normal 36 3 2 3 3 2" xfId="30128" xr:uid="{00000000-0005-0000-0000-00007B420000}"/>
    <cellStyle name="Normal 36 3 2 3 4" xfId="22085" xr:uid="{00000000-0005-0000-0000-00007C420000}"/>
    <cellStyle name="Normal 36 3 2 4" xfId="8254" xr:uid="{00000000-0005-0000-0000-00007D420000}"/>
    <cellStyle name="Normal 36 3 2 4 2" xfId="17431" xr:uid="{00000000-0005-0000-0000-00007E420000}"/>
    <cellStyle name="Normal 36 3 2 4 2 2" xfId="34005" xr:uid="{00000000-0005-0000-0000-00007F420000}"/>
    <cellStyle name="Normal 36 3 2 4 3" xfId="25958" xr:uid="{00000000-0005-0000-0000-000080420000}"/>
    <cellStyle name="Normal 36 3 2 5" xfId="13581" xr:uid="{00000000-0005-0000-0000-000081420000}"/>
    <cellStyle name="Normal 36 3 2 5 2" xfId="30125" xr:uid="{00000000-0005-0000-0000-000082420000}"/>
    <cellStyle name="Normal 36 3 2 6" xfId="22082" xr:uid="{00000000-0005-0000-0000-000083420000}"/>
    <cellStyle name="Normal 36 3 3" xfId="4202" xr:uid="{00000000-0005-0000-0000-000084420000}"/>
    <cellStyle name="Normal 36 3 3 2" xfId="4203" xr:uid="{00000000-0005-0000-0000-000085420000}"/>
    <cellStyle name="Normal 36 3 3 2 2" xfId="8255" xr:uid="{00000000-0005-0000-0000-000086420000}"/>
    <cellStyle name="Normal 36 3 3 2 2 2" xfId="17432" xr:uid="{00000000-0005-0000-0000-000087420000}"/>
    <cellStyle name="Normal 36 3 3 2 2 2 2" xfId="34006" xr:uid="{00000000-0005-0000-0000-000088420000}"/>
    <cellStyle name="Normal 36 3 3 2 2 3" xfId="25959" xr:uid="{00000000-0005-0000-0000-000089420000}"/>
    <cellStyle name="Normal 36 3 3 2 3" xfId="13586" xr:uid="{00000000-0005-0000-0000-00008A420000}"/>
    <cellStyle name="Normal 36 3 3 2 3 2" xfId="30130" xr:uid="{00000000-0005-0000-0000-00008B420000}"/>
    <cellStyle name="Normal 36 3 3 2 4" xfId="22087" xr:uid="{00000000-0005-0000-0000-00008C420000}"/>
    <cellStyle name="Normal 36 3 3 3" xfId="8256" xr:uid="{00000000-0005-0000-0000-00008D420000}"/>
    <cellStyle name="Normal 36 3 3 3 2" xfId="17433" xr:uid="{00000000-0005-0000-0000-00008E420000}"/>
    <cellStyle name="Normal 36 3 3 3 2 2" xfId="34007" xr:uid="{00000000-0005-0000-0000-00008F420000}"/>
    <cellStyle name="Normal 36 3 3 3 3" xfId="25960" xr:uid="{00000000-0005-0000-0000-000090420000}"/>
    <cellStyle name="Normal 36 3 3 4" xfId="13585" xr:uid="{00000000-0005-0000-0000-000091420000}"/>
    <cellStyle name="Normal 36 3 3 4 2" xfId="30129" xr:uid="{00000000-0005-0000-0000-000092420000}"/>
    <cellStyle name="Normal 36 3 3 5" xfId="22086" xr:uid="{00000000-0005-0000-0000-000093420000}"/>
    <cellStyle name="Normal 36 3 4" xfId="4204" xr:uid="{00000000-0005-0000-0000-000094420000}"/>
    <cellStyle name="Normal 36 3 4 2" xfId="8257" xr:uid="{00000000-0005-0000-0000-000095420000}"/>
    <cellStyle name="Normal 36 3 4 2 2" xfId="17434" xr:uid="{00000000-0005-0000-0000-000096420000}"/>
    <cellStyle name="Normal 36 3 4 2 2 2" xfId="34008" xr:uid="{00000000-0005-0000-0000-000097420000}"/>
    <cellStyle name="Normal 36 3 4 2 3" xfId="25961" xr:uid="{00000000-0005-0000-0000-000098420000}"/>
    <cellStyle name="Normal 36 3 4 3" xfId="13587" xr:uid="{00000000-0005-0000-0000-000099420000}"/>
    <cellStyle name="Normal 36 3 4 3 2" xfId="30131" xr:uid="{00000000-0005-0000-0000-00009A420000}"/>
    <cellStyle name="Normal 36 3 4 4" xfId="22088" xr:uid="{00000000-0005-0000-0000-00009B420000}"/>
    <cellStyle name="Normal 36 3 5" xfId="4205" xr:uid="{00000000-0005-0000-0000-00009C420000}"/>
    <cellStyle name="Normal 36 3 5 2" xfId="13588" xr:uid="{00000000-0005-0000-0000-00009D420000}"/>
    <cellStyle name="Normal 36 3 5 2 2" xfId="30132" xr:uid="{00000000-0005-0000-0000-00009E420000}"/>
    <cellStyle name="Normal 36 3 5 3" xfId="22089" xr:uid="{00000000-0005-0000-0000-00009F420000}"/>
    <cellStyle name="Normal 36 4" xfId="4206" xr:uid="{00000000-0005-0000-0000-0000A0420000}"/>
    <cellStyle name="Normal 36 4 2" xfId="4207" xr:uid="{00000000-0005-0000-0000-0000A1420000}"/>
    <cellStyle name="Normal 36 4 2 2" xfId="4208" xr:uid="{00000000-0005-0000-0000-0000A2420000}"/>
    <cellStyle name="Normal 36 4 2 2 2" xfId="4209" xr:uid="{00000000-0005-0000-0000-0000A3420000}"/>
    <cellStyle name="Normal 36 4 2 2 2 2" xfId="8258" xr:uid="{00000000-0005-0000-0000-0000A4420000}"/>
    <cellStyle name="Normal 36 4 2 2 2 2 2" xfId="17435" xr:uid="{00000000-0005-0000-0000-0000A5420000}"/>
    <cellStyle name="Normal 36 4 2 2 2 2 2 2" xfId="34009" xr:uid="{00000000-0005-0000-0000-0000A6420000}"/>
    <cellStyle name="Normal 36 4 2 2 2 2 3" xfId="25962" xr:uid="{00000000-0005-0000-0000-0000A7420000}"/>
    <cellStyle name="Normal 36 4 2 2 2 3" xfId="13592" xr:uid="{00000000-0005-0000-0000-0000A8420000}"/>
    <cellStyle name="Normal 36 4 2 2 2 3 2" xfId="30136" xr:uid="{00000000-0005-0000-0000-0000A9420000}"/>
    <cellStyle name="Normal 36 4 2 2 2 4" xfId="22093" xr:uid="{00000000-0005-0000-0000-0000AA420000}"/>
    <cellStyle name="Normal 36 4 2 2 3" xfId="8259" xr:uid="{00000000-0005-0000-0000-0000AB420000}"/>
    <cellStyle name="Normal 36 4 2 2 3 2" xfId="17436" xr:uid="{00000000-0005-0000-0000-0000AC420000}"/>
    <cellStyle name="Normal 36 4 2 2 3 2 2" xfId="34010" xr:uid="{00000000-0005-0000-0000-0000AD420000}"/>
    <cellStyle name="Normal 36 4 2 2 3 3" xfId="25963" xr:uid="{00000000-0005-0000-0000-0000AE420000}"/>
    <cellStyle name="Normal 36 4 2 2 4" xfId="13591" xr:uid="{00000000-0005-0000-0000-0000AF420000}"/>
    <cellStyle name="Normal 36 4 2 2 4 2" xfId="30135" xr:uid="{00000000-0005-0000-0000-0000B0420000}"/>
    <cellStyle name="Normal 36 4 2 2 5" xfId="22092" xr:uid="{00000000-0005-0000-0000-0000B1420000}"/>
    <cellStyle name="Normal 36 4 2 3" xfId="4210" xr:uid="{00000000-0005-0000-0000-0000B2420000}"/>
    <cellStyle name="Normal 36 4 2 3 2" xfId="8260" xr:uid="{00000000-0005-0000-0000-0000B3420000}"/>
    <cellStyle name="Normal 36 4 2 3 2 2" xfId="17437" xr:uid="{00000000-0005-0000-0000-0000B4420000}"/>
    <cellStyle name="Normal 36 4 2 3 2 2 2" xfId="34011" xr:uid="{00000000-0005-0000-0000-0000B5420000}"/>
    <cellStyle name="Normal 36 4 2 3 2 3" xfId="25964" xr:uid="{00000000-0005-0000-0000-0000B6420000}"/>
    <cellStyle name="Normal 36 4 2 3 3" xfId="13593" xr:uid="{00000000-0005-0000-0000-0000B7420000}"/>
    <cellStyle name="Normal 36 4 2 3 3 2" xfId="30137" xr:uid="{00000000-0005-0000-0000-0000B8420000}"/>
    <cellStyle name="Normal 36 4 2 3 4" xfId="22094" xr:uid="{00000000-0005-0000-0000-0000B9420000}"/>
    <cellStyle name="Normal 36 4 2 4" xfId="8261" xr:uid="{00000000-0005-0000-0000-0000BA420000}"/>
    <cellStyle name="Normal 36 4 2 4 2" xfId="17438" xr:uid="{00000000-0005-0000-0000-0000BB420000}"/>
    <cellStyle name="Normal 36 4 2 4 2 2" xfId="34012" xr:uid="{00000000-0005-0000-0000-0000BC420000}"/>
    <cellStyle name="Normal 36 4 2 4 3" xfId="25965" xr:uid="{00000000-0005-0000-0000-0000BD420000}"/>
    <cellStyle name="Normal 36 4 2 5" xfId="13590" xr:uid="{00000000-0005-0000-0000-0000BE420000}"/>
    <cellStyle name="Normal 36 4 2 5 2" xfId="30134" xr:uid="{00000000-0005-0000-0000-0000BF420000}"/>
    <cellStyle name="Normal 36 4 2 6" xfId="22091" xr:uid="{00000000-0005-0000-0000-0000C0420000}"/>
    <cellStyle name="Normal 36 4 3" xfId="4211" xr:uid="{00000000-0005-0000-0000-0000C1420000}"/>
    <cellStyle name="Normal 36 4 3 2" xfId="4212" xr:uid="{00000000-0005-0000-0000-0000C2420000}"/>
    <cellStyle name="Normal 36 4 3 2 2" xfId="8262" xr:uid="{00000000-0005-0000-0000-0000C3420000}"/>
    <cellStyle name="Normal 36 4 3 2 2 2" xfId="17439" xr:uid="{00000000-0005-0000-0000-0000C4420000}"/>
    <cellStyle name="Normal 36 4 3 2 2 2 2" xfId="34013" xr:uid="{00000000-0005-0000-0000-0000C5420000}"/>
    <cellStyle name="Normal 36 4 3 2 2 3" xfId="25966" xr:uid="{00000000-0005-0000-0000-0000C6420000}"/>
    <cellStyle name="Normal 36 4 3 2 3" xfId="13595" xr:uid="{00000000-0005-0000-0000-0000C7420000}"/>
    <cellStyle name="Normal 36 4 3 2 3 2" xfId="30139" xr:uid="{00000000-0005-0000-0000-0000C8420000}"/>
    <cellStyle name="Normal 36 4 3 2 4" xfId="22096" xr:uid="{00000000-0005-0000-0000-0000C9420000}"/>
    <cellStyle name="Normal 36 4 3 3" xfId="8263" xr:uid="{00000000-0005-0000-0000-0000CA420000}"/>
    <cellStyle name="Normal 36 4 3 3 2" xfId="17440" xr:uid="{00000000-0005-0000-0000-0000CB420000}"/>
    <cellStyle name="Normal 36 4 3 3 2 2" xfId="34014" xr:uid="{00000000-0005-0000-0000-0000CC420000}"/>
    <cellStyle name="Normal 36 4 3 3 3" xfId="25967" xr:uid="{00000000-0005-0000-0000-0000CD420000}"/>
    <cellStyle name="Normal 36 4 3 4" xfId="13594" xr:uid="{00000000-0005-0000-0000-0000CE420000}"/>
    <cellStyle name="Normal 36 4 3 4 2" xfId="30138" xr:uid="{00000000-0005-0000-0000-0000CF420000}"/>
    <cellStyle name="Normal 36 4 3 5" xfId="22095" xr:uid="{00000000-0005-0000-0000-0000D0420000}"/>
    <cellStyle name="Normal 36 4 4" xfId="4213" xr:uid="{00000000-0005-0000-0000-0000D1420000}"/>
    <cellStyle name="Normal 36 4 4 2" xfId="8264" xr:uid="{00000000-0005-0000-0000-0000D2420000}"/>
    <cellStyle name="Normal 36 4 4 2 2" xfId="17441" xr:uid="{00000000-0005-0000-0000-0000D3420000}"/>
    <cellStyle name="Normal 36 4 4 2 2 2" xfId="34015" xr:uid="{00000000-0005-0000-0000-0000D4420000}"/>
    <cellStyle name="Normal 36 4 4 2 3" xfId="25968" xr:uid="{00000000-0005-0000-0000-0000D5420000}"/>
    <cellStyle name="Normal 36 4 4 3" xfId="13596" xr:uid="{00000000-0005-0000-0000-0000D6420000}"/>
    <cellStyle name="Normal 36 4 4 3 2" xfId="30140" xr:uid="{00000000-0005-0000-0000-0000D7420000}"/>
    <cellStyle name="Normal 36 4 4 4" xfId="22097" xr:uid="{00000000-0005-0000-0000-0000D8420000}"/>
    <cellStyle name="Normal 36 4 5" xfId="8265" xr:uid="{00000000-0005-0000-0000-0000D9420000}"/>
    <cellStyle name="Normal 36 4 5 2" xfId="17442" xr:uid="{00000000-0005-0000-0000-0000DA420000}"/>
    <cellStyle name="Normal 36 4 5 2 2" xfId="34016" xr:uid="{00000000-0005-0000-0000-0000DB420000}"/>
    <cellStyle name="Normal 36 4 5 3" xfId="25969" xr:uid="{00000000-0005-0000-0000-0000DC420000}"/>
    <cellStyle name="Normal 36 4 6" xfId="13589" xr:uid="{00000000-0005-0000-0000-0000DD420000}"/>
    <cellStyle name="Normal 36 4 6 2" xfId="30133" xr:uid="{00000000-0005-0000-0000-0000DE420000}"/>
    <cellStyle name="Normal 36 4 7" xfId="22090" xr:uid="{00000000-0005-0000-0000-0000DF420000}"/>
    <cellStyle name="Normal 36 5" xfId="4214" xr:uid="{00000000-0005-0000-0000-0000E0420000}"/>
    <cellStyle name="Normal 36 5 2" xfId="4215" xr:uid="{00000000-0005-0000-0000-0000E1420000}"/>
    <cellStyle name="Normal 36 5 2 2" xfId="4216" xr:uid="{00000000-0005-0000-0000-0000E2420000}"/>
    <cellStyle name="Normal 36 5 2 2 2" xfId="4217" xr:uid="{00000000-0005-0000-0000-0000E3420000}"/>
    <cellStyle name="Normal 36 5 2 2 2 2" xfId="8266" xr:uid="{00000000-0005-0000-0000-0000E4420000}"/>
    <cellStyle name="Normal 36 5 2 2 2 2 2" xfId="17443" xr:uid="{00000000-0005-0000-0000-0000E5420000}"/>
    <cellStyle name="Normal 36 5 2 2 2 2 2 2" xfId="34017" xr:uid="{00000000-0005-0000-0000-0000E6420000}"/>
    <cellStyle name="Normal 36 5 2 2 2 2 3" xfId="25970" xr:uid="{00000000-0005-0000-0000-0000E7420000}"/>
    <cellStyle name="Normal 36 5 2 2 2 3" xfId="13600" xr:uid="{00000000-0005-0000-0000-0000E8420000}"/>
    <cellStyle name="Normal 36 5 2 2 2 3 2" xfId="30144" xr:uid="{00000000-0005-0000-0000-0000E9420000}"/>
    <cellStyle name="Normal 36 5 2 2 2 4" xfId="22101" xr:uid="{00000000-0005-0000-0000-0000EA420000}"/>
    <cellStyle name="Normal 36 5 2 2 3" xfId="8267" xr:uid="{00000000-0005-0000-0000-0000EB420000}"/>
    <cellStyle name="Normal 36 5 2 2 3 2" xfId="17444" xr:uid="{00000000-0005-0000-0000-0000EC420000}"/>
    <cellStyle name="Normal 36 5 2 2 3 2 2" xfId="34018" xr:uid="{00000000-0005-0000-0000-0000ED420000}"/>
    <cellStyle name="Normal 36 5 2 2 3 3" xfId="25971" xr:uid="{00000000-0005-0000-0000-0000EE420000}"/>
    <cellStyle name="Normal 36 5 2 2 4" xfId="13599" xr:uid="{00000000-0005-0000-0000-0000EF420000}"/>
    <cellStyle name="Normal 36 5 2 2 4 2" xfId="30143" xr:uid="{00000000-0005-0000-0000-0000F0420000}"/>
    <cellStyle name="Normal 36 5 2 2 5" xfId="22100" xr:uid="{00000000-0005-0000-0000-0000F1420000}"/>
    <cellStyle name="Normal 36 5 2 3" xfId="4218" xr:uid="{00000000-0005-0000-0000-0000F2420000}"/>
    <cellStyle name="Normal 36 5 2 3 2" xfId="8268" xr:uid="{00000000-0005-0000-0000-0000F3420000}"/>
    <cellStyle name="Normal 36 5 2 3 2 2" xfId="17445" xr:uid="{00000000-0005-0000-0000-0000F4420000}"/>
    <cellStyle name="Normal 36 5 2 3 2 2 2" xfId="34019" xr:uid="{00000000-0005-0000-0000-0000F5420000}"/>
    <cellStyle name="Normal 36 5 2 3 2 3" xfId="25972" xr:uid="{00000000-0005-0000-0000-0000F6420000}"/>
    <cellStyle name="Normal 36 5 2 3 3" xfId="13601" xr:uid="{00000000-0005-0000-0000-0000F7420000}"/>
    <cellStyle name="Normal 36 5 2 3 3 2" xfId="30145" xr:uid="{00000000-0005-0000-0000-0000F8420000}"/>
    <cellStyle name="Normal 36 5 2 3 4" xfId="22102" xr:uid="{00000000-0005-0000-0000-0000F9420000}"/>
    <cellStyle name="Normal 36 5 2 4" xfId="8269" xr:uid="{00000000-0005-0000-0000-0000FA420000}"/>
    <cellStyle name="Normal 36 5 2 4 2" xfId="17446" xr:uid="{00000000-0005-0000-0000-0000FB420000}"/>
    <cellStyle name="Normal 36 5 2 4 2 2" xfId="34020" xr:uid="{00000000-0005-0000-0000-0000FC420000}"/>
    <cellStyle name="Normal 36 5 2 4 3" xfId="25973" xr:uid="{00000000-0005-0000-0000-0000FD420000}"/>
    <cellStyle name="Normal 36 5 2 5" xfId="13598" xr:uid="{00000000-0005-0000-0000-0000FE420000}"/>
    <cellStyle name="Normal 36 5 2 5 2" xfId="30142" xr:uid="{00000000-0005-0000-0000-0000FF420000}"/>
    <cellStyle name="Normal 36 5 2 6" xfId="22099" xr:uid="{00000000-0005-0000-0000-000000430000}"/>
    <cellStyle name="Normal 36 5 3" xfId="4219" xr:uid="{00000000-0005-0000-0000-000001430000}"/>
    <cellStyle name="Normal 36 5 3 2" xfId="4220" xr:uid="{00000000-0005-0000-0000-000002430000}"/>
    <cellStyle name="Normal 36 5 3 2 2" xfId="8270" xr:uid="{00000000-0005-0000-0000-000003430000}"/>
    <cellStyle name="Normal 36 5 3 2 2 2" xfId="17447" xr:uid="{00000000-0005-0000-0000-000004430000}"/>
    <cellStyle name="Normal 36 5 3 2 2 2 2" xfId="34021" xr:uid="{00000000-0005-0000-0000-000005430000}"/>
    <cellStyle name="Normal 36 5 3 2 2 3" xfId="25974" xr:uid="{00000000-0005-0000-0000-000006430000}"/>
    <cellStyle name="Normal 36 5 3 2 3" xfId="13603" xr:uid="{00000000-0005-0000-0000-000007430000}"/>
    <cellStyle name="Normal 36 5 3 2 3 2" xfId="30147" xr:uid="{00000000-0005-0000-0000-000008430000}"/>
    <cellStyle name="Normal 36 5 3 2 4" xfId="22104" xr:uid="{00000000-0005-0000-0000-000009430000}"/>
    <cellStyle name="Normal 36 5 3 3" xfId="8271" xr:uid="{00000000-0005-0000-0000-00000A430000}"/>
    <cellStyle name="Normal 36 5 3 3 2" xfId="17448" xr:uid="{00000000-0005-0000-0000-00000B430000}"/>
    <cellStyle name="Normal 36 5 3 3 2 2" xfId="34022" xr:uid="{00000000-0005-0000-0000-00000C430000}"/>
    <cellStyle name="Normal 36 5 3 3 3" xfId="25975" xr:uid="{00000000-0005-0000-0000-00000D430000}"/>
    <cellStyle name="Normal 36 5 3 4" xfId="13602" xr:uid="{00000000-0005-0000-0000-00000E430000}"/>
    <cellStyle name="Normal 36 5 3 4 2" xfId="30146" xr:uid="{00000000-0005-0000-0000-00000F430000}"/>
    <cellStyle name="Normal 36 5 3 5" xfId="22103" xr:uid="{00000000-0005-0000-0000-000010430000}"/>
    <cellStyle name="Normal 36 5 4" xfId="4221" xr:uid="{00000000-0005-0000-0000-000011430000}"/>
    <cellStyle name="Normal 36 5 4 2" xfId="8272" xr:uid="{00000000-0005-0000-0000-000012430000}"/>
    <cellStyle name="Normal 36 5 4 2 2" xfId="17449" xr:uid="{00000000-0005-0000-0000-000013430000}"/>
    <cellStyle name="Normal 36 5 4 2 2 2" xfId="34023" xr:uid="{00000000-0005-0000-0000-000014430000}"/>
    <cellStyle name="Normal 36 5 4 2 3" xfId="25976" xr:uid="{00000000-0005-0000-0000-000015430000}"/>
    <cellStyle name="Normal 36 5 4 3" xfId="13604" xr:uid="{00000000-0005-0000-0000-000016430000}"/>
    <cellStyle name="Normal 36 5 4 3 2" xfId="30148" xr:uid="{00000000-0005-0000-0000-000017430000}"/>
    <cellStyle name="Normal 36 5 4 4" xfId="22105" xr:uid="{00000000-0005-0000-0000-000018430000}"/>
    <cellStyle name="Normal 36 5 5" xfId="8273" xr:uid="{00000000-0005-0000-0000-000019430000}"/>
    <cellStyle name="Normal 36 5 5 2" xfId="17450" xr:uid="{00000000-0005-0000-0000-00001A430000}"/>
    <cellStyle name="Normal 36 5 5 2 2" xfId="34024" xr:uid="{00000000-0005-0000-0000-00001B430000}"/>
    <cellStyle name="Normal 36 5 5 3" xfId="25977" xr:uid="{00000000-0005-0000-0000-00001C430000}"/>
    <cellStyle name="Normal 36 5 6" xfId="13597" xr:uid="{00000000-0005-0000-0000-00001D430000}"/>
    <cellStyle name="Normal 36 5 6 2" xfId="30141" xr:uid="{00000000-0005-0000-0000-00001E430000}"/>
    <cellStyle name="Normal 36 5 7" xfId="22098" xr:uid="{00000000-0005-0000-0000-00001F430000}"/>
    <cellStyle name="Normal 36 6" xfId="4222" xr:uid="{00000000-0005-0000-0000-000020430000}"/>
    <cellStyle name="Normal 36 6 2" xfId="4223" xr:uid="{00000000-0005-0000-0000-000021430000}"/>
    <cellStyle name="Normal 36 6 2 2" xfId="4224" xr:uid="{00000000-0005-0000-0000-000022430000}"/>
    <cellStyle name="Normal 36 6 2 2 2" xfId="8274" xr:uid="{00000000-0005-0000-0000-000023430000}"/>
    <cellStyle name="Normal 36 6 2 2 2 2" xfId="17451" xr:uid="{00000000-0005-0000-0000-000024430000}"/>
    <cellStyle name="Normal 36 6 2 2 2 2 2" xfId="34025" xr:uid="{00000000-0005-0000-0000-000025430000}"/>
    <cellStyle name="Normal 36 6 2 2 2 3" xfId="25978" xr:uid="{00000000-0005-0000-0000-000026430000}"/>
    <cellStyle name="Normal 36 6 2 2 3" xfId="13607" xr:uid="{00000000-0005-0000-0000-000027430000}"/>
    <cellStyle name="Normal 36 6 2 2 3 2" xfId="30151" xr:uid="{00000000-0005-0000-0000-000028430000}"/>
    <cellStyle name="Normal 36 6 2 2 4" xfId="22108" xr:uid="{00000000-0005-0000-0000-000029430000}"/>
    <cellStyle name="Normal 36 6 2 3" xfId="8275" xr:uid="{00000000-0005-0000-0000-00002A430000}"/>
    <cellStyle name="Normal 36 6 2 3 2" xfId="17452" xr:uid="{00000000-0005-0000-0000-00002B430000}"/>
    <cellStyle name="Normal 36 6 2 3 2 2" xfId="34026" xr:uid="{00000000-0005-0000-0000-00002C430000}"/>
    <cellStyle name="Normal 36 6 2 3 3" xfId="25979" xr:uid="{00000000-0005-0000-0000-00002D430000}"/>
    <cellStyle name="Normal 36 6 2 4" xfId="13606" xr:uid="{00000000-0005-0000-0000-00002E430000}"/>
    <cellStyle name="Normal 36 6 2 4 2" xfId="30150" xr:uid="{00000000-0005-0000-0000-00002F430000}"/>
    <cellStyle name="Normal 36 6 2 5" xfId="22107" xr:uid="{00000000-0005-0000-0000-000030430000}"/>
    <cellStyle name="Normal 36 6 3" xfId="4225" xr:uid="{00000000-0005-0000-0000-000031430000}"/>
    <cellStyle name="Normal 36 6 3 2" xfId="8276" xr:uid="{00000000-0005-0000-0000-000032430000}"/>
    <cellStyle name="Normal 36 6 3 2 2" xfId="17453" xr:uid="{00000000-0005-0000-0000-000033430000}"/>
    <cellStyle name="Normal 36 6 3 2 2 2" xfId="34027" xr:uid="{00000000-0005-0000-0000-000034430000}"/>
    <cellStyle name="Normal 36 6 3 2 3" xfId="25980" xr:uid="{00000000-0005-0000-0000-000035430000}"/>
    <cellStyle name="Normal 36 6 3 3" xfId="13608" xr:uid="{00000000-0005-0000-0000-000036430000}"/>
    <cellStyle name="Normal 36 6 3 3 2" xfId="30152" xr:uid="{00000000-0005-0000-0000-000037430000}"/>
    <cellStyle name="Normal 36 6 3 4" xfId="22109" xr:uid="{00000000-0005-0000-0000-000038430000}"/>
    <cellStyle name="Normal 36 6 4" xfId="8277" xr:uid="{00000000-0005-0000-0000-000039430000}"/>
    <cellStyle name="Normal 36 6 4 2" xfId="17454" xr:uid="{00000000-0005-0000-0000-00003A430000}"/>
    <cellStyle name="Normal 36 6 4 2 2" xfId="34028" xr:uid="{00000000-0005-0000-0000-00003B430000}"/>
    <cellStyle name="Normal 36 6 4 3" xfId="25981" xr:uid="{00000000-0005-0000-0000-00003C430000}"/>
    <cellStyle name="Normal 36 6 5" xfId="13605" xr:uid="{00000000-0005-0000-0000-00003D430000}"/>
    <cellStyle name="Normal 36 6 5 2" xfId="30149" xr:uid="{00000000-0005-0000-0000-00003E430000}"/>
    <cellStyle name="Normal 36 6 6" xfId="22106" xr:uid="{00000000-0005-0000-0000-00003F430000}"/>
    <cellStyle name="Normal 36 7" xfId="4226" xr:uid="{00000000-0005-0000-0000-000040430000}"/>
    <cellStyle name="Normal 36 7 2" xfId="4227" xr:uid="{00000000-0005-0000-0000-000041430000}"/>
    <cellStyle name="Normal 36 7 2 2" xfId="8278" xr:uid="{00000000-0005-0000-0000-000042430000}"/>
    <cellStyle name="Normal 36 7 2 2 2" xfId="17455" xr:uid="{00000000-0005-0000-0000-000043430000}"/>
    <cellStyle name="Normal 36 7 2 2 2 2" xfId="34029" xr:uid="{00000000-0005-0000-0000-000044430000}"/>
    <cellStyle name="Normal 36 7 2 2 3" xfId="25982" xr:uid="{00000000-0005-0000-0000-000045430000}"/>
    <cellStyle name="Normal 36 7 2 3" xfId="13610" xr:uid="{00000000-0005-0000-0000-000046430000}"/>
    <cellStyle name="Normal 36 7 2 3 2" xfId="30154" xr:uid="{00000000-0005-0000-0000-000047430000}"/>
    <cellStyle name="Normal 36 7 2 4" xfId="22111" xr:uid="{00000000-0005-0000-0000-000048430000}"/>
    <cellStyle name="Normal 36 7 3" xfId="8279" xr:uid="{00000000-0005-0000-0000-000049430000}"/>
    <cellStyle name="Normal 36 7 3 2" xfId="17456" xr:uid="{00000000-0005-0000-0000-00004A430000}"/>
    <cellStyle name="Normal 36 7 3 2 2" xfId="34030" xr:uid="{00000000-0005-0000-0000-00004B430000}"/>
    <cellStyle name="Normal 36 7 3 3" xfId="25983" xr:uid="{00000000-0005-0000-0000-00004C430000}"/>
    <cellStyle name="Normal 36 7 4" xfId="13609" xr:uid="{00000000-0005-0000-0000-00004D430000}"/>
    <cellStyle name="Normal 36 7 4 2" xfId="30153" xr:uid="{00000000-0005-0000-0000-00004E430000}"/>
    <cellStyle name="Normal 36 7 5" xfId="22110" xr:uid="{00000000-0005-0000-0000-00004F430000}"/>
    <cellStyle name="Normal 36 8" xfId="4228" xr:uid="{00000000-0005-0000-0000-000050430000}"/>
    <cellStyle name="Normal 36 8 2" xfId="8280" xr:uid="{00000000-0005-0000-0000-000051430000}"/>
    <cellStyle name="Normal 36 8 2 2" xfId="17457" xr:uid="{00000000-0005-0000-0000-000052430000}"/>
    <cellStyle name="Normal 36 8 2 2 2" xfId="34031" xr:uid="{00000000-0005-0000-0000-000053430000}"/>
    <cellStyle name="Normal 36 8 2 3" xfId="25984" xr:uid="{00000000-0005-0000-0000-000054430000}"/>
    <cellStyle name="Normal 36 8 3" xfId="13611" xr:uid="{00000000-0005-0000-0000-000055430000}"/>
    <cellStyle name="Normal 36 8 3 2" xfId="30155" xr:uid="{00000000-0005-0000-0000-000056430000}"/>
    <cellStyle name="Normal 36 8 4" xfId="22112" xr:uid="{00000000-0005-0000-0000-000057430000}"/>
    <cellStyle name="Normal 36 9" xfId="8281" xr:uid="{00000000-0005-0000-0000-000058430000}"/>
    <cellStyle name="Normal 36 9 2" xfId="17458" xr:uid="{00000000-0005-0000-0000-000059430000}"/>
    <cellStyle name="Normal 36 9 2 2" xfId="34032" xr:uid="{00000000-0005-0000-0000-00005A430000}"/>
    <cellStyle name="Normal 36 9 3" xfId="25985" xr:uid="{00000000-0005-0000-0000-00005B430000}"/>
    <cellStyle name="Normal 37" xfId="4229" xr:uid="{00000000-0005-0000-0000-00005C430000}"/>
    <cellStyle name="Normal 37 10" xfId="13612" xr:uid="{00000000-0005-0000-0000-00005D430000}"/>
    <cellStyle name="Normal 37 10 2" xfId="30156" xr:uid="{00000000-0005-0000-0000-00005E430000}"/>
    <cellStyle name="Normal 37 11" xfId="22113" xr:uid="{00000000-0005-0000-0000-00005F430000}"/>
    <cellStyle name="Normal 37 2" xfId="4230" xr:uid="{00000000-0005-0000-0000-000060430000}"/>
    <cellStyle name="Normal 37 2 2" xfId="4231" xr:uid="{00000000-0005-0000-0000-000061430000}"/>
    <cellStyle name="Normal 37 2 3" xfId="13613" xr:uid="{00000000-0005-0000-0000-000062430000}"/>
    <cellStyle name="Normal 37 2 3 2" xfId="30157" xr:uid="{00000000-0005-0000-0000-000063430000}"/>
    <cellStyle name="Normal 37 2 4" xfId="22114" xr:uid="{00000000-0005-0000-0000-000064430000}"/>
    <cellStyle name="Normal 37 3" xfId="4232" xr:uid="{00000000-0005-0000-0000-000065430000}"/>
    <cellStyle name="Normal 37 3 2" xfId="4233" xr:uid="{00000000-0005-0000-0000-000066430000}"/>
    <cellStyle name="Normal 37 3 2 2" xfId="4234" xr:uid="{00000000-0005-0000-0000-000067430000}"/>
    <cellStyle name="Normal 37 3 2 2 2" xfId="4235" xr:uid="{00000000-0005-0000-0000-000068430000}"/>
    <cellStyle name="Normal 37 3 2 2 2 2" xfId="8282" xr:uid="{00000000-0005-0000-0000-000069430000}"/>
    <cellStyle name="Normal 37 3 2 2 2 2 2" xfId="17459" xr:uid="{00000000-0005-0000-0000-00006A430000}"/>
    <cellStyle name="Normal 37 3 2 2 2 2 2 2" xfId="34033" xr:uid="{00000000-0005-0000-0000-00006B430000}"/>
    <cellStyle name="Normal 37 3 2 2 2 2 3" xfId="25986" xr:uid="{00000000-0005-0000-0000-00006C430000}"/>
    <cellStyle name="Normal 37 3 2 2 2 3" xfId="13616" xr:uid="{00000000-0005-0000-0000-00006D430000}"/>
    <cellStyle name="Normal 37 3 2 2 2 3 2" xfId="30160" xr:uid="{00000000-0005-0000-0000-00006E430000}"/>
    <cellStyle name="Normal 37 3 2 2 2 4" xfId="22117" xr:uid="{00000000-0005-0000-0000-00006F430000}"/>
    <cellStyle name="Normal 37 3 2 2 3" xfId="8283" xr:uid="{00000000-0005-0000-0000-000070430000}"/>
    <cellStyle name="Normal 37 3 2 2 3 2" xfId="17460" xr:uid="{00000000-0005-0000-0000-000071430000}"/>
    <cellStyle name="Normal 37 3 2 2 3 2 2" xfId="34034" xr:uid="{00000000-0005-0000-0000-000072430000}"/>
    <cellStyle name="Normal 37 3 2 2 3 3" xfId="25987" xr:uid="{00000000-0005-0000-0000-000073430000}"/>
    <cellStyle name="Normal 37 3 2 2 4" xfId="13615" xr:uid="{00000000-0005-0000-0000-000074430000}"/>
    <cellStyle name="Normal 37 3 2 2 4 2" xfId="30159" xr:uid="{00000000-0005-0000-0000-000075430000}"/>
    <cellStyle name="Normal 37 3 2 2 5" xfId="22116" xr:uid="{00000000-0005-0000-0000-000076430000}"/>
    <cellStyle name="Normal 37 3 2 3" xfId="4236" xr:uid="{00000000-0005-0000-0000-000077430000}"/>
    <cellStyle name="Normal 37 3 2 3 2" xfId="8284" xr:uid="{00000000-0005-0000-0000-000078430000}"/>
    <cellStyle name="Normal 37 3 2 3 2 2" xfId="17461" xr:uid="{00000000-0005-0000-0000-000079430000}"/>
    <cellStyle name="Normal 37 3 2 3 2 2 2" xfId="34035" xr:uid="{00000000-0005-0000-0000-00007A430000}"/>
    <cellStyle name="Normal 37 3 2 3 2 3" xfId="25988" xr:uid="{00000000-0005-0000-0000-00007B430000}"/>
    <cellStyle name="Normal 37 3 2 3 3" xfId="13617" xr:uid="{00000000-0005-0000-0000-00007C430000}"/>
    <cellStyle name="Normal 37 3 2 3 3 2" xfId="30161" xr:uid="{00000000-0005-0000-0000-00007D430000}"/>
    <cellStyle name="Normal 37 3 2 3 4" xfId="22118" xr:uid="{00000000-0005-0000-0000-00007E430000}"/>
    <cellStyle name="Normal 37 3 2 4" xfId="8285" xr:uid="{00000000-0005-0000-0000-00007F430000}"/>
    <cellStyle name="Normal 37 3 2 4 2" xfId="17462" xr:uid="{00000000-0005-0000-0000-000080430000}"/>
    <cellStyle name="Normal 37 3 2 4 2 2" xfId="34036" xr:uid="{00000000-0005-0000-0000-000081430000}"/>
    <cellStyle name="Normal 37 3 2 4 3" xfId="25989" xr:uid="{00000000-0005-0000-0000-000082430000}"/>
    <cellStyle name="Normal 37 3 2 5" xfId="13614" xr:uid="{00000000-0005-0000-0000-000083430000}"/>
    <cellStyle name="Normal 37 3 2 5 2" xfId="30158" xr:uid="{00000000-0005-0000-0000-000084430000}"/>
    <cellStyle name="Normal 37 3 2 6" xfId="22115" xr:uid="{00000000-0005-0000-0000-000085430000}"/>
    <cellStyle name="Normal 37 3 3" xfId="4237" xr:uid="{00000000-0005-0000-0000-000086430000}"/>
    <cellStyle name="Normal 37 3 3 2" xfId="4238" xr:uid="{00000000-0005-0000-0000-000087430000}"/>
    <cellStyle name="Normal 37 3 3 2 2" xfId="8286" xr:uid="{00000000-0005-0000-0000-000088430000}"/>
    <cellStyle name="Normal 37 3 3 2 2 2" xfId="17463" xr:uid="{00000000-0005-0000-0000-000089430000}"/>
    <cellStyle name="Normal 37 3 3 2 2 2 2" xfId="34037" xr:uid="{00000000-0005-0000-0000-00008A430000}"/>
    <cellStyle name="Normal 37 3 3 2 2 3" xfId="25990" xr:uid="{00000000-0005-0000-0000-00008B430000}"/>
    <cellStyle name="Normal 37 3 3 2 3" xfId="13619" xr:uid="{00000000-0005-0000-0000-00008C430000}"/>
    <cellStyle name="Normal 37 3 3 2 3 2" xfId="30163" xr:uid="{00000000-0005-0000-0000-00008D430000}"/>
    <cellStyle name="Normal 37 3 3 2 4" xfId="22120" xr:uid="{00000000-0005-0000-0000-00008E430000}"/>
    <cellStyle name="Normal 37 3 3 3" xfId="8287" xr:uid="{00000000-0005-0000-0000-00008F430000}"/>
    <cellStyle name="Normal 37 3 3 3 2" xfId="17464" xr:uid="{00000000-0005-0000-0000-000090430000}"/>
    <cellStyle name="Normal 37 3 3 3 2 2" xfId="34038" xr:uid="{00000000-0005-0000-0000-000091430000}"/>
    <cellStyle name="Normal 37 3 3 3 3" xfId="25991" xr:uid="{00000000-0005-0000-0000-000092430000}"/>
    <cellStyle name="Normal 37 3 3 4" xfId="13618" xr:uid="{00000000-0005-0000-0000-000093430000}"/>
    <cellStyle name="Normal 37 3 3 4 2" xfId="30162" xr:uid="{00000000-0005-0000-0000-000094430000}"/>
    <cellStyle name="Normal 37 3 3 5" xfId="22119" xr:uid="{00000000-0005-0000-0000-000095430000}"/>
    <cellStyle name="Normal 37 3 4" xfId="4239" xr:uid="{00000000-0005-0000-0000-000096430000}"/>
    <cellStyle name="Normal 37 3 4 2" xfId="8288" xr:uid="{00000000-0005-0000-0000-000097430000}"/>
    <cellStyle name="Normal 37 3 4 2 2" xfId="17465" xr:uid="{00000000-0005-0000-0000-000098430000}"/>
    <cellStyle name="Normal 37 3 4 2 2 2" xfId="34039" xr:uid="{00000000-0005-0000-0000-000099430000}"/>
    <cellStyle name="Normal 37 3 4 2 3" xfId="25992" xr:uid="{00000000-0005-0000-0000-00009A430000}"/>
    <cellStyle name="Normal 37 3 4 3" xfId="13620" xr:uid="{00000000-0005-0000-0000-00009B430000}"/>
    <cellStyle name="Normal 37 3 4 3 2" xfId="30164" xr:uid="{00000000-0005-0000-0000-00009C430000}"/>
    <cellStyle name="Normal 37 3 4 4" xfId="22121" xr:uid="{00000000-0005-0000-0000-00009D430000}"/>
    <cellStyle name="Normal 37 3 5" xfId="4240" xr:uid="{00000000-0005-0000-0000-00009E430000}"/>
    <cellStyle name="Normal 37 3 5 2" xfId="13621" xr:uid="{00000000-0005-0000-0000-00009F430000}"/>
    <cellStyle name="Normal 37 3 5 2 2" xfId="30165" xr:uid="{00000000-0005-0000-0000-0000A0430000}"/>
    <cellStyle name="Normal 37 3 5 3" xfId="22122" xr:uid="{00000000-0005-0000-0000-0000A1430000}"/>
    <cellStyle name="Normal 37 4" xfId="4241" xr:uid="{00000000-0005-0000-0000-0000A2430000}"/>
    <cellStyle name="Normal 37 4 2" xfId="4242" xr:uid="{00000000-0005-0000-0000-0000A3430000}"/>
    <cellStyle name="Normal 37 4 2 2" xfId="4243" xr:uid="{00000000-0005-0000-0000-0000A4430000}"/>
    <cellStyle name="Normal 37 4 2 2 2" xfId="4244" xr:uid="{00000000-0005-0000-0000-0000A5430000}"/>
    <cellStyle name="Normal 37 4 2 2 2 2" xfId="8289" xr:uid="{00000000-0005-0000-0000-0000A6430000}"/>
    <cellStyle name="Normal 37 4 2 2 2 2 2" xfId="17466" xr:uid="{00000000-0005-0000-0000-0000A7430000}"/>
    <cellStyle name="Normal 37 4 2 2 2 2 2 2" xfId="34040" xr:uid="{00000000-0005-0000-0000-0000A8430000}"/>
    <cellStyle name="Normal 37 4 2 2 2 2 3" xfId="25993" xr:uid="{00000000-0005-0000-0000-0000A9430000}"/>
    <cellStyle name="Normal 37 4 2 2 2 3" xfId="13625" xr:uid="{00000000-0005-0000-0000-0000AA430000}"/>
    <cellStyle name="Normal 37 4 2 2 2 3 2" xfId="30169" xr:uid="{00000000-0005-0000-0000-0000AB430000}"/>
    <cellStyle name="Normal 37 4 2 2 2 4" xfId="22126" xr:uid="{00000000-0005-0000-0000-0000AC430000}"/>
    <cellStyle name="Normal 37 4 2 2 3" xfId="8290" xr:uid="{00000000-0005-0000-0000-0000AD430000}"/>
    <cellStyle name="Normal 37 4 2 2 3 2" xfId="17467" xr:uid="{00000000-0005-0000-0000-0000AE430000}"/>
    <cellStyle name="Normal 37 4 2 2 3 2 2" xfId="34041" xr:uid="{00000000-0005-0000-0000-0000AF430000}"/>
    <cellStyle name="Normal 37 4 2 2 3 3" xfId="25994" xr:uid="{00000000-0005-0000-0000-0000B0430000}"/>
    <cellStyle name="Normal 37 4 2 2 4" xfId="13624" xr:uid="{00000000-0005-0000-0000-0000B1430000}"/>
    <cellStyle name="Normal 37 4 2 2 4 2" xfId="30168" xr:uid="{00000000-0005-0000-0000-0000B2430000}"/>
    <cellStyle name="Normal 37 4 2 2 5" xfId="22125" xr:uid="{00000000-0005-0000-0000-0000B3430000}"/>
    <cellStyle name="Normal 37 4 2 3" xfId="4245" xr:uid="{00000000-0005-0000-0000-0000B4430000}"/>
    <cellStyle name="Normal 37 4 2 3 2" xfId="8291" xr:uid="{00000000-0005-0000-0000-0000B5430000}"/>
    <cellStyle name="Normal 37 4 2 3 2 2" xfId="17468" xr:uid="{00000000-0005-0000-0000-0000B6430000}"/>
    <cellStyle name="Normal 37 4 2 3 2 2 2" xfId="34042" xr:uid="{00000000-0005-0000-0000-0000B7430000}"/>
    <cellStyle name="Normal 37 4 2 3 2 3" xfId="25995" xr:uid="{00000000-0005-0000-0000-0000B8430000}"/>
    <cellStyle name="Normal 37 4 2 3 3" xfId="13626" xr:uid="{00000000-0005-0000-0000-0000B9430000}"/>
    <cellStyle name="Normal 37 4 2 3 3 2" xfId="30170" xr:uid="{00000000-0005-0000-0000-0000BA430000}"/>
    <cellStyle name="Normal 37 4 2 3 4" xfId="22127" xr:uid="{00000000-0005-0000-0000-0000BB430000}"/>
    <cellStyle name="Normal 37 4 2 4" xfId="8292" xr:uid="{00000000-0005-0000-0000-0000BC430000}"/>
    <cellStyle name="Normal 37 4 2 4 2" xfId="17469" xr:uid="{00000000-0005-0000-0000-0000BD430000}"/>
    <cellStyle name="Normal 37 4 2 4 2 2" xfId="34043" xr:uid="{00000000-0005-0000-0000-0000BE430000}"/>
    <cellStyle name="Normal 37 4 2 4 3" xfId="25996" xr:uid="{00000000-0005-0000-0000-0000BF430000}"/>
    <cellStyle name="Normal 37 4 2 5" xfId="13623" xr:uid="{00000000-0005-0000-0000-0000C0430000}"/>
    <cellStyle name="Normal 37 4 2 5 2" xfId="30167" xr:uid="{00000000-0005-0000-0000-0000C1430000}"/>
    <cellStyle name="Normal 37 4 2 6" xfId="22124" xr:uid="{00000000-0005-0000-0000-0000C2430000}"/>
    <cellStyle name="Normal 37 4 3" xfId="4246" xr:uid="{00000000-0005-0000-0000-0000C3430000}"/>
    <cellStyle name="Normal 37 4 3 2" xfId="4247" xr:uid="{00000000-0005-0000-0000-0000C4430000}"/>
    <cellStyle name="Normal 37 4 3 2 2" xfId="8293" xr:uid="{00000000-0005-0000-0000-0000C5430000}"/>
    <cellStyle name="Normal 37 4 3 2 2 2" xfId="17470" xr:uid="{00000000-0005-0000-0000-0000C6430000}"/>
    <cellStyle name="Normal 37 4 3 2 2 2 2" xfId="34044" xr:uid="{00000000-0005-0000-0000-0000C7430000}"/>
    <cellStyle name="Normal 37 4 3 2 2 3" xfId="25997" xr:uid="{00000000-0005-0000-0000-0000C8430000}"/>
    <cellStyle name="Normal 37 4 3 2 3" xfId="13628" xr:uid="{00000000-0005-0000-0000-0000C9430000}"/>
    <cellStyle name="Normal 37 4 3 2 3 2" xfId="30172" xr:uid="{00000000-0005-0000-0000-0000CA430000}"/>
    <cellStyle name="Normal 37 4 3 2 4" xfId="22129" xr:uid="{00000000-0005-0000-0000-0000CB430000}"/>
    <cellStyle name="Normal 37 4 3 3" xfId="8294" xr:uid="{00000000-0005-0000-0000-0000CC430000}"/>
    <cellStyle name="Normal 37 4 3 3 2" xfId="17471" xr:uid="{00000000-0005-0000-0000-0000CD430000}"/>
    <cellStyle name="Normal 37 4 3 3 2 2" xfId="34045" xr:uid="{00000000-0005-0000-0000-0000CE430000}"/>
    <cellStyle name="Normal 37 4 3 3 3" xfId="25998" xr:uid="{00000000-0005-0000-0000-0000CF430000}"/>
    <cellStyle name="Normal 37 4 3 4" xfId="13627" xr:uid="{00000000-0005-0000-0000-0000D0430000}"/>
    <cellStyle name="Normal 37 4 3 4 2" xfId="30171" xr:uid="{00000000-0005-0000-0000-0000D1430000}"/>
    <cellStyle name="Normal 37 4 3 5" xfId="22128" xr:uid="{00000000-0005-0000-0000-0000D2430000}"/>
    <cellStyle name="Normal 37 4 4" xfId="4248" xr:uid="{00000000-0005-0000-0000-0000D3430000}"/>
    <cellStyle name="Normal 37 4 4 2" xfId="8295" xr:uid="{00000000-0005-0000-0000-0000D4430000}"/>
    <cellStyle name="Normal 37 4 4 2 2" xfId="17472" xr:uid="{00000000-0005-0000-0000-0000D5430000}"/>
    <cellStyle name="Normal 37 4 4 2 2 2" xfId="34046" xr:uid="{00000000-0005-0000-0000-0000D6430000}"/>
    <cellStyle name="Normal 37 4 4 2 3" xfId="25999" xr:uid="{00000000-0005-0000-0000-0000D7430000}"/>
    <cellStyle name="Normal 37 4 4 3" xfId="13629" xr:uid="{00000000-0005-0000-0000-0000D8430000}"/>
    <cellStyle name="Normal 37 4 4 3 2" xfId="30173" xr:uid="{00000000-0005-0000-0000-0000D9430000}"/>
    <cellStyle name="Normal 37 4 4 4" xfId="22130" xr:uid="{00000000-0005-0000-0000-0000DA430000}"/>
    <cellStyle name="Normal 37 4 5" xfId="8296" xr:uid="{00000000-0005-0000-0000-0000DB430000}"/>
    <cellStyle name="Normal 37 4 5 2" xfId="17473" xr:uid="{00000000-0005-0000-0000-0000DC430000}"/>
    <cellStyle name="Normal 37 4 5 2 2" xfId="34047" xr:uid="{00000000-0005-0000-0000-0000DD430000}"/>
    <cellStyle name="Normal 37 4 5 3" xfId="26000" xr:uid="{00000000-0005-0000-0000-0000DE430000}"/>
    <cellStyle name="Normal 37 4 6" xfId="13622" xr:uid="{00000000-0005-0000-0000-0000DF430000}"/>
    <cellStyle name="Normal 37 4 6 2" xfId="30166" xr:uid="{00000000-0005-0000-0000-0000E0430000}"/>
    <cellStyle name="Normal 37 4 7" xfId="22123" xr:uid="{00000000-0005-0000-0000-0000E1430000}"/>
    <cellStyle name="Normal 37 5" xfId="4249" xr:uid="{00000000-0005-0000-0000-0000E2430000}"/>
    <cellStyle name="Normal 37 5 2" xfId="4250" xr:uid="{00000000-0005-0000-0000-0000E3430000}"/>
    <cellStyle name="Normal 37 5 2 2" xfId="4251" xr:uid="{00000000-0005-0000-0000-0000E4430000}"/>
    <cellStyle name="Normal 37 5 2 2 2" xfId="4252" xr:uid="{00000000-0005-0000-0000-0000E5430000}"/>
    <cellStyle name="Normal 37 5 2 2 2 2" xfId="8297" xr:uid="{00000000-0005-0000-0000-0000E6430000}"/>
    <cellStyle name="Normal 37 5 2 2 2 2 2" xfId="17474" xr:uid="{00000000-0005-0000-0000-0000E7430000}"/>
    <cellStyle name="Normal 37 5 2 2 2 2 2 2" xfId="34048" xr:uid="{00000000-0005-0000-0000-0000E8430000}"/>
    <cellStyle name="Normal 37 5 2 2 2 2 3" xfId="26001" xr:uid="{00000000-0005-0000-0000-0000E9430000}"/>
    <cellStyle name="Normal 37 5 2 2 2 3" xfId="13633" xr:uid="{00000000-0005-0000-0000-0000EA430000}"/>
    <cellStyle name="Normal 37 5 2 2 2 3 2" xfId="30177" xr:uid="{00000000-0005-0000-0000-0000EB430000}"/>
    <cellStyle name="Normal 37 5 2 2 2 4" xfId="22134" xr:uid="{00000000-0005-0000-0000-0000EC430000}"/>
    <cellStyle name="Normal 37 5 2 2 3" xfId="8298" xr:uid="{00000000-0005-0000-0000-0000ED430000}"/>
    <cellStyle name="Normal 37 5 2 2 3 2" xfId="17475" xr:uid="{00000000-0005-0000-0000-0000EE430000}"/>
    <cellStyle name="Normal 37 5 2 2 3 2 2" xfId="34049" xr:uid="{00000000-0005-0000-0000-0000EF430000}"/>
    <cellStyle name="Normal 37 5 2 2 3 3" xfId="26002" xr:uid="{00000000-0005-0000-0000-0000F0430000}"/>
    <cellStyle name="Normal 37 5 2 2 4" xfId="13632" xr:uid="{00000000-0005-0000-0000-0000F1430000}"/>
    <cellStyle name="Normal 37 5 2 2 4 2" xfId="30176" xr:uid="{00000000-0005-0000-0000-0000F2430000}"/>
    <cellStyle name="Normal 37 5 2 2 5" xfId="22133" xr:uid="{00000000-0005-0000-0000-0000F3430000}"/>
    <cellStyle name="Normal 37 5 2 3" xfId="4253" xr:uid="{00000000-0005-0000-0000-0000F4430000}"/>
    <cellStyle name="Normal 37 5 2 3 2" xfId="8299" xr:uid="{00000000-0005-0000-0000-0000F5430000}"/>
    <cellStyle name="Normal 37 5 2 3 2 2" xfId="17476" xr:uid="{00000000-0005-0000-0000-0000F6430000}"/>
    <cellStyle name="Normal 37 5 2 3 2 2 2" xfId="34050" xr:uid="{00000000-0005-0000-0000-0000F7430000}"/>
    <cellStyle name="Normal 37 5 2 3 2 3" xfId="26003" xr:uid="{00000000-0005-0000-0000-0000F8430000}"/>
    <cellStyle name="Normal 37 5 2 3 3" xfId="13634" xr:uid="{00000000-0005-0000-0000-0000F9430000}"/>
    <cellStyle name="Normal 37 5 2 3 3 2" xfId="30178" xr:uid="{00000000-0005-0000-0000-0000FA430000}"/>
    <cellStyle name="Normal 37 5 2 3 4" xfId="22135" xr:uid="{00000000-0005-0000-0000-0000FB430000}"/>
    <cellStyle name="Normal 37 5 2 4" xfId="8300" xr:uid="{00000000-0005-0000-0000-0000FC430000}"/>
    <cellStyle name="Normal 37 5 2 4 2" xfId="17477" xr:uid="{00000000-0005-0000-0000-0000FD430000}"/>
    <cellStyle name="Normal 37 5 2 4 2 2" xfId="34051" xr:uid="{00000000-0005-0000-0000-0000FE430000}"/>
    <cellStyle name="Normal 37 5 2 4 3" xfId="26004" xr:uid="{00000000-0005-0000-0000-0000FF430000}"/>
    <cellStyle name="Normal 37 5 2 5" xfId="13631" xr:uid="{00000000-0005-0000-0000-000000440000}"/>
    <cellStyle name="Normal 37 5 2 5 2" xfId="30175" xr:uid="{00000000-0005-0000-0000-000001440000}"/>
    <cellStyle name="Normal 37 5 2 6" xfId="22132" xr:uid="{00000000-0005-0000-0000-000002440000}"/>
    <cellStyle name="Normal 37 5 3" xfId="4254" xr:uid="{00000000-0005-0000-0000-000003440000}"/>
    <cellStyle name="Normal 37 5 3 2" xfId="4255" xr:uid="{00000000-0005-0000-0000-000004440000}"/>
    <cellStyle name="Normal 37 5 3 2 2" xfId="8301" xr:uid="{00000000-0005-0000-0000-000005440000}"/>
    <cellStyle name="Normal 37 5 3 2 2 2" xfId="17478" xr:uid="{00000000-0005-0000-0000-000006440000}"/>
    <cellStyle name="Normal 37 5 3 2 2 2 2" xfId="34052" xr:uid="{00000000-0005-0000-0000-000007440000}"/>
    <cellStyle name="Normal 37 5 3 2 2 3" xfId="26005" xr:uid="{00000000-0005-0000-0000-000008440000}"/>
    <cellStyle name="Normal 37 5 3 2 3" xfId="13636" xr:uid="{00000000-0005-0000-0000-000009440000}"/>
    <cellStyle name="Normal 37 5 3 2 3 2" xfId="30180" xr:uid="{00000000-0005-0000-0000-00000A440000}"/>
    <cellStyle name="Normal 37 5 3 2 4" xfId="22137" xr:uid="{00000000-0005-0000-0000-00000B440000}"/>
    <cellStyle name="Normal 37 5 3 3" xfId="8302" xr:uid="{00000000-0005-0000-0000-00000C440000}"/>
    <cellStyle name="Normal 37 5 3 3 2" xfId="17479" xr:uid="{00000000-0005-0000-0000-00000D440000}"/>
    <cellStyle name="Normal 37 5 3 3 2 2" xfId="34053" xr:uid="{00000000-0005-0000-0000-00000E440000}"/>
    <cellStyle name="Normal 37 5 3 3 3" xfId="26006" xr:uid="{00000000-0005-0000-0000-00000F440000}"/>
    <cellStyle name="Normal 37 5 3 4" xfId="13635" xr:uid="{00000000-0005-0000-0000-000010440000}"/>
    <cellStyle name="Normal 37 5 3 4 2" xfId="30179" xr:uid="{00000000-0005-0000-0000-000011440000}"/>
    <cellStyle name="Normal 37 5 3 5" xfId="22136" xr:uid="{00000000-0005-0000-0000-000012440000}"/>
    <cellStyle name="Normal 37 5 4" xfId="4256" xr:uid="{00000000-0005-0000-0000-000013440000}"/>
    <cellStyle name="Normal 37 5 4 2" xfId="8303" xr:uid="{00000000-0005-0000-0000-000014440000}"/>
    <cellStyle name="Normal 37 5 4 2 2" xfId="17480" xr:uid="{00000000-0005-0000-0000-000015440000}"/>
    <cellStyle name="Normal 37 5 4 2 2 2" xfId="34054" xr:uid="{00000000-0005-0000-0000-000016440000}"/>
    <cellStyle name="Normal 37 5 4 2 3" xfId="26007" xr:uid="{00000000-0005-0000-0000-000017440000}"/>
    <cellStyle name="Normal 37 5 4 3" xfId="13637" xr:uid="{00000000-0005-0000-0000-000018440000}"/>
    <cellStyle name="Normal 37 5 4 3 2" xfId="30181" xr:uid="{00000000-0005-0000-0000-000019440000}"/>
    <cellStyle name="Normal 37 5 4 4" xfId="22138" xr:uid="{00000000-0005-0000-0000-00001A440000}"/>
    <cellStyle name="Normal 37 5 5" xfId="8304" xr:uid="{00000000-0005-0000-0000-00001B440000}"/>
    <cellStyle name="Normal 37 5 5 2" xfId="17481" xr:uid="{00000000-0005-0000-0000-00001C440000}"/>
    <cellStyle name="Normal 37 5 5 2 2" xfId="34055" xr:uid="{00000000-0005-0000-0000-00001D440000}"/>
    <cellStyle name="Normal 37 5 5 3" xfId="26008" xr:uid="{00000000-0005-0000-0000-00001E440000}"/>
    <cellStyle name="Normal 37 5 6" xfId="13630" xr:uid="{00000000-0005-0000-0000-00001F440000}"/>
    <cellStyle name="Normal 37 5 6 2" xfId="30174" xr:uid="{00000000-0005-0000-0000-000020440000}"/>
    <cellStyle name="Normal 37 5 7" xfId="22131" xr:uid="{00000000-0005-0000-0000-000021440000}"/>
    <cellStyle name="Normal 37 6" xfId="4257" xr:uid="{00000000-0005-0000-0000-000022440000}"/>
    <cellStyle name="Normal 37 6 2" xfId="4258" xr:uid="{00000000-0005-0000-0000-000023440000}"/>
    <cellStyle name="Normal 37 6 2 2" xfId="4259" xr:uid="{00000000-0005-0000-0000-000024440000}"/>
    <cellStyle name="Normal 37 6 2 2 2" xfId="8305" xr:uid="{00000000-0005-0000-0000-000025440000}"/>
    <cellStyle name="Normal 37 6 2 2 2 2" xfId="17482" xr:uid="{00000000-0005-0000-0000-000026440000}"/>
    <cellStyle name="Normal 37 6 2 2 2 2 2" xfId="34056" xr:uid="{00000000-0005-0000-0000-000027440000}"/>
    <cellStyle name="Normal 37 6 2 2 2 3" xfId="26009" xr:uid="{00000000-0005-0000-0000-000028440000}"/>
    <cellStyle name="Normal 37 6 2 2 3" xfId="13640" xr:uid="{00000000-0005-0000-0000-000029440000}"/>
    <cellStyle name="Normal 37 6 2 2 3 2" xfId="30184" xr:uid="{00000000-0005-0000-0000-00002A440000}"/>
    <cellStyle name="Normal 37 6 2 2 4" xfId="22141" xr:uid="{00000000-0005-0000-0000-00002B440000}"/>
    <cellStyle name="Normal 37 6 2 3" xfId="8306" xr:uid="{00000000-0005-0000-0000-00002C440000}"/>
    <cellStyle name="Normal 37 6 2 3 2" xfId="17483" xr:uid="{00000000-0005-0000-0000-00002D440000}"/>
    <cellStyle name="Normal 37 6 2 3 2 2" xfId="34057" xr:uid="{00000000-0005-0000-0000-00002E440000}"/>
    <cellStyle name="Normal 37 6 2 3 3" xfId="26010" xr:uid="{00000000-0005-0000-0000-00002F440000}"/>
    <cellStyle name="Normal 37 6 2 4" xfId="13639" xr:uid="{00000000-0005-0000-0000-000030440000}"/>
    <cellStyle name="Normal 37 6 2 4 2" xfId="30183" xr:uid="{00000000-0005-0000-0000-000031440000}"/>
    <cellStyle name="Normal 37 6 2 5" xfId="22140" xr:uid="{00000000-0005-0000-0000-000032440000}"/>
    <cellStyle name="Normal 37 6 3" xfId="4260" xr:uid="{00000000-0005-0000-0000-000033440000}"/>
    <cellStyle name="Normal 37 6 3 2" xfId="8307" xr:uid="{00000000-0005-0000-0000-000034440000}"/>
    <cellStyle name="Normal 37 6 3 2 2" xfId="17484" xr:uid="{00000000-0005-0000-0000-000035440000}"/>
    <cellStyle name="Normal 37 6 3 2 2 2" xfId="34058" xr:uid="{00000000-0005-0000-0000-000036440000}"/>
    <cellStyle name="Normal 37 6 3 2 3" xfId="26011" xr:uid="{00000000-0005-0000-0000-000037440000}"/>
    <cellStyle name="Normal 37 6 3 3" xfId="13641" xr:uid="{00000000-0005-0000-0000-000038440000}"/>
    <cellStyle name="Normal 37 6 3 3 2" xfId="30185" xr:uid="{00000000-0005-0000-0000-000039440000}"/>
    <cellStyle name="Normal 37 6 3 4" xfId="22142" xr:uid="{00000000-0005-0000-0000-00003A440000}"/>
    <cellStyle name="Normal 37 6 4" xfId="8308" xr:uid="{00000000-0005-0000-0000-00003B440000}"/>
    <cellStyle name="Normal 37 6 4 2" xfId="17485" xr:uid="{00000000-0005-0000-0000-00003C440000}"/>
    <cellStyle name="Normal 37 6 4 2 2" xfId="34059" xr:uid="{00000000-0005-0000-0000-00003D440000}"/>
    <cellStyle name="Normal 37 6 4 3" xfId="26012" xr:uid="{00000000-0005-0000-0000-00003E440000}"/>
    <cellStyle name="Normal 37 6 5" xfId="13638" xr:uid="{00000000-0005-0000-0000-00003F440000}"/>
    <cellStyle name="Normal 37 6 5 2" xfId="30182" xr:uid="{00000000-0005-0000-0000-000040440000}"/>
    <cellStyle name="Normal 37 6 6" xfId="22139" xr:uid="{00000000-0005-0000-0000-000041440000}"/>
    <cellStyle name="Normal 37 7" xfId="4261" xr:uid="{00000000-0005-0000-0000-000042440000}"/>
    <cellStyle name="Normal 37 7 2" xfId="4262" xr:uid="{00000000-0005-0000-0000-000043440000}"/>
    <cellStyle name="Normal 37 7 2 2" xfId="8309" xr:uid="{00000000-0005-0000-0000-000044440000}"/>
    <cellStyle name="Normal 37 7 2 2 2" xfId="17486" xr:uid="{00000000-0005-0000-0000-000045440000}"/>
    <cellStyle name="Normal 37 7 2 2 2 2" xfId="34060" xr:uid="{00000000-0005-0000-0000-000046440000}"/>
    <cellStyle name="Normal 37 7 2 2 3" xfId="26013" xr:uid="{00000000-0005-0000-0000-000047440000}"/>
    <cellStyle name="Normal 37 7 2 3" xfId="13643" xr:uid="{00000000-0005-0000-0000-000048440000}"/>
    <cellStyle name="Normal 37 7 2 3 2" xfId="30187" xr:uid="{00000000-0005-0000-0000-000049440000}"/>
    <cellStyle name="Normal 37 7 2 4" xfId="22144" xr:uid="{00000000-0005-0000-0000-00004A440000}"/>
    <cellStyle name="Normal 37 7 3" xfId="8310" xr:uid="{00000000-0005-0000-0000-00004B440000}"/>
    <cellStyle name="Normal 37 7 3 2" xfId="17487" xr:uid="{00000000-0005-0000-0000-00004C440000}"/>
    <cellStyle name="Normal 37 7 3 2 2" xfId="34061" xr:uid="{00000000-0005-0000-0000-00004D440000}"/>
    <cellStyle name="Normal 37 7 3 3" xfId="26014" xr:uid="{00000000-0005-0000-0000-00004E440000}"/>
    <cellStyle name="Normal 37 7 4" xfId="13642" xr:uid="{00000000-0005-0000-0000-00004F440000}"/>
    <cellStyle name="Normal 37 7 4 2" xfId="30186" xr:uid="{00000000-0005-0000-0000-000050440000}"/>
    <cellStyle name="Normal 37 7 5" xfId="22143" xr:uid="{00000000-0005-0000-0000-000051440000}"/>
    <cellStyle name="Normal 37 8" xfId="4263" xr:uid="{00000000-0005-0000-0000-000052440000}"/>
    <cellStyle name="Normal 37 8 2" xfId="8311" xr:uid="{00000000-0005-0000-0000-000053440000}"/>
    <cellStyle name="Normal 37 8 2 2" xfId="17488" xr:uid="{00000000-0005-0000-0000-000054440000}"/>
    <cellStyle name="Normal 37 8 2 2 2" xfId="34062" xr:uid="{00000000-0005-0000-0000-000055440000}"/>
    <cellStyle name="Normal 37 8 2 3" xfId="26015" xr:uid="{00000000-0005-0000-0000-000056440000}"/>
    <cellStyle name="Normal 37 8 3" xfId="13644" xr:uid="{00000000-0005-0000-0000-000057440000}"/>
    <cellStyle name="Normal 37 8 3 2" xfId="30188" xr:uid="{00000000-0005-0000-0000-000058440000}"/>
    <cellStyle name="Normal 37 8 4" xfId="22145" xr:uid="{00000000-0005-0000-0000-000059440000}"/>
    <cellStyle name="Normal 37 9" xfId="8312" xr:uid="{00000000-0005-0000-0000-00005A440000}"/>
    <cellStyle name="Normal 37 9 2" xfId="17489" xr:uid="{00000000-0005-0000-0000-00005B440000}"/>
    <cellStyle name="Normal 37 9 2 2" xfId="34063" xr:uid="{00000000-0005-0000-0000-00005C440000}"/>
    <cellStyle name="Normal 37 9 3" xfId="26016" xr:uid="{00000000-0005-0000-0000-00005D440000}"/>
    <cellStyle name="Normal 38" xfId="4264" xr:uid="{00000000-0005-0000-0000-00005E440000}"/>
    <cellStyle name="Normal 38 10" xfId="13645" xr:uid="{00000000-0005-0000-0000-00005F440000}"/>
    <cellStyle name="Normal 38 10 2" xfId="30189" xr:uid="{00000000-0005-0000-0000-000060440000}"/>
    <cellStyle name="Normal 38 11" xfId="22146" xr:uid="{00000000-0005-0000-0000-000061440000}"/>
    <cellStyle name="Normal 38 2" xfId="4265" xr:uid="{00000000-0005-0000-0000-000062440000}"/>
    <cellStyle name="Normal 38 2 2" xfId="4266" xr:uid="{00000000-0005-0000-0000-000063440000}"/>
    <cellStyle name="Normal 38 2 3" xfId="13646" xr:uid="{00000000-0005-0000-0000-000064440000}"/>
    <cellStyle name="Normal 38 2 3 2" xfId="30190" xr:uid="{00000000-0005-0000-0000-000065440000}"/>
    <cellStyle name="Normal 38 2 4" xfId="22147" xr:uid="{00000000-0005-0000-0000-000066440000}"/>
    <cellStyle name="Normal 38 3" xfId="4267" xr:uid="{00000000-0005-0000-0000-000067440000}"/>
    <cellStyle name="Normal 38 3 2" xfId="4268" xr:uid="{00000000-0005-0000-0000-000068440000}"/>
    <cellStyle name="Normal 38 3 2 2" xfId="4269" xr:uid="{00000000-0005-0000-0000-000069440000}"/>
    <cellStyle name="Normal 38 3 2 2 2" xfId="4270" xr:uid="{00000000-0005-0000-0000-00006A440000}"/>
    <cellStyle name="Normal 38 3 2 2 2 2" xfId="8313" xr:uid="{00000000-0005-0000-0000-00006B440000}"/>
    <cellStyle name="Normal 38 3 2 2 2 2 2" xfId="17490" xr:uid="{00000000-0005-0000-0000-00006C440000}"/>
    <cellStyle name="Normal 38 3 2 2 2 2 2 2" xfId="34064" xr:uid="{00000000-0005-0000-0000-00006D440000}"/>
    <cellStyle name="Normal 38 3 2 2 2 2 3" xfId="26017" xr:uid="{00000000-0005-0000-0000-00006E440000}"/>
    <cellStyle name="Normal 38 3 2 2 2 3" xfId="13649" xr:uid="{00000000-0005-0000-0000-00006F440000}"/>
    <cellStyle name="Normal 38 3 2 2 2 3 2" xfId="30193" xr:uid="{00000000-0005-0000-0000-000070440000}"/>
    <cellStyle name="Normal 38 3 2 2 2 4" xfId="22150" xr:uid="{00000000-0005-0000-0000-000071440000}"/>
    <cellStyle name="Normal 38 3 2 2 3" xfId="8314" xr:uid="{00000000-0005-0000-0000-000072440000}"/>
    <cellStyle name="Normal 38 3 2 2 3 2" xfId="17491" xr:uid="{00000000-0005-0000-0000-000073440000}"/>
    <cellStyle name="Normal 38 3 2 2 3 2 2" xfId="34065" xr:uid="{00000000-0005-0000-0000-000074440000}"/>
    <cellStyle name="Normal 38 3 2 2 3 3" xfId="26018" xr:uid="{00000000-0005-0000-0000-000075440000}"/>
    <cellStyle name="Normal 38 3 2 2 4" xfId="13648" xr:uid="{00000000-0005-0000-0000-000076440000}"/>
    <cellStyle name="Normal 38 3 2 2 4 2" xfId="30192" xr:uid="{00000000-0005-0000-0000-000077440000}"/>
    <cellStyle name="Normal 38 3 2 2 5" xfId="22149" xr:uid="{00000000-0005-0000-0000-000078440000}"/>
    <cellStyle name="Normal 38 3 2 3" xfId="4271" xr:uid="{00000000-0005-0000-0000-000079440000}"/>
    <cellStyle name="Normal 38 3 2 3 2" xfId="8315" xr:uid="{00000000-0005-0000-0000-00007A440000}"/>
    <cellStyle name="Normal 38 3 2 3 2 2" xfId="17492" xr:uid="{00000000-0005-0000-0000-00007B440000}"/>
    <cellStyle name="Normal 38 3 2 3 2 2 2" xfId="34066" xr:uid="{00000000-0005-0000-0000-00007C440000}"/>
    <cellStyle name="Normal 38 3 2 3 2 3" xfId="26019" xr:uid="{00000000-0005-0000-0000-00007D440000}"/>
    <cellStyle name="Normal 38 3 2 3 3" xfId="13650" xr:uid="{00000000-0005-0000-0000-00007E440000}"/>
    <cellStyle name="Normal 38 3 2 3 3 2" xfId="30194" xr:uid="{00000000-0005-0000-0000-00007F440000}"/>
    <cellStyle name="Normal 38 3 2 3 4" xfId="22151" xr:uid="{00000000-0005-0000-0000-000080440000}"/>
    <cellStyle name="Normal 38 3 2 4" xfId="8316" xr:uid="{00000000-0005-0000-0000-000081440000}"/>
    <cellStyle name="Normal 38 3 2 4 2" xfId="17493" xr:uid="{00000000-0005-0000-0000-000082440000}"/>
    <cellStyle name="Normal 38 3 2 4 2 2" xfId="34067" xr:uid="{00000000-0005-0000-0000-000083440000}"/>
    <cellStyle name="Normal 38 3 2 4 3" xfId="26020" xr:uid="{00000000-0005-0000-0000-000084440000}"/>
    <cellStyle name="Normal 38 3 2 5" xfId="13647" xr:uid="{00000000-0005-0000-0000-000085440000}"/>
    <cellStyle name="Normal 38 3 2 5 2" xfId="30191" xr:uid="{00000000-0005-0000-0000-000086440000}"/>
    <cellStyle name="Normal 38 3 2 6" xfId="22148" xr:uid="{00000000-0005-0000-0000-000087440000}"/>
    <cellStyle name="Normal 38 3 3" xfId="4272" xr:uid="{00000000-0005-0000-0000-000088440000}"/>
    <cellStyle name="Normal 38 3 3 2" xfId="4273" xr:uid="{00000000-0005-0000-0000-000089440000}"/>
    <cellStyle name="Normal 38 3 3 2 2" xfId="8317" xr:uid="{00000000-0005-0000-0000-00008A440000}"/>
    <cellStyle name="Normal 38 3 3 2 2 2" xfId="17494" xr:uid="{00000000-0005-0000-0000-00008B440000}"/>
    <cellStyle name="Normal 38 3 3 2 2 2 2" xfId="34068" xr:uid="{00000000-0005-0000-0000-00008C440000}"/>
    <cellStyle name="Normal 38 3 3 2 2 3" xfId="26021" xr:uid="{00000000-0005-0000-0000-00008D440000}"/>
    <cellStyle name="Normal 38 3 3 2 3" xfId="13652" xr:uid="{00000000-0005-0000-0000-00008E440000}"/>
    <cellStyle name="Normal 38 3 3 2 3 2" xfId="30196" xr:uid="{00000000-0005-0000-0000-00008F440000}"/>
    <cellStyle name="Normal 38 3 3 2 4" xfId="22153" xr:uid="{00000000-0005-0000-0000-000090440000}"/>
    <cellStyle name="Normal 38 3 3 3" xfId="8318" xr:uid="{00000000-0005-0000-0000-000091440000}"/>
    <cellStyle name="Normal 38 3 3 3 2" xfId="17495" xr:uid="{00000000-0005-0000-0000-000092440000}"/>
    <cellStyle name="Normal 38 3 3 3 2 2" xfId="34069" xr:uid="{00000000-0005-0000-0000-000093440000}"/>
    <cellStyle name="Normal 38 3 3 3 3" xfId="26022" xr:uid="{00000000-0005-0000-0000-000094440000}"/>
    <cellStyle name="Normal 38 3 3 4" xfId="13651" xr:uid="{00000000-0005-0000-0000-000095440000}"/>
    <cellStyle name="Normal 38 3 3 4 2" xfId="30195" xr:uid="{00000000-0005-0000-0000-000096440000}"/>
    <cellStyle name="Normal 38 3 3 5" xfId="22152" xr:uid="{00000000-0005-0000-0000-000097440000}"/>
    <cellStyle name="Normal 38 3 4" xfId="4274" xr:uid="{00000000-0005-0000-0000-000098440000}"/>
    <cellStyle name="Normal 38 3 4 2" xfId="8319" xr:uid="{00000000-0005-0000-0000-000099440000}"/>
    <cellStyle name="Normal 38 3 4 2 2" xfId="17496" xr:uid="{00000000-0005-0000-0000-00009A440000}"/>
    <cellStyle name="Normal 38 3 4 2 2 2" xfId="34070" xr:uid="{00000000-0005-0000-0000-00009B440000}"/>
    <cellStyle name="Normal 38 3 4 2 3" xfId="26023" xr:uid="{00000000-0005-0000-0000-00009C440000}"/>
    <cellStyle name="Normal 38 3 4 3" xfId="13653" xr:uid="{00000000-0005-0000-0000-00009D440000}"/>
    <cellStyle name="Normal 38 3 4 3 2" xfId="30197" xr:uid="{00000000-0005-0000-0000-00009E440000}"/>
    <cellStyle name="Normal 38 3 4 4" xfId="22154" xr:uid="{00000000-0005-0000-0000-00009F440000}"/>
    <cellStyle name="Normal 38 3 5" xfId="4275" xr:uid="{00000000-0005-0000-0000-0000A0440000}"/>
    <cellStyle name="Normal 38 3 5 2" xfId="13654" xr:uid="{00000000-0005-0000-0000-0000A1440000}"/>
    <cellStyle name="Normal 38 3 5 2 2" xfId="30198" xr:uid="{00000000-0005-0000-0000-0000A2440000}"/>
    <cellStyle name="Normal 38 3 5 3" xfId="22155" xr:uid="{00000000-0005-0000-0000-0000A3440000}"/>
    <cellStyle name="Normal 38 4" xfId="4276" xr:uid="{00000000-0005-0000-0000-0000A4440000}"/>
    <cellStyle name="Normal 38 4 2" xfId="4277" xr:uid="{00000000-0005-0000-0000-0000A5440000}"/>
    <cellStyle name="Normal 38 4 2 2" xfId="4278" xr:uid="{00000000-0005-0000-0000-0000A6440000}"/>
    <cellStyle name="Normal 38 4 2 2 2" xfId="4279" xr:uid="{00000000-0005-0000-0000-0000A7440000}"/>
    <cellStyle name="Normal 38 4 2 2 2 2" xfId="8320" xr:uid="{00000000-0005-0000-0000-0000A8440000}"/>
    <cellStyle name="Normal 38 4 2 2 2 2 2" xfId="17497" xr:uid="{00000000-0005-0000-0000-0000A9440000}"/>
    <cellStyle name="Normal 38 4 2 2 2 2 2 2" xfId="34071" xr:uid="{00000000-0005-0000-0000-0000AA440000}"/>
    <cellStyle name="Normal 38 4 2 2 2 2 3" xfId="26024" xr:uid="{00000000-0005-0000-0000-0000AB440000}"/>
    <cellStyle name="Normal 38 4 2 2 2 3" xfId="13658" xr:uid="{00000000-0005-0000-0000-0000AC440000}"/>
    <cellStyle name="Normal 38 4 2 2 2 3 2" xfId="30202" xr:uid="{00000000-0005-0000-0000-0000AD440000}"/>
    <cellStyle name="Normal 38 4 2 2 2 4" xfId="22159" xr:uid="{00000000-0005-0000-0000-0000AE440000}"/>
    <cellStyle name="Normal 38 4 2 2 3" xfId="8321" xr:uid="{00000000-0005-0000-0000-0000AF440000}"/>
    <cellStyle name="Normal 38 4 2 2 3 2" xfId="17498" xr:uid="{00000000-0005-0000-0000-0000B0440000}"/>
    <cellStyle name="Normal 38 4 2 2 3 2 2" xfId="34072" xr:uid="{00000000-0005-0000-0000-0000B1440000}"/>
    <cellStyle name="Normal 38 4 2 2 3 3" xfId="26025" xr:uid="{00000000-0005-0000-0000-0000B2440000}"/>
    <cellStyle name="Normal 38 4 2 2 4" xfId="13657" xr:uid="{00000000-0005-0000-0000-0000B3440000}"/>
    <cellStyle name="Normal 38 4 2 2 4 2" xfId="30201" xr:uid="{00000000-0005-0000-0000-0000B4440000}"/>
    <cellStyle name="Normal 38 4 2 2 5" xfId="22158" xr:uid="{00000000-0005-0000-0000-0000B5440000}"/>
    <cellStyle name="Normal 38 4 2 3" xfId="4280" xr:uid="{00000000-0005-0000-0000-0000B6440000}"/>
    <cellStyle name="Normal 38 4 2 3 2" xfId="8322" xr:uid="{00000000-0005-0000-0000-0000B7440000}"/>
    <cellStyle name="Normal 38 4 2 3 2 2" xfId="17499" xr:uid="{00000000-0005-0000-0000-0000B8440000}"/>
    <cellStyle name="Normal 38 4 2 3 2 2 2" xfId="34073" xr:uid="{00000000-0005-0000-0000-0000B9440000}"/>
    <cellStyle name="Normal 38 4 2 3 2 3" xfId="26026" xr:uid="{00000000-0005-0000-0000-0000BA440000}"/>
    <cellStyle name="Normal 38 4 2 3 3" xfId="13659" xr:uid="{00000000-0005-0000-0000-0000BB440000}"/>
    <cellStyle name="Normal 38 4 2 3 3 2" xfId="30203" xr:uid="{00000000-0005-0000-0000-0000BC440000}"/>
    <cellStyle name="Normal 38 4 2 3 4" xfId="22160" xr:uid="{00000000-0005-0000-0000-0000BD440000}"/>
    <cellStyle name="Normal 38 4 2 4" xfId="8323" xr:uid="{00000000-0005-0000-0000-0000BE440000}"/>
    <cellStyle name="Normal 38 4 2 4 2" xfId="17500" xr:uid="{00000000-0005-0000-0000-0000BF440000}"/>
    <cellStyle name="Normal 38 4 2 4 2 2" xfId="34074" xr:uid="{00000000-0005-0000-0000-0000C0440000}"/>
    <cellStyle name="Normal 38 4 2 4 3" xfId="26027" xr:uid="{00000000-0005-0000-0000-0000C1440000}"/>
    <cellStyle name="Normal 38 4 2 5" xfId="13656" xr:uid="{00000000-0005-0000-0000-0000C2440000}"/>
    <cellStyle name="Normal 38 4 2 5 2" xfId="30200" xr:uid="{00000000-0005-0000-0000-0000C3440000}"/>
    <cellStyle name="Normal 38 4 2 6" xfId="22157" xr:uid="{00000000-0005-0000-0000-0000C4440000}"/>
    <cellStyle name="Normal 38 4 3" xfId="4281" xr:uid="{00000000-0005-0000-0000-0000C5440000}"/>
    <cellStyle name="Normal 38 4 3 2" xfId="4282" xr:uid="{00000000-0005-0000-0000-0000C6440000}"/>
    <cellStyle name="Normal 38 4 3 2 2" xfId="8324" xr:uid="{00000000-0005-0000-0000-0000C7440000}"/>
    <cellStyle name="Normal 38 4 3 2 2 2" xfId="17501" xr:uid="{00000000-0005-0000-0000-0000C8440000}"/>
    <cellStyle name="Normal 38 4 3 2 2 2 2" xfId="34075" xr:uid="{00000000-0005-0000-0000-0000C9440000}"/>
    <cellStyle name="Normal 38 4 3 2 2 3" xfId="26028" xr:uid="{00000000-0005-0000-0000-0000CA440000}"/>
    <cellStyle name="Normal 38 4 3 2 3" xfId="13661" xr:uid="{00000000-0005-0000-0000-0000CB440000}"/>
    <cellStyle name="Normal 38 4 3 2 3 2" xfId="30205" xr:uid="{00000000-0005-0000-0000-0000CC440000}"/>
    <cellStyle name="Normal 38 4 3 2 4" xfId="22162" xr:uid="{00000000-0005-0000-0000-0000CD440000}"/>
    <cellStyle name="Normal 38 4 3 3" xfId="8325" xr:uid="{00000000-0005-0000-0000-0000CE440000}"/>
    <cellStyle name="Normal 38 4 3 3 2" xfId="17502" xr:uid="{00000000-0005-0000-0000-0000CF440000}"/>
    <cellStyle name="Normal 38 4 3 3 2 2" xfId="34076" xr:uid="{00000000-0005-0000-0000-0000D0440000}"/>
    <cellStyle name="Normal 38 4 3 3 3" xfId="26029" xr:uid="{00000000-0005-0000-0000-0000D1440000}"/>
    <cellStyle name="Normal 38 4 3 4" xfId="13660" xr:uid="{00000000-0005-0000-0000-0000D2440000}"/>
    <cellStyle name="Normal 38 4 3 4 2" xfId="30204" xr:uid="{00000000-0005-0000-0000-0000D3440000}"/>
    <cellStyle name="Normal 38 4 3 5" xfId="22161" xr:uid="{00000000-0005-0000-0000-0000D4440000}"/>
    <cellStyle name="Normal 38 4 4" xfId="4283" xr:uid="{00000000-0005-0000-0000-0000D5440000}"/>
    <cellStyle name="Normal 38 4 4 2" xfId="8326" xr:uid="{00000000-0005-0000-0000-0000D6440000}"/>
    <cellStyle name="Normal 38 4 4 2 2" xfId="17503" xr:uid="{00000000-0005-0000-0000-0000D7440000}"/>
    <cellStyle name="Normal 38 4 4 2 2 2" xfId="34077" xr:uid="{00000000-0005-0000-0000-0000D8440000}"/>
    <cellStyle name="Normal 38 4 4 2 3" xfId="26030" xr:uid="{00000000-0005-0000-0000-0000D9440000}"/>
    <cellStyle name="Normal 38 4 4 3" xfId="13662" xr:uid="{00000000-0005-0000-0000-0000DA440000}"/>
    <cellStyle name="Normal 38 4 4 3 2" xfId="30206" xr:uid="{00000000-0005-0000-0000-0000DB440000}"/>
    <cellStyle name="Normal 38 4 4 4" xfId="22163" xr:uid="{00000000-0005-0000-0000-0000DC440000}"/>
    <cellStyle name="Normal 38 4 5" xfId="8327" xr:uid="{00000000-0005-0000-0000-0000DD440000}"/>
    <cellStyle name="Normal 38 4 5 2" xfId="17504" xr:uid="{00000000-0005-0000-0000-0000DE440000}"/>
    <cellStyle name="Normal 38 4 5 2 2" xfId="34078" xr:uid="{00000000-0005-0000-0000-0000DF440000}"/>
    <cellStyle name="Normal 38 4 5 3" xfId="26031" xr:uid="{00000000-0005-0000-0000-0000E0440000}"/>
    <cellStyle name="Normal 38 4 6" xfId="13655" xr:uid="{00000000-0005-0000-0000-0000E1440000}"/>
    <cellStyle name="Normal 38 4 6 2" xfId="30199" xr:uid="{00000000-0005-0000-0000-0000E2440000}"/>
    <cellStyle name="Normal 38 4 7" xfId="22156" xr:uid="{00000000-0005-0000-0000-0000E3440000}"/>
    <cellStyle name="Normal 38 5" xfId="4284" xr:uid="{00000000-0005-0000-0000-0000E4440000}"/>
    <cellStyle name="Normal 38 5 2" xfId="4285" xr:uid="{00000000-0005-0000-0000-0000E5440000}"/>
    <cellStyle name="Normal 38 5 2 2" xfId="4286" xr:uid="{00000000-0005-0000-0000-0000E6440000}"/>
    <cellStyle name="Normal 38 5 2 2 2" xfId="4287" xr:uid="{00000000-0005-0000-0000-0000E7440000}"/>
    <cellStyle name="Normal 38 5 2 2 2 2" xfId="8328" xr:uid="{00000000-0005-0000-0000-0000E8440000}"/>
    <cellStyle name="Normal 38 5 2 2 2 2 2" xfId="17505" xr:uid="{00000000-0005-0000-0000-0000E9440000}"/>
    <cellStyle name="Normal 38 5 2 2 2 2 2 2" xfId="34079" xr:uid="{00000000-0005-0000-0000-0000EA440000}"/>
    <cellStyle name="Normal 38 5 2 2 2 2 3" xfId="26032" xr:uid="{00000000-0005-0000-0000-0000EB440000}"/>
    <cellStyle name="Normal 38 5 2 2 2 3" xfId="13666" xr:uid="{00000000-0005-0000-0000-0000EC440000}"/>
    <cellStyle name="Normal 38 5 2 2 2 3 2" xfId="30210" xr:uid="{00000000-0005-0000-0000-0000ED440000}"/>
    <cellStyle name="Normal 38 5 2 2 2 4" xfId="22167" xr:uid="{00000000-0005-0000-0000-0000EE440000}"/>
    <cellStyle name="Normal 38 5 2 2 3" xfId="8329" xr:uid="{00000000-0005-0000-0000-0000EF440000}"/>
    <cellStyle name="Normal 38 5 2 2 3 2" xfId="17506" xr:uid="{00000000-0005-0000-0000-0000F0440000}"/>
    <cellStyle name="Normal 38 5 2 2 3 2 2" xfId="34080" xr:uid="{00000000-0005-0000-0000-0000F1440000}"/>
    <cellStyle name="Normal 38 5 2 2 3 3" xfId="26033" xr:uid="{00000000-0005-0000-0000-0000F2440000}"/>
    <cellStyle name="Normal 38 5 2 2 4" xfId="13665" xr:uid="{00000000-0005-0000-0000-0000F3440000}"/>
    <cellStyle name="Normal 38 5 2 2 4 2" xfId="30209" xr:uid="{00000000-0005-0000-0000-0000F4440000}"/>
    <cellStyle name="Normal 38 5 2 2 5" xfId="22166" xr:uid="{00000000-0005-0000-0000-0000F5440000}"/>
    <cellStyle name="Normal 38 5 2 3" xfId="4288" xr:uid="{00000000-0005-0000-0000-0000F6440000}"/>
    <cellStyle name="Normal 38 5 2 3 2" xfId="8330" xr:uid="{00000000-0005-0000-0000-0000F7440000}"/>
    <cellStyle name="Normal 38 5 2 3 2 2" xfId="17507" xr:uid="{00000000-0005-0000-0000-0000F8440000}"/>
    <cellStyle name="Normal 38 5 2 3 2 2 2" xfId="34081" xr:uid="{00000000-0005-0000-0000-0000F9440000}"/>
    <cellStyle name="Normal 38 5 2 3 2 3" xfId="26034" xr:uid="{00000000-0005-0000-0000-0000FA440000}"/>
    <cellStyle name="Normal 38 5 2 3 3" xfId="13667" xr:uid="{00000000-0005-0000-0000-0000FB440000}"/>
    <cellStyle name="Normal 38 5 2 3 3 2" xfId="30211" xr:uid="{00000000-0005-0000-0000-0000FC440000}"/>
    <cellStyle name="Normal 38 5 2 3 4" xfId="22168" xr:uid="{00000000-0005-0000-0000-0000FD440000}"/>
    <cellStyle name="Normal 38 5 2 4" xfId="8331" xr:uid="{00000000-0005-0000-0000-0000FE440000}"/>
    <cellStyle name="Normal 38 5 2 4 2" xfId="17508" xr:uid="{00000000-0005-0000-0000-0000FF440000}"/>
    <cellStyle name="Normal 38 5 2 4 2 2" xfId="34082" xr:uid="{00000000-0005-0000-0000-000000450000}"/>
    <cellStyle name="Normal 38 5 2 4 3" xfId="26035" xr:uid="{00000000-0005-0000-0000-000001450000}"/>
    <cellStyle name="Normal 38 5 2 5" xfId="13664" xr:uid="{00000000-0005-0000-0000-000002450000}"/>
    <cellStyle name="Normal 38 5 2 5 2" xfId="30208" xr:uid="{00000000-0005-0000-0000-000003450000}"/>
    <cellStyle name="Normal 38 5 2 6" xfId="22165" xr:uid="{00000000-0005-0000-0000-000004450000}"/>
    <cellStyle name="Normal 38 5 3" xfId="4289" xr:uid="{00000000-0005-0000-0000-000005450000}"/>
    <cellStyle name="Normal 38 5 3 2" xfId="4290" xr:uid="{00000000-0005-0000-0000-000006450000}"/>
    <cellStyle name="Normal 38 5 3 2 2" xfId="8332" xr:uid="{00000000-0005-0000-0000-000007450000}"/>
    <cellStyle name="Normal 38 5 3 2 2 2" xfId="17509" xr:uid="{00000000-0005-0000-0000-000008450000}"/>
    <cellStyle name="Normal 38 5 3 2 2 2 2" xfId="34083" xr:uid="{00000000-0005-0000-0000-000009450000}"/>
    <cellStyle name="Normal 38 5 3 2 2 3" xfId="26036" xr:uid="{00000000-0005-0000-0000-00000A450000}"/>
    <cellStyle name="Normal 38 5 3 2 3" xfId="13669" xr:uid="{00000000-0005-0000-0000-00000B450000}"/>
    <cellStyle name="Normal 38 5 3 2 3 2" xfId="30213" xr:uid="{00000000-0005-0000-0000-00000C450000}"/>
    <cellStyle name="Normal 38 5 3 2 4" xfId="22170" xr:uid="{00000000-0005-0000-0000-00000D450000}"/>
    <cellStyle name="Normal 38 5 3 3" xfId="8333" xr:uid="{00000000-0005-0000-0000-00000E450000}"/>
    <cellStyle name="Normal 38 5 3 3 2" xfId="17510" xr:uid="{00000000-0005-0000-0000-00000F450000}"/>
    <cellStyle name="Normal 38 5 3 3 2 2" xfId="34084" xr:uid="{00000000-0005-0000-0000-000010450000}"/>
    <cellStyle name="Normal 38 5 3 3 3" xfId="26037" xr:uid="{00000000-0005-0000-0000-000011450000}"/>
    <cellStyle name="Normal 38 5 3 4" xfId="13668" xr:uid="{00000000-0005-0000-0000-000012450000}"/>
    <cellStyle name="Normal 38 5 3 4 2" xfId="30212" xr:uid="{00000000-0005-0000-0000-000013450000}"/>
    <cellStyle name="Normal 38 5 3 5" xfId="22169" xr:uid="{00000000-0005-0000-0000-000014450000}"/>
    <cellStyle name="Normal 38 5 4" xfId="4291" xr:uid="{00000000-0005-0000-0000-000015450000}"/>
    <cellStyle name="Normal 38 5 4 2" xfId="8334" xr:uid="{00000000-0005-0000-0000-000016450000}"/>
    <cellStyle name="Normal 38 5 4 2 2" xfId="17511" xr:uid="{00000000-0005-0000-0000-000017450000}"/>
    <cellStyle name="Normal 38 5 4 2 2 2" xfId="34085" xr:uid="{00000000-0005-0000-0000-000018450000}"/>
    <cellStyle name="Normal 38 5 4 2 3" xfId="26038" xr:uid="{00000000-0005-0000-0000-000019450000}"/>
    <cellStyle name="Normal 38 5 4 3" xfId="13670" xr:uid="{00000000-0005-0000-0000-00001A450000}"/>
    <cellStyle name="Normal 38 5 4 3 2" xfId="30214" xr:uid="{00000000-0005-0000-0000-00001B450000}"/>
    <cellStyle name="Normal 38 5 4 4" xfId="22171" xr:uid="{00000000-0005-0000-0000-00001C450000}"/>
    <cellStyle name="Normal 38 5 5" xfId="8335" xr:uid="{00000000-0005-0000-0000-00001D450000}"/>
    <cellStyle name="Normal 38 5 5 2" xfId="17512" xr:uid="{00000000-0005-0000-0000-00001E450000}"/>
    <cellStyle name="Normal 38 5 5 2 2" xfId="34086" xr:uid="{00000000-0005-0000-0000-00001F450000}"/>
    <cellStyle name="Normal 38 5 5 3" xfId="26039" xr:uid="{00000000-0005-0000-0000-000020450000}"/>
    <cellStyle name="Normal 38 5 6" xfId="13663" xr:uid="{00000000-0005-0000-0000-000021450000}"/>
    <cellStyle name="Normal 38 5 6 2" xfId="30207" xr:uid="{00000000-0005-0000-0000-000022450000}"/>
    <cellStyle name="Normal 38 5 7" xfId="22164" xr:uid="{00000000-0005-0000-0000-000023450000}"/>
    <cellStyle name="Normal 38 6" xfId="4292" xr:uid="{00000000-0005-0000-0000-000024450000}"/>
    <cellStyle name="Normal 38 6 2" xfId="4293" xr:uid="{00000000-0005-0000-0000-000025450000}"/>
    <cellStyle name="Normal 38 6 2 2" xfId="4294" xr:uid="{00000000-0005-0000-0000-000026450000}"/>
    <cellStyle name="Normal 38 6 2 2 2" xfId="8336" xr:uid="{00000000-0005-0000-0000-000027450000}"/>
    <cellStyle name="Normal 38 6 2 2 2 2" xfId="17513" xr:uid="{00000000-0005-0000-0000-000028450000}"/>
    <cellStyle name="Normal 38 6 2 2 2 2 2" xfId="34087" xr:uid="{00000000-0005-0000-0000-000029450000}"/>
    <cellStyle name="Normal 38 6 2 2 2 3" xfId="26040" xr:uid="{00000000-0005-0000-0000-00002A450000}"/>
    <cellStyle name="Normal 38 6 2 2 3" xfId="13673" xr:uid="{00000000-0005-0000-0000-00002B450000}"/>
    <cellStyle name="Normal 38 6 2 2 3 2" xfId="30217" xr:uid="{00000000-0005-0000-0000-00002C450000}"/>
    <cellStyle name="Normal 38 6 2 2 4" xfId="22174" xr:uid="{00000000-0005-0000-0000-00002D450000}"/>
    <cellStyle name="Normal 38 6 2 3" xfId="8337" xr:uid="{00000000-0005-0000-0000-00002E450000}"/>
    <cellStyle name="Normal 38 6 2 3 2" xfId="17514" xr:uid="{00000000-0005-0000-0000-00002F450000}"/>
    <cellStyle name="Normal 38 6 2 3 2 2" xfId="34088" xr:uid="{00000000-0005-0000-0000-000030450000}"/>
    <cellStyle name="Normal 38 6 2 3 3" xfId="26041" xr:uid="{00000000-0005-0000-0000-000031450000}"/>
    <cellStyle name="Normal 38 6 2 4" xfId="13672" xr:uid="{00000000-0005-0000-0000-000032450000}"/>
    <cellStyle name="Normal 38 6 2 4 2" xfId="30216" xr:uid="{00000000-0005-0000-0000-000033450000}"/>
    <cellStyle name="Normal 38 6 2 5" xfId="22173" xr:uid="{00000000-0005-0000-0000-000034450000}"/>
    <cellStyle name="Normal 38 6 3" xfId="4295" xr:uid="{00000000-0005-0000-0000-000035450000}"/>
    <cellStyle name="Normal 38 6 3 2" xfId="8338" xr:uid="{00000000-0005-0000-0000-000036450000}"/>
    <cellStyle name="Normal 38 6 3 2 2" xfId="17515" xr:uid="{00000000-0005-0000-0000-000037450000}"/>
    <cellStyle name="Normal 38 6 3 2 2 2" xfId="34089" xr:uid="{00000000-0005-0000-0000-000038450000}"/>
    <cellStyle name="Normal 38 6 3 2 3" xfId="26042" xr:uid="{00000000-0005-0000-0000-000039450000}"/>
    <cellStyle name="Normal 38 6 3 3" xfId="13674" xr:uid="{00000000-0005-0000-0000-00003A450000}"/>
    <cellStyle name="Normal 38 6 3 3 2" xfId="30218" xr:uid="{00000000-0005-0000-0000-00003B450000}"/>
    <cellStyle name="Normal 38 6 3 4" xfId="22175" xr:uid="{00000000-0005-0000-0000-00003C450000}"/>
    <cellStyle name="Normal 38 6 4" xfId="8339" xr:uid="{00000000-0005-0000-0000-00003D450000}"/>
    <cellStyle name="Normal 38 6 4 2" xfId="17516" xr:uid="{00000000-0005-0000-0000-00003E450000}"/>
    <cellStyle name="Normal 38 6 4 2 2" xfId="34090" xr:uid="{00000000-0005-0000-0000-00003F450000}"/>
    <cellStyle name="Normal 38 6 4 3" xfId="26043" xr:uid="{00000000-0005-0000-0000-000040450000}"/>
    <cellStyle name="Normal 38 6 5" xfId="13671" xr:uid="{00000000-0005-0000-0000-000041450000}"/>
    <cellStyle name="Normal 38 6 5 2" xfId="30215" xr:uid="{00000000-0005-0000-0000-000042450000}"/>
    <cellStyle name="Normal 38 6 6" xfId="22172" xr:uid="{00000000-0005-0000-0000-000043450000}"/>
    <cellStyle name="Normal 38 7" xfId="4296" xr:uid="{00000000-0005-0000-0000-000044450000}"/>
    <cellStyle name="Normal 38 7 2" xfId="4297" xr:uid="{00000000-0005-0000-0000-000045450000}"/>
    <cellStyle name="Normal 38 7 2 2" xfId="8340" xr:uid="{00000000-0005-0000-0000-000046450000}"/>
    <cellStyle name="Normal 38 7 2 2 2" xfId="17517" xr:uid="{00000000-0005-0000-0000-000047450000}"/>
    <cellStyle name="Normal 38 7 2 2 2 2" xfId="34091" xr:uid="{00000000-0005-0000-0000-000048450000}"/>
    <cellStyle name="Normal 38 7 2 2 3" xfId="26044" xr:uid="{00000000-0005-0000-0000-000049450000}"/>
    <cellStyle name="Normal 38 7 2 3" xfId="13676" xr:uid="{00000000-0005-0000-0000-00004A450000}"/>
    <cellStyle name="Normal 38 7 2 3 2" xfId="30220" xr:uid="{00000000-0005-0000-0000-00004B450000}"/>
    <cellStyle name="Normal 38 7 2 4" xfId="22177" xr:uid="{00000000-0005-0000-0000-00004C450000}"/>
    <cellStyle name="Normal 38 7 3" xfId="8341" xr:uid="{00000000-0005-0000-0000-00004D450000}"/>
    <cellStyle name="Normal 38 7 3 2" xfId="17518" xr:uid="{00000000-0005-0000-0000-00004E450000}"/>
    <cellStyle name="Normal 38 7 3 2 2" xfId="34092" xr:uid="{00000000-0005-0000-0000-00004F450000}"/>
    <cellStyle name="Normal 38 7 3 3" xfId="26045" xr:uid="{00000000-0005-0000-0000-000050450000}"/>
    <cellStyle name="Normal 38 7 4" xfId="13675" xr:uid="{00000000-0005-0000-0000-000051450000}"/>
    <cellStyle name="Normal 38 7 4 2" xfId="30219" xr:uid="{00000000-0005-0000-0000-000052450000}"/>
    <cellStyle name="Normal 38 7 5" xfId="22176" xr:uid="{00000000-0005-0000-0000-000053450000}"/>
    <cellStyle name="Normal 38 8" xfId="4298" xr:uid="{00000000-0005-0000-0000-000054450000}"/>
    <cellStyle name="Normal 38 8 2" xfId="8342" xr:uid="{00000000-0005-0000-0000-000055450000}"/>
    <cellStyle name="Normal 38 8 2 2" xfId="17519" xr:uid="{00000000-0005-0000-0000-000056450000}"/>
    <cellStyle name="Normal 38 8 2 2 2" xfId="34093" xr:uid="{00000000-0005-0000-0000-000057450000}"/>
    <cellStyle name="Normal 38 8 2 3" xfId="26046" xr:uid="{00000000-0005-0000-0000-000058450000}"/>
    <cellStyle name="Normal 38 8 3" xfId="13677" xr:uid="{00000000-0005-0000-0000-000059450000}"/>
    <cellStyle name="Normal 38 8 3 2" xfId="30221" xr:uid="{00000000-0005-0000-0000-00005A450000}"/>
    <cellStyle name="Normal 38 8 4" xfId="22178" xr:uid="{00000000-0005-0000-0000-00005B450000}"/>
    <cellStyle name="Normal 38 9" xfId="8343" xr:uid="{00000000-0005-0000-0000-00005C450000}"/>
    <cellStyle name="Normal 38 9 2" xfId="17520" xr:uid="{00000000-0005-0000-0000-00005D450000}"/>
    <cellStyle name="Normal 38 9 2 2" xfId="34094" xr:uid="{00000000-0005-0000-0000-00005E450000}"/>
    <cellStyle name="Normal 38 9 3" xfId="26047" xr:uid="{00000000-0005-0000-0000-00005F450000}"/>
    <cellStyle name="Normal 39" xfId="4299" xr:uid="{00000000-0005-0000-0000-000060450000}"/>
    <cellStyle name="Normal 39 10" xfId="13678" xr:uid="{00000000-0005-0000-0000-000061450000}"/>
    <cellStyle name="Normal 39 10 2" xfId="30222" xr:uid="{00000000-0005-0000-0000-000062450000}"/>
    <cellStyle name="Normal 39 11" xfId="22179" xr:uid="{00000000-0005-0000-0000-000063450000}"/>
    <cellStyle name="Normal 39 2" xfId="4300" xr:uid="{00000000-0005-0000-0000-000064450000}"/>
    <cellStyle name="Normal 39 2 2" xfId="4301" xr:uid="{00000000-0005-0000-0000-000065450000}"/>
    <cellStyle name="Normal 39 2 3" xfId="13679" xr:uid="{00000000-0005-0000-0000-000066450000}"/>
    <cellStyle name="Normal 39 2 3 2" xfId="30223" xr:uid="{00000000-0005-0000-0000-000067450000}"/>
    <cellStyle name="Normal 39 2 4" xfId="22180" xr:uid="{00000000-0005-0000-0000-000068450000}"/>
    <cellStyle name="Normal 39 3" xfId="4302" xr:uid="{00000000-0005-0000-0000-000069450000}"/>
    <cellStyle name="Normal 39 3 2" xfId="4303" xr:uid="{00000000-0005-0000-0000-00006A450000}"/>
    <cellStyle name="Normal 39 3 2 2" xfId="4304" xr:uid="{00000000-0005-0000-0000-00006B450000}"/>
    <cellStyle name="Normal 39 3 2 2 2" xfId="4305" xr:uid="{00000000-0005-0000-0000-00006C450000}"/>
    <cellStyle name="Normal 39 3 2 2 2 2" xfId="8344" xr:uid="{00000000-0005-0000-0000-00006D450000}"/>
    <cellStyle name="Normal 39 3 2 2 2 2 2" xfId="17521" xr:uid="{00000000-0005-0000-0000-00006E450000}"/>
    <cellStyle name="Normal 39 3 2 2 2 2 2 2" xfId="34095" xr:uid="{00000000-0005-0000-0000-00006F450000}"/>
    <cellStyle name="Normal 39 3 2 2 2 2 3" xfId="26048" xr:uid="{00000000-0005-0000-0000-000070450000}"/>
    <cellStyle name="Normal 39 3 2 2 2 3" xfId="13682" xr:uid="{00000000-0005-0000-0000-000071450000}"/>
    <cellStyle name="Normal 39 3 2 2 2 3 2" xfId="30226" xr:uid="{00000000-0005-0000-0000-000072450000}"/>
    <cellStyle name="Normal 39 3 2 2 2 4" xfId="22183" xr:uid="{00000000-0005-0000-0000-000073450000}"/>
    <cellStyle name="Normal 39 3 2 2 3" xfId="8345" xr:uid="{00000000-0005-0000-0000-000074450000}"/>
    <cellStyle name="Normal 39 3 2 2 3 2" xfId="17522" xr:uid="{00000000-0005-0000-0000-000075450000}"/>
    <cellStyle name="Normal 39 3 2 2 3 2 2" xfId="34096" xr:uid="{00000000-0005-0000-0000-000076450000}"/>
    <cellStyle name="Normal 39 3 2 2 3 3" xfId="26049" xr:uid="{00000000-0005-0000-0000-000077450000}"/>
    <cellStyle name="Normal 39 3 2 2 4" xfId="13681" xr:uid="{00000000-0005-0000-0000-000078450000}"/>
    <cellStyle name="Normal 39 3 2 2 4 2" xfId="30225" xr:uid="{00000000-0005-0000-0000-000079450000}"/>
    <cellStyle name="Normal 39 3 2 2 5" xfId="22182" xr:uid="{00000000-0005-0000-0000-00007A450000}"/>
    <cellStyle name="Normal 39 3 2 3" xfId="4306" xr:uid="{00000000-0005-0000-0000-00007B450000}"/>
    <cellStyle name="Normal 39 3 2 3 2" xfId="8346" xr:uid="{00000000-0005-0000-0000-00007C450000}"/>
    <cellStyle name="Normal 39 3 2 3 2 2" xfId="17523" xr:uid="{00000000-0005-0000-0000-00007D450000}"/>
    <cellStyle name="Normal 39 3 2 3 2 2 2" xfId="34097" xr:uid="{00000000-0005-0000-0000-00007E450000}"/>
    <cellStyle name="Normal 39 3 2 3 2 3" xfId="26050" xr:uid="{00000000-0005-0000-0000-00007F450000}"/>
    <cellStyle name="Normal 39 3 2 3 3" xfId="13683" xr:uid="{00000000-0005-0000-0000-000080450000}"/>
    <cellStyle name="Normal 39 3 2 3 3 2" xfId="30227" xr:uid="{00000000-0005-0000-0000-000081450000}"/>
    <cellStyle name="Normal 39 3 2 3 4" xfId="22184" xr:uid="{00000000-0005-0000-0000-000082450000}"/>
    <cellStyle name="Normal 39 3 2 4" xfId="8347" xr:uid="{00000000-0005-0000-0000-000083450000}"/>
    <cellStyle name="Normal 39 3 2 4 2" xfId="17524" xr:uid="{00000000-0005-0000-0000-000084450000}"/>
    <cellStyle name="Normal 39 3 2 4 2 2" xfId="34098" xr:uid="{00000000-0005-0000-0000-000085450000}"/>
    <cellStyle name="Normal 39 3 2 4 3" xfId="26051" xr:uid="{00000000-0005-0000-0000-000086450000}"/>
    <cellStyle name="Normal 39 3 2 5" xfId="13680" xr:uid="{00000000-0005-0000-0000-000087450000}"/>
    <cellStyle name="Normal 39 3 2 5 2" xfId="30224" xr:uid="{00000000-0005-0000-0000-000088450000}"/>
    <cellStyle name="Normal 39 3 2 6" xfId="22181" xr:uid="{00000000-0005-0000-0000-000089450000}"/>
    <cellStyle name="Normal 39 3 3" xfId="4307" xr:uid="{00000000-0005-0000-0000-00008A450000}"/>
    <cellStyle name="Normal 39 3 3 2" xfId="4308" xr:uid="{00000000-0005-0000-0000-00008B450000}"/>
    <cellStyle name="Normal 39 3 3 2 2" xfId="8348" xr:uid="{00000000-0005-0000-0000-00008C450000}"/>
    <cellStyle name="Normal 39 3 3 2 2 2" xfId="17525" xr:uid="{00000000-0005-0000-0000-00008D450000}"/>
    <cellStyle name="Normal 39 3 3 2 2 2 2" xfId="34099" xr:uid="{00000000-0005-0000-0000-00008E450000}"/>
    <cellStyle name="Normal 39 3 3 2 2 3" xfId="26052" xr:uid="{00000000-0005-0000-0000-00008F450000}"/>
    <cellStyle name="Normal 39 3 3 2 3" xfId="13685" xr:uid="{00000000-0005-0000-0000-000090450000}"/>
    <cellStyle name="Normal 39 3 3 2 3 2" xfId="30229" xr:uid="{00000000-0005-0000-0000-000091450000}"/>
    <cellStyle name="Normal 39 3 3 2 4" xfId="22186" xr:uid="{00000000-0005-0000-0000-000092450000}"/>
    <cellStyle name="Normal 39 3 3 3" xfId="8349" xr:uid="{00000000-0005-0000-0000-000093450000}"/>
    <cellStyle name="Normal 39 3 3 3 2" xfId="17526" xr:uid="{00000000-0005-0000-0000-000094450000}"/>
    <cellStyle name="Normal 39 3 3 3 2 2" xfId="34100" xr:uid="{00000000-0005-0000-0000-000095450000}"/>
    <cellStyle name="Normal 39 3 3 3 3" xfId="26053" xr:uid="{00000000-0005-0000-0000-000096450000}"/>
    <cellStyle name="Normal 39 3 3 4" xfId="13684" xr:uid="{00000000-0005-0000-0000-000097450000}"/>
    <cellStyle name="Normal 39 3 3 4 2" xfId="30228" xr:uid="{00000000-0005-0000-0000-000098450000}"/>
    <cellStyle name="Normal 39 3 3 5" xfId="22185" xr:uid="{00000000-0005-0000-0000-000099450000}"/>
    <cellStyle name="Normal 39 3 4" xfId="4309" xr:uid="{00000000-0005-0000-0000-00009A450000}"/>
    <cellStyle name="Normal 39 3 4 2" xfId="8350" xr:uid="{00000000-0005-0000-0000-00009B450000}"/>
    <cellStyle name="Normal 39 3 4 2 2" xfId="17527" xr:uid="{00000000-0005-0000-0000-00009C450000}"/>
    <cellStyle name="Normal 39 3 4 2 2 2" xfId="34101" xr:uid="{00000000-0005-0000-0000-00009D450000}"/>
    <cellStyle name="Normal 39 3 4 2 3" xfId="26054" xr:uid="{00000000-0005-0000-0000-00009E450000}"/>
    <cellStyle name="Normal 39 3 4 3" xfId="13686" xr:uid="{00000000-0005-0000-0000-00009F450000}"/>
    <cellStyle name="Normal 39 3 4 3 2" xfId="30230" xr:uid="{00000000-0005-0000-0000-0000A0450000}"/>
    <cellStyle name="Normal 39 3 4 4" xfId="22187" xr:uid="{00000000-0005-0000-0000-0000A1450000}"/>
    <cellStyle name="Normal 39 3 5" xfId="4310" xr:uid="{00000000-0005-0000-0000-0000A2450000}"/>
    <cellStyle name="Normal 39 3 5 2" xfId="13687" xr:uid="{00000000-0005-0000-0000-0000A3450000}"/>
    <cellStyle name="Normal 39 3 5 2 2" xfId="30231" xr:uid="{00000000-0005-0000-0000-0000A4450000}"/>
    <cellStyle name="Normal 39 3 5 3" xfId="22188" xr:uid="{00000000-0005-0000-0000-0000A5450000}"/>
    <cellStyle name="Normal 39 4" xfId="4311" xr:uid="{00000000-0005-0000-0000-0000A6450000}"/>
    <cellStyle name="Normal 39 4 2" xfId="4312" xr:uid="{00000000-0005-0000-0000-0000A7450000}"/>
    <cellStyle name="Normal 39 4 2 2" xfId="4313" xr:uid="{00000000-0005-0000-0000-0000A8450000}"/>
    <cellStyle name="Normal 39 4 2 2 2" xfId="4314" xr:uid="{00000000-0005-0000-0000-0000A9450000}"/>
    <cellStyle name="Normal 39 4 2 2 2 2" xfId="8351" xr:uid="{00000000-0005-0000-0000-0000AA450000}"/>
    <cellStyle name="Normal 39 4 2 2 2 2 2" xfId="17528" xr:uid="{00000000-0005-0000-0000-0000AB450000}"/>
    <cellStyle name="Normal 39 4 2 2 2 2 2 2" xfId="34102" xr:uid="{00000000-0005-0000-0000-0000AC450000}"/>
    <cellStyle name="Normal 39 4 2 2 2 2 3" xfId="26055" xr:uid="{00000000-0005-0000-0000-0000AD450000}"/>
    <cellStyle name="Normal 39 4 2 2 2 3" xfId="13691" xr:uid="{00000000-0005-0000-0000-0000AE450000}"/>
    <cellStyle name="Normal 39 4 2 2 2 3 2" xfId="30235" xr:uid="{00000000-0005-0000-0000-0000AF450000}"/>
    <cellStyle name="Normal 39 4 2 2 2 4" xfId="22192" xr:uid="{00000000-0005-0000-0000-0000B0450000}"/>
    <cellStyle name="Normal 39 4 2 2 3" xfId="8352" xr:uid="{00000000-0005-0000-0000-0000B1450000}"/>
    <cellStyle name="Normal 39 4 2 2 3 2" xfId="17529" xr:uid="{00000000-0005-0000-0000-0000B2450000}"/>
    <cellStyle name="Normal 39 4 2 2 3 2 2" xfId="34103" xr:uid="{00000000-0005-0000-0000-0000B3450000}"/>
    <cellStyle name="Normal 39 4 2 2 3 3" xfId="26056" xr:uid="{00000000-0005-0000-0000-0000B4450000}"/>
    <cellStyle name="Normal 39 4 2 2 4" xfId="13690" xr:uid="{00000000-0005-0000-0000-0000B5450000}"/>
    <cellStyle name="Normal 39 4 2 2 4 2" xfId="30234" xr:uid="{00000000-0005-0000-0000-0000B6450000}"/>
    <cellStyle name="Normal 39 4 2 2 5" xfId="22191" xr:uid="{00000000-0005-0000-0000-0000B7450000}"/>
    <cellStyle name="Normal 39 4 2 3" xfId="4315" xr:uid="{00000000-0005-0000-0000-0000B8450000}"/>
    <cellStyle name="Normal 39 4 2 3 2" xfId="8353" xr:uid="{00000000-0005-0000-0000-0000B9450000}"/>
    <cellStyle name="Normal 39 4 2 3 2 2" xfId="17530" xr:uid="{00000000-0005-0000-0000-0000BA450000}"/>
    <cellStyle name="Normal 39 4 2 3 2 2 2" xfId="34104" xr:uid="{00000000-0005-0000-0000-0000BB450000}"/>
    <cellStyle name="Normal 39 4 2 3 2 3" xfId="26057" xr:uid="{00000000-0005-0000-0000-0000BC450000}"/>
    <cellStyle name="Normal 39 4 2 3 3" xfId="13692" xr:uid="{00000000-0005-0000-0000-0000BD450000}"/>
    <cellStyle name="Normal 39 4 2 3 3 2" xfId="30236" xr:uid="{00000000-0005-0000-0000-0000BE450000}"/>
    <cellStyle name="Normal 39 4 2 3 4" xfId="22193" xr:uid="{00000000-0005-0000-0000-0000BF450000}"/>
    <cellStyle name="Normal 39 4 2 4" xfId="8354" xr:uid="{00000000-0005-0000-0000-0000C0450000}"/>
    <cellStyle name="Normal 39 4 2 4 2" xfId="17531" xr:uid="{00000000-0005-0000-0000-0000C1450000}"/>
    <cellStyle name="Normal 39 4 2 4 2 2" xfId="34105" xr:uid="{00000000-0005-0000-0000-0000C2450000}"/>
    <cellStyle name="Normal 39 4 2 4 3" xfId="26058" xr:uid="{00000000-0005-0000-0000-0000C3450000}"/>
    <cellStyle name="Normal 39 4 2 5" xfId="13689" xr:uid="{00000000-0005-0000-0000-0000C4450000}"/>
    <cellStyle name="Normal 39 4 2 5 2" xfId="30233" xr:uid="{00000000-0005-0000-0000-0000C5450000}"/>
    <cellStyle name="Normal 39 4 2 6" xfId="22190" xr:uid="{00000000-0005-0000-0000-0000C6450000}"/>
    <cellStyle name="Normal 39 4 3" xfId="4316" xr:uid="{00000000-0005-0000-0000-0000C7450000}"/>
    <cellStyle name="Normal 39 4 3 2" xfId="4317" xr:uid="{00000000-0005-0000-0000-0000C8450000}"/>
    <cellStyle name="Normal 39 4 3 2 2" xfId="8355" xr:uid="{00000000-0005-0000-0000-0000C9450000}"/>
    <cellStyle name="Normal 39 4 3 2 2 2" xfId="17532" xr:uid="{00000000-0005-0000-0000-0000CA450000}"/>
    <cellStyle name="Normal 39 4 3 2 2 2 2" xfId="34106" xr:uid="{00000000-0005-0000-0000-0000CB450000}"/>
    <cellStyle name="Normal 39 4 3 2 2 3" xfId="26059" xr:uid="{00000000-0005-0000-0000-0000CC450000}"/>
    <cellStyle name="Normal 39 4 3 2 3" xfId="13694" xr:uid="{00000000-0005-0000-0000-0000CD450000}"/>
    <cellStyle name="Normal 39 4 3 2 3 2" xfId="30238" xr:uid="{00000000-0005-0000-0000-0000CE450000}"/>
    <cellStyle name="Normal 39 4 3 2 4" xfId="22195" xr:uid="{00000000-0005-0000-0000-0000CF450000}"/>
    <cellStyle name="Normal 39 4 3 3" xfId="8356" xr:uid="{00000000-0005-0000-0000-0000D0450000}"/>
    <cellStyle name="Normal 39 4 3 3 2" xfId="17533" xr:uid="{00000000-0005-0000-0000-0000D1450000}"/>
    <cellStyle name="Normal 39 4 3 3 2 2" xfId="34107" xr:uid="{00000000-0005-0000-0000-0000D2450000}"/>
    <cellStyle name="Normal 39 4 3 3 3" xfId="26060" xr:uid="{00000000-0005-0000-0000-0000D3450000}"/>
    <cellStyle name="Normal 39 4 3 4" xfId="13693" xr:uid="{00000000-0005-0000-0000-0000D4450000}"/>
    <cellStyle name="Normal 39 4 3 4 2" xfId="30237" xr:uid="{00000000-0005-0000-0000-0000D5450000}"/>
    <cellStyle name="Normal 39 4 3 5" xfId="22194" xr:uid="{00000000-0005-0000-0000-0000D6450000}"/>
    <cellStyle name="Normal 39 4 4" xfId="4318" xr:uid="{00000000-0005-0000-0000-0000D7450000}"/>
    <cellStyle name="Normal 39 4 4 2" xfId="8357" xr:uid="{00000000-0005-0000-0000-0000D8450000}"/>
    <cellStyle name="Normal 39 4 4 2 2" xfId="17534" xr:uid="{00000000-0005-0000-0000-0000D9450000}"/>
    <cellStyle name="Normal 39 4 4 2 2 2" xfId="34108" xr:uid="{00000000-0005-0000-0000-0000DA450000}"/>
    <cellStyle name="Normal 39 4 4 2 3" xfId="26061" xr:uid="{00000000-0005-0000-0000-0000DB450000}"/>
    <cellStyle name="Normal 39 4 4 3" xfId="13695" xr:uid="{00000000-0005-0000-0000-0000DC450000}"/>
    <cellStyle name="Normal 39 4 4 3 2" xfId="30239" xr:uid="{00000000-0005-0000-0000-0000DD450000}"/>
    <cellStyle name="Normal 39 4 4 4" xfId="22196" xr:uid="{00000000-0005-0000-0000-0000DE450000}"/>
    <cellStyle name="Normal 39 4 5" xfId="8358" xr:uid="{00000000-0005-0000-0000-0000DF450000}"/>
    <cellStyle name="Normal 39 4 5 2" xfId="17535" xr:uid="{00000000-0005-0000-0000-0000E0450000}"/>
    <cellStyle name="Normal 39 4 5 2 2" xfId="34109" xr:uid="{00000000-0005-0000-0000-0000E1450000}"/>
    <cellStyle name="Normal 39 4 5 3" xfId="26062" xr:uid="{00000000-0005-0000-0000-0000E2450000}"/>
    <cellStyle name="Normal 39 4 6" xfId="13688" xr:uid="{00000000-0005-0000-0000-0000E3450000}"/>
    <cellStyle name="Normal 39 4 6 2" xfId="30232" xr:uid="{00000000-0005-0000-0000-0000E4450000}"/>
    <cellStyle name="Normal 39 4 7" xfId="22189" xr:uid="{00000000-0005-0000-0000-0000E5450000}"/>
    <cellStyle name="Normal 39 5" xfId="4319" xr:uid="{00000000-0005-0000-0000-0000E6450000}"/>
    <cellStyle name="Normal 39 5 2" xfId="4320" xr:uid="{00000000-0005-0000-0000-0000E7450000}"/>
    <cellStyle name="Normal 39 5 2 2" xfId="4321" xr:uid="{00000000-0005-0000-0000-0000E8450000}"/>
    <cellStyle name="Normal 39 5 2 2 2" xfId="4322" xr:uid="{00000000-0005-0000-0000-0000E9450000}"/>
    <cellStyle name="Normal 39 5 2 2 2 2" xfId="8359" xr:uid="{00000000-0005-0000-0000-0000EA450000}"/>
    <cellStyle name="Normal 39 5 2 2 2 2 2" xfId="17536" xr:uid="{00000000-0005-0000-0000-0000EB450000}"/>
    <cellStyle name="Normal 39 5 2 2 2 2 2 2" xfId="34110" xr:uid="{00000000-0005-0000-0000-0000EC450000}"/>
    <cellStyle name="Normal 39 5 2 2 2 2 3" xfId="26063" xr:uid="{00000000-0005-0000-0000-0000ED450000}"/>
    <cellStyle name="Normal 39 5 2 2 2 3" xfId="13699" xr:uid="{00000000-0005-0000-0000-0000EE450000}"/>
    <cellStyle name="Normal 39 5 2 2 2 3 2" xfId="30243" xr:uid="{00000000-0005-0000-0000-0000EF450000}"/>
    <cellStyle name="Normal 39 5 2 2 2 4" xfId="22200" xr:uid="{00000000-0005-0000-0000-0000F0450000}"/>
    <cellStyle name="Normal 39 5 2 2 3" xfId="8360" xr:uid="{00000000-0005-0000-0000-0000F1450000}"/>
    <cellStyle name="Normal 39 5 2 2 3 2" xfId="17537" xr:uid="{00000000-0005-0000-0000-0000F2450000}"/>
    <cellStyle name="Normal 39 5 2 2 3 2 2" xfId="34111" xr:uid="{00000000-0005-0000-0000-0000F3450000}"/>
    <cellStyle name="Normal 39 5 2 2 3 3" xfId="26064" xr:uid="{00000000-0005-0000-0000-0000F4450000}"/>
    <cellStyle name="Normal 39 5 2 2 4" xfId="13698" xr:uid="{00000000-0005-0000-0000-0000F5450000}"/>
    <cellStyle name="Normal 39 5 2 2 4 2" xfId="30242" xr:uid="{00000000-0005-0000-0000-0000F6450000}"/>
    <cellStyle name="Normal 39 5 2 2 5" xfId="22199" xr:uid="{00000000-0005-0000-0000-0000F7450000}"/>
    <cellStyle name="Normal 39 5 2 3" xfId="4323" xr:uid="{00000000-0005-0000-0000-0000F8450000}"/>
    <cellStyle name="Normal 39 5 2 3 2" xfId="8361" xr:uid="{00000000-0005-0000-0000-0000F9450000}"/>
    <cellStyle name="Normal 39 5 2 3 2 2" xfId="17538" xr:uid="{00000000-0005-0000-0000-0000FA450000}"/>
    <cellStyle name="Normal 39 5 2 3 2 2 2" xfId="34112" xr:uid="{00000000-0005-0000-0000-0000FB450000}"/>
    <cellStyle name="Normal 39 5 2 3 2 3" xfId="26065" xr:uid="{00000000-0005-0000-0000-0000FC450000}"/>
    <cellStyle name="Normal 39 5 2 3 3" xfId="13700" xr:uid="{00000000-0005-0000-0000-0000FD450000}"/>
    <cellStyle name="Normal 39 5 2 3 3 2" xfId="30244" xr:uid="{00000000-0005-0000-0000-0000FE450000}"/>
    <cellStyle name="Normal 39 5 2 3 4" xfId="22201" xr:uid="{00000000-0005-0000-0000-0000FF450000}"/>
    <cellStyle name="Normal 39 5 2 4" xfId="8362" xr:uid="{00000000-0005-0000-0000-000000460000}"/>
    <cellStyle name="Normal 39 5 2 4 2" xfId="17539" xr:uid="{00000000-0005-0000-0000-000001460000}"/>
    <cellStyle name="Normal 39 5 2 4 2 2" xfId="34113" xr:uid="{00000000-0005-0000-0000-000002460000}"/>
    <cellStyle name="Normal 39 5 2 4 3" xfId="26066" xr:uid="{00000000-0005-0000-0000-000003460000}"/>
    <cellStyle name="Normal 39 5 2 5" xfId="13697" xr:uid="{00000000-0005-0000-0000-000004460000}"/>
    <cellStyle name="Normal 39 5 2 5 2" xfId="30241" xr:uid="{00000000-0005-0000-0000-000005460000}"/>
    <cellStyle name="Normal 39 5 2 6" xfId="22198" xr:uid="{00000000-0005-0000-0000-000006460000}"/>
    <cellStyle name="Normal 39 5 3" xfId="4324" xr:uid="{00000000-0005-0000-0000-000007460000}"/>
    <cellStyle name="Normal 39 5 3 2" xfId="4325" xr:uid="{00000000-0005-0000-0000-000008460000}"/>
    <cellStyle name="Normal 39 5 3 2 2" xfId="8363" xr:uid="{00000000-0005-0000-0000-000009460000}"/>
    <cellStyle name="Normal 39 5 3 2 2 2" xfId="17540" xr:uid="{00000000-0005-0000-0000-00000A460000}"/>
    <cellStyle name="Normal 39 5 3 2 2 2 2" xfId="34114" xr:uid="{00000000-0005-0000-0000-00000B460000}"/>
    <cellStyle name="Normal 39 5 3 2 2 3" xfId="26067" xr:uid="{00000000-0005-0000-0000-00000C460000}"/>
    <cellStyle name="Normal 39 5 3 2 3" xfId="13702" xr:uid="{00000000-0005-0000-0000-00000D460000}"/>
    <cellStyle name="Normal 39 5 3 2 3 2" xfId="30246" xr:uid="{00000000-0005-0000-0000-00000E460000}"/>
    <cellStyle name="Normal 39 5 3 2 4" xfId="22203" xr:uid="{00000000-0005-0000-0000-00000F460000}"/>
    <cellStyle name="Normal 39 5 3 3" xfId="8364" xr:uid="{00000000-0005-0000-0000-000010460000}"/>
    <cellStyle name="Normal 39 5 3 3 2" xfId="17541" xr:uid="{00000000-0005-0000-0000-000011460000}"/>
    <cellStyle name="Normal 39 5 3 3 2 2" xfId="34115" xr:uid="{00000000-0005-0000-0000-000012460000}"/>
    <cellStyle name="Normal 39 5 3 3 3" xfId="26068" xr:uid="{00000000-0005-0000-0000-000013460000}"/>
    <cellStyle name="Normal 39 5 3 4" xfId="13701" xr:uid="{00000000-0005-0000-0000-000014460000}"/>
    <cellStyle name="Normal 39 5 3 4 2" xfId="30245" xr:uid="{00000000-0005-0000-0000-000015460000}"/>
    <cellStyle name="Normal 39 5 3 5" xfId="22202" xr:uid="{00000000-0005-0000-0000-000016460000}"/>
    <cellStyle name="Normal 39 5 4" xfId="4326" xr:uid="{00000000-0005-0000-0000-000017460000}"/>
    <cellStyle name="Normal 39 5 4 2" xfId="8365" xr:uid="{00000000-0005-0000-0000-000018460000}"/>
    <cellStyle name="Normal 39 5 4 2 2" xfId="17542" xr:uid="{00000000-0005-0000-0000-000019460000}"/>
    <cellStyle name="Normal 39 5 4 2 2 2" xfId="34116" xr:uid="{00000000-0005-0000-0000-00001A460000}"/>
    <cellStyle name="Normal 39 5 4 2 3" xfId="26069" xr:uid="{00000000-0005-0000-0000-00001B460000}"/>
    <cellStyle name="Normal 39 5 4 3" xfId="13703" xr:uid="{00000000-0005-0000-0000-00001C460000}"/>
    <cellStyle name="Normal 39 5 4 3 2" xfId="30247" xr:uid="{00000000-0005-0000-0000-00001D460000}"/>
    <cellStyle name="Normal 39 5 4 4" xfId="22204" xr:uid="{00000000-0005-0000-0000-00001E460000}"/>
    <cellStyle name="Normal 39 5 5" xfId="8366" xr:uid="{00000000-0005-0000-0000-00001F460000}"/>
    <cellStyle name="Normal 39 5 5 2" xfId="17543" xr:uid="{00000000-0005-0000-0000-000020460000}"/>
    <cellStyle name="Normal 39 5 5 2 2" xfId="34117" xr:uid="{00000000-0005-0000-0000-000021460000}"/>
    <cellStyle name="Normal 39 5 5 3" xfId="26070" xr:uid="{00000000-0005-0000-0000-000022460000}"/>
    <cellStyle name="Normal 39 5 6" xfId="13696" xr:uid="{00000000-0005-0000-0000-000023460000}"/>
    <cellStyle name="Normal 39 5 6 2" xfId="30240" xr:uid="{00000000-0005-0000-0000-000024460000}"/>
    <cellStyle name="Normal 39 5 7" xfId="22197" xr:uid="{00000000-0005-0000-0000-000025460000}"/>
    <cellStyle name="Normal 39 6" xfId="4327" xr:uid="{00000000-0005-0000-0000-000026460000}"/>
    <cellStyle name="Normal 39 6 2" xfId="4328" xr:uid="{00000000-0005-0000-0000-000027460000}"/>
    <cellStyle name="Normal 39 6 2 2" xfId="4329" xr:uid="{00000000-0005-0000-0000-000028460000}"/>
    <cellStyle name="Normal 39 6 2 2 2" xfId="8367" xr:uid="{00000000-0005-0000-0000-000029460000}"/>
    <cellStyle name="Normal 39 6 2 2 2 2" xfId="17544" xr:uid="{00000000-0005-0000-0000-00002A460000}"/>
    <cellStyle name="Normal 39 6 2 2 2 2 2" xfId="34118" xr:uid="{00000000-0005-0000-0000-00002B460000}"/>
    <cellStyle name="Normal 39 6 2 2 2 3" xfId="26071" xr:uid="{00000000-0005-0000-0000-00002C460000}"/>
    <cellStyle name="Normal 39 6 2 2 3" xfId="13706" xr:uid="{00000000-0005-0000-0000-00002D460000}"/>
    <cellStyle name="Normal 39 6 2 2 3 2" xfId="30250" xr:uid="{00000000-0005-0000-0000-00002E460000}"/>
    <cellStyle name="Normal 39 6 2 2 4" xfId="22207" xr:uid="{00000000-0005-0000-0000-00002F460000}"/>
    <cellStyle name="Normal 39 6 2 3" xfId="8368" xr:uid="{00000000-0005-0000-0000-000030460000}"/>
    <cellStyle name="Normal 39 6 2 3 2" xfId="17545" xr:uid="{00000000-0005-0000-0000-000031460000}"/>
    <cellStyle name="Normal 39 6 2 3 2 2" xfId="34119" xr:uid="{00000000-0005-0000-0000-000032460000}"/>
    <cellStyle name="Normal 39 6 2 3 3" xfId="26072" xr:uid="{00000000-0005-0000-0000-000033460000}"/>
    <cellStyle name="Normal 39 6 2 4" xfId="13705" xr:uid="{00000000-0005-0000-0000-000034460000}"/>
    <cellStyle name="Normal 39 6 2 4 2" xfId="30249" xr:uid="{00000000-0005-0000-0000-000035460000}"/>
    <cellStyle name="Normal 39 6 2 5" xfId="22206" xr:uid="{00000000-0005-0000-0000-000036460000}"/>
    <cellStyle name="Normal 39 6 3" xfId="4330" xr:uid="{00000000-0005-0000-0000-000037460000}"/>
    <cellStyle name="Normal 39 6 3 2" xfId="8369" xr:uid="{00000000-0005-0000-0000-000038460000}"/>
    <cellStyle name="Normal 39 6 3 2 2" xfId="17546" xr:uid="{00000000-0005-0000-0000-000039460000}"/>
    <cellStyle name="Normal 39 6 3 2 2 2" xfId="34120" xr:uid="{00000000-0005-0000-0000-00003A460000}"/>
    <cellStyle name="Normal 39 6 3 2 3" xfId="26073" xr:uid="{00000000-0005-0000-0000-00003B460000}"/>
    <cellStyle name="Normal 39 6 3 3" xfId="13707" xr:uid="{00000000-0005-0000-0000-00003C460000}"/>
    <cellStyle name="Normal 39 6 3 3 2" xfId="30251" xr:uid="{00000000-0005-0000-0000-00003D460000}"/>
    <cellStyle name="Normal 39 6 3 4" xfId="22208" xr:uid="{00000000-0005-0000-0000-00003E460000}"/>
    <cellStyle name="Normal 39 6 4" xfId="8370" xr:uid="{00000000-0005-0000-0000-00003F460000}"/>
    <cellStyle name="Normal 39 6 4 2" xfId="17547" xr:uid="{00000000-0005-0000-0000-000040460000}"/>
    <cellStyle name="Normal 39 6 4 2 2" xfId="34121" xr:uid="{00000000-0005-0000-0000-000041460000}"/>
    <cellStyle name="Normal 39 6 4 3" xfId="26074" xr:uid="{00000000-0005-0000-0000-000042460000}"/>
    <cellStyle name="Normal 39 6 5" xfId="13704" xr:uid="{00000000-0005-0000-0000-000043460000}"/>
    <cellStyle name="Normal 39 6 5 2" xfId="30248" xr:uid="{00000000-0005-0000-0000-000044460000}"/>
    <cellStyle name="Normal 39 6 6" xfId="22205" xr:uid="{00000000-0005-0000-0000-000045460000}"/>
    <cellStyle name="Normal 39 7" xfId="4331" xr:uid="{00000000-0005-0000-0000-000046460000}"/>
    <cellStyle name="Normal 39 7 2" xfId="4332" xr:uid="{00000000-0005-0000-0000-000047460000}"/>
    <cellStyle name="Normal 39 7 2 2" xfId="8371" xr:uid="{00000000-0005-0000-0000-000048460000}"/>
    <cellStyle name="Normal 39 7 2 2 2" xfId="17548" xr:uid="{00000000-0005-0000-0000-000049460000}"/>
    <cellStyle name="Normal 39 7 2 2 2 2" xfId="34122" xr:uid="{00000000-0005-0000-0000-00004A460000}"/>
    <cellStyle name="Normal 39 7 2 2 3" xfId="26075" xr:uid="{00000000-0005-0000-0000-00004B460000}"/>
    <cellStyle name="Normal 39 7 2 3" xfId="13709" xr:uid="{00000000-0005-0000-0000-00004C460000}"/>
    <cellStyle name="Normal 39 7 2 3 2" xfId="30253" xr:uid="{00000000-0005-0000-0000-00004D460000}"/>
    <cellStyle name="Normal 39 7 2 4" xfId="22210" xr:uid="{00000000-0005-0000-0000-00004E460000}"/>
    <cellStyle name="Normal 39 7 3" xfId="8372" xr:uid="{00000000-0005-0000-0000-00004F460000}"/>
    <cellStyle name="Normal 39 7 3 2" xfId="17549" xr:uid="{00000000-0005-0000-0000-000050460000}"/>
    <cellStyle name="Normal 39 7 3 2 2" xfId="34123" xr:uid="{00000000-0005-0000-0000-000051460000}"/>
    <cellStyle name="Normal 39 7 3 3" xfId="26076" xr:uid="{00000000-0005-0000-0000-000052460000}"/>
    <cellStyle name="Normal 39 7 4" xfId="13708" xr:uid="{00000000-0005-0000-0000-000053460000}"/>
    <cellStyle name="Normal 39 7 4 2" xfId="30252" xr:uid="{00000000-0005-0000-0000-000054460000}"/>
    <cellStyle name="Normal 39 7 5" xfId="22209" xr:uid="{00000000-0005-0000-0000-000055460000}"/>
    <cellStyle name="Normal 39 8" xfId="4333" xr:uid="{00000000-0005-0000-0000-000056460000}"/>
    <cellStyle name="Normal 39 8 2" xfId="8373" xr:uid="{00000000-0005-0000-0000-000057460000}"/>
    <cellStyle name="Normal 39 8 2 2" xfId="17550" xr:uid="{00000000-0005-0000-0000-000058460000}"/>
    <cellStyle name="Normal 39 8 2 2 2" xfId="34124" xr:uid="{00000000-0005-0000-0000-000059460000}"/>
    <cellStyle name="Normal 39 8 2 3" xfId="26077" xr:uid="{00000000-0005-0000-0000-00005A460000}"/>
    <cellStyle name="Normal 39 8 3" xfId="13710" xr:uid="{00000000-0005-0000-0000-00005B460000}"/>
    <cellStyle name="Normal 39 8 3 2" xfId="30254" xr:uid="{00000000-0005-0000-0000-00005C460000}"/>
    <cellStyle name="Normal 39 8 4" xfId="22211" xr:uid="{00000000-0005-0000-0000-00005D460000}"/>
    <cellStyle name="Normal 39 9" xfId="8374" xr:uid="{00000000-0005-0000-0000-00005E460000}"/>
    <cellStyle name="Normal 39 9 2" xfId="17551" xr:uid="{00000000-0005-0000-0000-00005F460000}"/>
    <cellStyle name="Normal 39 9 2 2" xfId="34125" xr:uid="{00000000-0005-0000-0000-000060460000}"/>
    <cellStyle name="Normal 39 9 3" xfId="26078" xr:uid="{00000000-0005-0000-0000-000061460000}"/>
    <cellStyle name="Normal 4" xfId="51" xr:uid="{00000000-0005-0000-0000-000062460000}"/>
    <cellStyle name="Normal 4 10" xfId="1771" xr:uid="{00000000-0005-0000-0000-000063460000}"/>
    <cellStyle name="Normal 4 11" xfId="2083" xr:uid="{00000000-0005-0000-0000-000064460000}"/>
    <cellStyle name="Normal 4 2" xfId="9" xr:uid="{00000000-0005-0000-0000-000065460000}"/>
    <cellStyle name="Normal 4 2 10" xfId="1732" xr:uid="{00000000-0005-0000-0000-000066460000}"/>
    <cellStyle name="Normal 4 2 2" xfId="267" xr:uid="{00000000-0005-0000-0000-000067460000}"/>
    <cellStyle name="Normal 4 2 2 2" xfId="268" xr:uid="{00000000-0005-0000-0000-000068460000}"/>
    <cellStyle name="Normal 4 2 2 2 2" xfId="269" xr:uid="{00000000-0005-0000-0000-000069460000}"/>
    <cellStyle name="Normal 4 2 2 2 2 2" xfId="270" xr:uid="{00000000-0005-0000-0000-00006A460000}"/>
    <cellStyle name="Normal 4 2 2 2 2 2 2" xfId="19583" xr:uid="{00000000-0005-0000-0000-00006B460000}"/>
    <cellStyle name="Normal 4 2 2 2 2 2 2 2" xfId="36159" xr:uid="{00000000-0005-0000-0000-00006C460000}"/>
    <cellStyle name="Normal 4 2 2 2 2 2 3" xfId="28113" xr:uid="{00000000-0005-0000-0000-00006D460000}"/>
    <cellStyle name="Normal 4 2 2 2 2 3" xfId="19582" xr:uid="{00000000-0005-0000-0000-00006E460000}"/>
    <cellStyle name="Normal 4 2 2 2 2 3 2" xfId="36158" xr:uid="{00000000-0005-0000-0000-00006F460000}"/>
    <cellStyle name="Normal 4 2 2 2 2 4" xfId="28112" xr:uid="{00000000-0005-0000-0000-000070460000}"/>
    <cellStyle name="Normal 4 2 2 2 3" xfId="271" xr:uid="{00000000-0005-0000-0000-000071460000}"/>
    <cellStyle name="Normal 4 2 2 2 3 2" xfId="272" xr:uid="{00000000-0005-0000-0000-000072460000}"/>
    <cellStyle name="Normal 4 2 2 2 3 2 2" xfId="19585" xr:uid="{00000000-0005-0000-0000-000073460000}"/>
    <cellStyle name="Normal 4 2 2 2 3 2 2 2" xfId="36161" xr:uid="{00000000-0005-0000-0000-000074460000}"/>
    <cellStyle name="Normal 4 2 2 2 3 2 3" xfId="28115" xr:uid="{00000000-0005-0000-0000-000075460000}"/>
    <cellStyle name="Normal 4 2 2 2 3 3" xfId="19584" xr:uid="{00000000-0005-0000-0000-000076460000}"/>
    <cellStyle name="Normal 4 2 2 2 3 3 2" xfId="36160" xr:uid="{00000000-0005-0000-0000-000077460000}"/>
    <cellStyle name="Normal 4 2 2 2 3 4" xfId="28114" xr:uid="{00000000-0005-0000-0000-000078460000}"/>
    <cellStyle name="Normal 4 2 2 2 4" xfId="273" xr:uid="{00000000-0005-0000-0000-000079460000}"/>
    <cellStyle name="Normal 4 2 2 2 4 2" xfId="19586" xr:uid="{00000000-0005-0000-0000-00007A460000}"/>
    <cellStyle name="Normal 4 2 2 2 4 2 2" xfId="36162" xr:uid="{00000000-0005-0000-0000-00007B460000}"/>
    <cellStyle name="Normal 4 2 2 2 4 3" xfId="28116" xr:uid="{00000000-0005-0000-0000-00007C460000}"/>
    <cellStyle name="Normal 4 2 2 2 5" xfId="19581" xr:uid="{00000000-0005-0000-0000-00007D460000}"/>
    <cellStyle name="Normal 4 2 2 2 5 2" xfId="36157" xr:uid="{00000000-0005-0000-0000-00007E460000}"/>
    <cellStyle name="Normal 4 2 2 2 6" xfId="28111" xr:uid="{00000000-0005-0000-0000-00007F460000}"/>
    <cellStyle name="Normal 4 2 2 3" xfId="274" xr:uid="{00000000-0005-0000-0000-000080460000}"/>
    <cellStyle name="Normal 4 2 2 3 2" xfId="275" xr:uid="{00000000-0005-0000-0000-000081460000}"/>
    <cellStyle name="Normal 4 2 2 3 2 2" xfId="19588" xr:uid="{00000000-0005-0000-0000-000082460000}"/>
    <cellStyle name="Normal 4 2 2 3 2 2 2" xfId="36164" xr:uid="{00000000-0005-0000-0000-000083460000}"/>
    <cellStyle name="Normal 4 2 2 3 2 3" xfId="28118" xr:uid="{00000000-0005-0000-0000-000084460000}"/>
    <cellStyle name="Normal 4 2 2 3 3" xfId="19587" xr:uid="{00000000-0005-0000-0000-000085460000}"/>
    <cellStyle name="Normal 4 2 2 3 3 2" xfId="36163" xr:uid="{00000000-0005-0000-0000-000086460000}"/>
    <cellStyle name="Normal 4 2 2 3 4" xfId="28117" xr:uid="{00000000-0005-0000-0000-000087460000}"/>
    <cellStyle name="Normal 4 2 2 4" xfId="276" xr:uid="{00000000-0005-0000-0000-000088460000}"/>
    <cellStyle name="Normal 4 2 2 4 2" xfId="277" xr:uid="{00000000-0005-0000-0000-000089460000}"/>
    <cellStyle name="Normal 4 2 2 4 2 2" xfId="19590" xr:uid="{00000000-0005-0000-0000-00008A460000}"/>
    <cellStyle name="Normal 4 2 2 4 2 2 2" xfId="36166" xr:uid="{00000000-0005-0000-0000-00008B460000}"/>
    <cellStyle name="Normal 4 2 2 4 2 3" xfId="28120" xr:uid="{00000000-0005-0000-0000-00008C460000}"/>
    <cellStyle name="Normal 4 2 2 4 3" xfId="19589" xr:uid="{00000000-0005-0000-0000-00008D460000}"/>
    <cellStyle name="Normal 4 2 2 4 3 2" xfId="36165" xr:uid="{00000000-0005-0000-0000-00008E460000}"/>
    <cellStyle name="Normal 4 2 2 4 4" xfId="28119" xr:uid="{00000000-0005-0000-0000-00008F460000}"/>
    <cellStyle name="Normal 4 2 2 5" xfId="278" xr:uid="{00000000-0005-0000-0000-000090460000}"/>
    <cellStyle name="Normal 4 2 2 5 2" xfId="279" xr:uid="{00000000-0005-0000-0000-000091460000}"/>
    <cellStyle name="Normal 4 2 2 5 2 2" xfId="19592" xr:uid="{00000000-0005-0000-0000-000092460000}"/>
    <cellStyle name="Normal 4 2 2 5 2 2 2" xfId="36168" xr:uid="{00000000-0005-0000-0000-000093460000}"/>
    <cellStyle name="Normal 4 2 2 5 2 3" xfId="28122" xr:uid="{00000000-0005-0000-0000-000094460000}"/>
    <cellStyle name="Normal 4 2 2 5 3" xfId="19591" xr:uid="{00000000-0005-0000-0000-000095460000}"/>
    <cellStyle name="Normal 4 2 2 5 3 2" xfId="36167" xr:uid="{00000000-0005-0000-0000-000096460000}"/>
    <cellStyle name="Normal 4 2 2 5 4" xfId="28121" xr:uid="{00000000-0005-0000-0000-000097460000}"/>
    <cellStyle name="Normal 4 2 2 6" xfId="280" xr:uid="{00000000-0005-0000-0000-000098460000}"/>
    <cellStyle name="Normal 4 2 2 6 2" xfId="19593" xr:uid="{00000000-0005-0000-0000-000099460000}"/>
    <cellStyle name="Normal 4 2 2 6 2 2" xfId="36169" xr:uid="{00000000-0005-0000-0000-00009A460000}"/>
    <cellStyle name="Normal 4 2 2 6 3" xfId="28123" xr:uid="{00000000-0005-0000-0000-00009B460000}"/>
    <cellStyle name="Normal 4 2 2 7" xfId="13711" xr:uid="{00000000-0005-0000-0000-00009C460000}"/>
    <cellStyle name="Normal 4 2 2 7 2" xfId="30255" xr:uid="{00000000-0005-0000-0000-00009D460000}"/>
    <cellStyle name="Normal 4 2 2 8" xfId="22212" xr:uid="{00000000-0005-0000-0000-00009E460000}"/>
    <cellStyle name="Normal 4 2 3" xfId="281" xr:uid="{00000000-0005-0000-0000-00009F460000}"/>
    <cellStyle name="Normal 4 2 3 2" xfId="282" xr:uid="{00000000-0005-0000-0000-0000A0460000}"/>
    <cellStyle name="Normal 4 2 3 2 2" xfId="283" xr:uid="{00000000-0005-0000-0000-0000A1460000}"/>
    <cellStyle name="Normal 4 2 3 2 2 2" xfId="19595" xr:uid="{00000000-0005-0000-0000-0000A2460000}"/>
    <cellStyle name="Normal 4 2 3 2 2 2 2" xfId="36171" xr:uid="{00000000-0005-0000-0000-0000A3460000}"/>
    <cellStyle name="Normal 4 2 3 2 2 3" xfId="28125" xr:uid="{00000000-0005-0000-0000-0000A4460000}"/>
    <cellStyle name="Normal 4 2 3 2 3" xfId="19594" xr:uid="{00000000-0005-0000-0000-0000A5460000}"/>
    <cellStyle name="Normal 4 2 3 2 3 2" xfId="36170" xr:uid="{00000000-0005-0000-0000-0000A6460000}"/>
    <cellStyle name="Normal 4 2 3 2 4" xfId="28124" xr:uid="{00000000-0005-0000-0000-0000A7460000}"/>
    <cellStyle name="Normal 4 2 3 3" xfId="284" xr:uid="{00000000-0005-0000-0000-0000A8460000}"/>
    <cellStyle name="Normal 4 2 3 3 2" xfId="285" xr:uid="{00000000-0005-0000-0000-0000A9460000}"/>
    <cellStyle name="Normal 4 2 3 3 2 2" xfId="19597" xr:uid="{00000000-0005-0000-0000-0000AA460000}"/>
    <cellStyle name="Normal 4 2 3 3 2 2 2" xfId="36173" xr:uid="{00000000-0005-0000-0000-0000AB460000}"/>
    <cellStyle name="Normal 4 2 3 3 2 3" xfId="28127" xr:uid="{00000000-0005-0000-0000-0000AC460000}"/>
    <cellStyle name="Normal 4 2 3 3 3" xfId="19596" xr:uid="{00000000-0005-0000-0000-0000AD460000}"/>
    <cellStyle name="Normal 4 2 3 3 3 2" xfId="36172" xr:uid="{00000000-0005-0000-0000-0000AE460000}"/>
    <cellStyle name="Normal 4 2 3 3 4" xfId="28126" xr:uid="{00000000-0005-0000-0000-0000AF460000}"/>
    <cellStyle name="Normal 4 2 3 4" xfId="286" xr:uid="{00000000-0005-0000-0000-0000B0460000}"/>
    <cellStyle name="Normal 4 2 3 4 2" xfId="19598" xr:uid="{00000000-0005-0000-0000-0000B1460000}"/>
    <cellStyle name="Normal 4 2 3 4 2 2" xfId="36174" xr:uid="{00000000-0005-0000-0000-0000B2460000}"/>
    <cellStyle name="Normal 4 2 3 4 3" xfId="28128" xr:uid="{00000000-0005-0000-0000-0000B3460000}"/>
    <cellStyle name="Normal 4 2 3 5" xfId="4335" xr:uid="{00000000-0005-0000-0000-0000B4460000}"/>
    <cellStyle name="Normal 4 2 4" xfId="287" xr:uid="{00000000-0005-0000-0000-0000B5460000}"/>
    <cellStyle name="Normal 4 2 4 2" xfId="288" xr:uid="{00000000-0005-0000-0000-0000B6460000}"/>
    <cellStyle name="Normal 4 2 4 2 2" xfId="19599" xr:uid="{00000000-0005-0000-0000-0000B7460000}"/>
    <cellStyle name="Normal 4 2 4 2 2 2" xfId="36175" xr:uid="{00000000-0005-0000-0000-0000B8460000}"/>
    <cellStyle name="Normal 4 2 4 2 3" xfId="28129" xr:uid="{00000000-0005-0000-0000-0000B9460000}"/>
    <cellStyle name="Normal 4 2 4 3" xfId="6625" xr:uid="{00000000-0005-0000-0000-0000BA460000}"/>
    <cellStyle name="Normal 4 2 5" xfId="289" xr:uid="{00000000-0005-0000-0000-0000BB460000}"/>
    <cellStyle name="Normal 4 2 5 2" xfId="290" xr:uid="{00000000-0005-0000-0000-0000BC460000}"/>
    <cellStyle name="Normal 4 2 5 2 2" xfId="19601" xr:uid="{00000000-0005-0000-0000-0000BD460000}"/>
    <cellStyle name="Normal 4 2 5 2 2 2" xfId="36177" xr:uid="{00000000-0005-0000-0000-0000BE460000}"/>
    <cellStyle name="Normal 4 2 5 2 3" xfId="28131" xr:uid="{00000000-0005-0000-0000-0000BF460000}"/>
    <cellStyle name="Normal 4 2 5 3" xfId="19600" xr:uid="{00000000-0005-0000-0000-0000C0460000}"/>
    <cellStyle name="Normal 4 2 5 3 2" xfId="36176" xr:uid="{00000000-0005-0000-0000-0000C1460000}"/>
    <cellStyle name="Normal 4 2 5 4" xfId="28130" xr:uid="{00000000-0005-0000-0000-0000C2460000}"/>
    <cellStyle name="Normal 4 2 6" xfId="291" xr:uid="{00000000-0005-0000-0000-0000C3460000}"/>
    <cellStyle name="Normal 4 2 6 2" xfId="292" xr:uid="{00000000-0005-0000-0000-0000C4460000}"/>
    <cellStyle name="Normal 4 2 6 2 2" xfId="19603" xr:uid="{00000000-0005-0000-0000-0000C5460000}"/>
    <cellStyle name="Normal 4 2 6 2 2 2" xfId="36179" xr:uid="{00000000-0005-0000-0000-0000C6460000}"/>
    <cellStyle name="Normal 4 2 6 2 3" xfId="28133" xr:uid="{00000000-0005-0000-0000-0000C7460000}"/>
    <cellStyle name="Normal 4 2 6 3" xfId="19602" xr:uid="{00000000-0005-0000-0000-0000C8460000}"/>
    <cellStyle name="Normal 4 2 6 3 2" xfId="36178" xr:uid="{00000000-0005-0000-0000-0000C9460000}"/>
    <cellStyle name="Normal 4 2 6 4" xfId="28132" xr:uid="{00000000-0005-0000-0000-0000CA460000}"/>
    <cellStyle name="Normal 4 2 7" xfId="293" xr:uid="{00000000-0005-0000-0000-0000CB460000}"/>
    <cellStyle name="Normal 4 2 7 2" xfId="19604" xr:uid="{00000000-0005-0000-0000-0000CC460000}"/>
    <cellStyle name="Normal 4 2 7 2 2" xfId="36180" xr:uid="{00000000-0005-0000-0000-0000CD460000}"/>
    <cellStyle name="Normal 4 2 7 3" xfId="28134" xr:uid="{00000000-0005-0000-0000-0000CE460000}"/>
    <cellStyle name="Normal 4 2 8" xfId="452" xr:uid="{00000000-0005-0000-0000-0000CF460000}"/>
    <cellStyle name="Normal 4 2 9" xfId="1772" xr:uid="{00000000-0005-0000-0000-0000D0460000}"/>
    <cellStyle name="Normal 4 3" xfId="294" xr:uid="{00000000-0005-0000-0000-0000D1460000}"/>
    <cellStyle name="Normal 4 3 2" xfId="295" xr:uid="{00000000-0005-0000-0000-0000D2460000}"/>
    <cellStyle name="Normal 4 3 2 2" xfId="296" xr:uid="{00000000-0005-0000-0000-0000D3460000}"/>
    <cellStyle name="Normal 4 3 2 2 2" xfId="297" xr:uid="{00000000-0005-0000-0000-0000D4460000}"/>
    <cellStyle name="Normal 4 3 2 2 2 2" xfId="19606" xr:uid="{00000000-0005-0000-0000-0000D5460000}"/>
    <cellStyle name="Normal 4 3 2 2 2 2 2" xfId="36182" xr:uid="{00000000-0005-0000-0000-0000D6460000}"/>
    <cellStyle name="Normal 4 3 2 2 2 3" xfId="28136" xr:uid="{00000000-0005-0000-0000-0000D7460000}"/>
    <cellStyle name="Normal 4 3 2 2 3" xfId="19605" xr:uid="{00000000-0005-0000-0000-0000D8460000}"/>
    <cellStyle name="Normal 4 3 2 2 3 2" xfId="36181" xr:uid="{00000000-0005-0000-0000-0000D9460000}"/>
    <cellStyle name="Normal 4 3 2 2 4" xfId="28135" xr:uid="{00000000-0005-0000-0000-0000DA460000}"/>
    <cellStyle name="Normal 4 3 2 3" xfId="298" xr:uid="{00000000-0005-0000-0000-0000DB460000}"/>
    <cellStyle name="Normal 4 3 2 3 2" xfId="299" xr:uid="{00000000-0005-0000-0000-0000DC460000}"/>
    <cellStyle name="Normal 4 3 2 3 2 2" xfId="19608" xr:uid="{00000000-0005-0000-0000-0000DD460000}"/>
    <cellStyle name="Normal 4 3 2 3 2 2 2" xfId="36184" xr:uid="{00000000-0005-0000-0000-0000DE460000}"/>
    <cellStyle name="Normal 4 3 2 3 2 3" xfId="28138" xr:uid="{00000000-0005-0000-0000-0000DF460000}"/>
    <cellStyle name="Normal 4 3 2 3 3" xfId="19607" xr:uid="{00000000-0005-0000-0000-0000E0460000}"/>
    <cellStyle name="Normal 4 3 2 3 3 2" xfId="36183" xr:uid="{00000000-0005-0000-0000-0000E1460000}"/>
    <cellStyle name="Normal 4 3 2 3 4" xfId="28137" xr:uid="{00000000-0005-0000-0000-0000E2460000}"/>
    <cellStyle name="Normal 4 3 2 4" xfId="300" xr:uid="{00000000-0005-0000-0000-0000E3460000}"/>
    <cellStyle name="Normal 4 3 2 4 2" xfId="19609" xr:uid="{00000000-0005-0000-0000-0000E4460000}"/>
    <cellStyle name="Normal 4 3 2 4 2 2" xfId="36185" xr:uid="{00000000-0005-0000-0000-0000E5460000}"/>
    <cellStyle name="Normal 4 3 2 4 3" xfId="28139" xr:uid="{00000000-0005-0000-0000-0000E6460000}"/>
    <cellStyle name="Normal 4 3 2 5" xfId="4337" xr:uid="{00000000-0005-0000-0000-0000E7460000}"/>
    <cellStyle name="Normal 4 3 3" xfId="301" xr:uid="{00000000-0005-0000-0000-0000E8460000}"/>
    <cellStyle name="Normal 4 3 3 2" xfId="302" xr:uid="{00000000-0005-0000-0000-0000E9460000}"/>
    <cellStyle name="Normal 4 3 3 2 2" xfId="19611" xr:uid="{00000000-0005-0000-0000-0000EA460000}"/>
    <cellStyle name="Normal 4 3 3 2 2 2" xfId="36187" xr:uid="{00000000-0005-0000-0000-0000EB460000}"/>
    <cellStyle name="Normal 4 3 3 2 3" xfId="28141" xr:uid="{00000000-0005-0000-0000-0000EC460000}"/>
    <cellStyle name="Normal 4 3 3 3" xfId="19610" xr:uid="{00000000-0005-0000-0000-0000ED460000}"/>
    <cellStyle name="Normal 4 3 3 3 2" xfId="36186" xr:uid="{00000000-0005-0000-0000-0000EE460000}"/>
    <cellStyle name="Normal 4 3 3 4" xfId="28140" xr:uid="{00000000-0005-0000-0000-0000EF460000}"/>
    <cellStyle name="Normal 4 3 4" xfId="303" xr:uid="{00000000-0005-0000-0000-0000F0460000}"/>
    <cellStyle name="Normal 4 3 4 2" xfId="304" xr:uid="{00000000-0005-0000-0000-0000F1460000}"/>
    <cellStyle name="Normal 4 3 4 2 2" xfId="19613" xr:uid="{00000000-0005-0000-0000-0000F2460000}"/>
    <cellStyle name="Normal 4 3 4 2 2 2" xfId="36189" xr:uid="{00000000-0005-0000-0000-0000F3460000}"/>
    <cellStyle name="Normal 4 3 4 2 3" xfId="28143" xr:uid="{00000000-0005-0000-0000-0000F4460000}"/>
    <cellStyle name="Normal 4 3 4 3" xfId="19612" xr:uid="{00000000-0005-0000-0000-0000F5460000}"/>
    <cellStyle name="Normal 4 3 4 3 2" xfId="36188" xr:uid="{00000000-0005-0000-0000-0000F6460000}"/>
    <cellStyle name="Normal 4 3 4 4" xfId="28142" xr:uid="{00000000-0005-0000-0000-0000F7460000}"/>
    <cellStyle name="Normal 4 3 5" xfId="305" xr:uid="{00000000-0005-0000-0000-0000F8460000}"/>
    <cellStyle name="Normal 4 3 5 2" xfId="306" xr:uid="{00000000-0005-0000-0000-0000F9460000}"/>
    <cellStyle name="Normal 4 3 5 2 2" xfId="19615" xr:uid="{00000000-0005-0000-0000-0000FA460000}"/>
    <cellStyle name="Normal 4 3 5 2 2 2" xfId="36191" xr:uid="{00000000-0005-0000-0000-0000FB460000}"/>
    <cellStyle name="Normal 4 3 5 2 3" xfId="28145" xr:uid="{00000000-0005-0000-0000-0000FC460000}"/>
    <cellStyle name="Normal 4 3 5 3" xfId="19614" xr:uid="{00000000-0005-0000-0000-0000FD460000}"/>
    <cellStyle name="Normal 4 3 5 3 2" xfId="36190" xr:uid="{00000000-0005-0000-0000-0000FE460000}"/>
    <cellStyle name="Normal 4 3 5 4" xfId="28144" xr:uid="{00000000-0005-0000-0000-0000FF460000}"/>
    <cellStyle name="Normal 4 3 6" xfId="307" xr:uid="{00000000-0005-0000-0000-000000470000}"/>
    <cellStyle name="Normal 4 3 6 2" xfId="19616" xr:uid="{00000000-0005-0000-0000-000001470000}"/>
    <cellStyle name="Normal 4 3 6 2 2" xfId="36192" xr:uid="{00000000-0005-0000-0000-000002470000}"/>
    <cellStyle name="Normal 4 3 6 3" xfId="28146" xr:uid="{00000000-0005-0000-0000-000003470000}"/>
    <cellStyle name="Normal 4 3 7" xfId="4336" xr:uid="{00000000-0005-0000-0000-000004470000}"/>
    <cellStyle name="Normal 4 4" xfId="308" xr:uid="{00000000-0005-0000-0000-000005470000}"/>
    <cellStyle name="Normal 4 4 2" xfId="309" xr:uid="{00000000-0005-0000-0000-000006470000}"/>
    <cellStyle name="Normal 4 4 2 2" xfId="310" xr:uid="{00000000-0005-0000-0000-000007470000}"/>
    <cellStyle name="Normal 4 4 2 2 2" xfId="19617" xr:uid="{00000000-0005-0000-0000-000008470000}"/>
    <cellStyle name="Normal 4 4 2 2 2 2" xfId="36193" xr:uid="{00000000-0005-0000-0000-000009470000}"/>
    <cellStyle name="Normal 4 4 2 2 3" xfId="28147" xr:uid="{00000000-0005-0000-0000-00000A470000}"/>
    <cellStyle name="Normal 4 4 2 3" xfId="8375" xr:uid="{00000000-0005-0000-0000-00000B470000}"/>
    <cellStyle name="Normal 4 4 3" xfId="311" xr:uid="{00000000-0005-0000-0000-00000C470000}"/>
    <cellStyle name="Normal 4 4 3 2" xfId="312" xr:uid="{00000000-0005-0000-0000-00000D470000}"/>
    <cellStyle name="Normal 4 4 3 2 2" xfId="19619" xr:uid="{00000000-0005-0000-0000-00000E470000}"/>
    <cellStyle name="Normal 4 4 3 2 2 2" xfId="36195" xr:uid="{00000000-0005-0000-0000-00000F470000}"/>
    <cellStyle name="Normal 4 4 3 2 3" xfId="28149" xr:uid="{00000000-0005-0000-0000-000010470000}"/>
    <cellStyle name="Normal 4 4 3 3" xfId="19618" xr:uid="{00000000-0005-0000-0000-000011470000}"/>
    <cellStyle name="Normal 4 4 3 3 2" xfId="36194" xr:uid="{00000000-0005-0000-0000-000012470000}"/>
    <cellStyle name="Normal 4 4 3 4" xfId="28148" xr:uid="{00000000-0005-0000-0000-000013470000}"/>
    <cellStyle name="Normal 4 4 4" xfId="313" xr:uid="{00000000-0005-0000-0000-000014470000}"/>
    <cellStyle name="Normal 4 4 4 2" xfId="19620" xr:uid="{00000000-0005-0000-0000-000015470000}"/>
    <cellStyle name="Normal 4 4 4 2 2" xfId="36196" xr:uid="{00000000-0005-0000-0000-000016470000}"/>
    <cellStyle name="Normal 4 4 4 3" xfId="28150" xr:uid="{00000000-0005-0000-0000-000017470000}"/>
    <cellStyle name="Normal 4 4 5" xfId="6626" xr:uid="{00000000-0005-0000-0000-000018470000}"/>
    <cellStyle name="Normal 4 5" xfId="314" xr:uid="{00000000-0005-0000-0000-000019470000}"/>
    <cellStyle name="Normal 4 5 2" xfId="315" xr:uid="{00000000-0005-0000-0000-00001A470000}"/>
    <cellStyle name="Normal 4 5 2 2" xfId="19621" xr:uid="{00000000-0005-0000-0000-00001B470000}"/>
    <cellStyle name="Normal 4 5 2 2 2" xfId="36197" xr:uid="{00000000-0005-0000-0000-00001C470000}"/>
    <cellStyle name="Normal 4 5 2 3" xfId="28151" xr:uid="{00000000-0005-0000-0000-00001D470000}"/>
    <cellStyle name="Normal 4 5 3" xfId="4334" xr:uid="{00000000-0005-0000-0000-00001E470000}"/>
    <cellStyle name="Normal 4 6" xfId="316" xr:uid="{00000000-0005-0000-0000-00001F470000}"/>
    <cellStyle name="Normal 4 6 2" xfId="317" xr:uid="{00000000-0005-0000-0000-000020470000}"/>
    <cellStyle name="Normal 4 6 2 2" xfId="19623" xr:uid="{00000000-0005-0000-0000-000021470000}"/>
    <cellStyle name="Normal 4 6 2 2 2" xfId="36199" xr:uid="{00000000-0005-0000-0000-000022470000}"/>
    <cellStyle name="Normal 4 6 2 3" xfId="28153" xr:uid="{00000000-0005-0000-0000-000023470000}"/>
    <cellStyle name="Normal 4 6 3" xfId="19622" xr:uid="{00000000-0005-0000-0000-000024470000}"/>
    <cellStyle name="Normal 4 6 3 2" xfId="36198" xr:uid="{00000000-0005-0000-0000-000025470000}"/>
    <cellStyle name="Normal 4 6 4" xfId="28152" xr:uid="{00000000-0005-0000-0000-000026470000}"/>
    <cellStyle name="Normal 4 7" xfId="318" xr:uid="{00000000-0005-0000-0000-000027470000}"/>
    <cellStyle name="Normal 4 7 2" xfId="319" xr:uid="{00000000-0005-0000-0000-000028470000}"/>
    <cellStyle name="Normal 4 7 2 2" xfId="19625" xr:uid="{00000000-0005-0000-0000-000029470000}"/>
    <cellStyle name="Normal 4 7 2 2 2" xfId="36201" xr:uid="{00000000-0005-0000-0000-00002A470000}"/>
    <cellStyle name="Normal 4 7 2 3" xfId="28155" xr:uid="{00000000-0005-0000-0000-00002B470000}"/>
    <cellStyle name="Normal 4 7 3" xfId="19624" xr:uid="{00000000-0005-0000-0000-00002C470000}"/>
    <cellStyle name="Normal 4 7 3 2" xfId="36200" xr:uid="{00000000-0005-0000-0000-00002D470000}"/>
    <cellStyle name="Normal 4 7 4" xfId="28154" xr:uid="{00000000-0005-0000-0000-00002E470000}"/>
    <cellStyle name="Normal 4 8" xfId="320" xr:uid="{00000000-0005-0000-0000-00002F470000}"/>
    <cellStyle name="Normal 4 8 2" xfId="19626" xr:uid="{00000000-0005-0000-0000-000030470000}"/>
    <cellStyle name="Normal 4 8 2 2" xfId="36202" xr:uid="{00000000-0005-0000-0000-000031470000}"/>
    <cellStyle name="Normal 4 8 3" xfId="28156" xr:uid="{00000000-0005-0000-0000-000032470000}"/>
    <cellStyle name="Normal 4 9" xfId="321" xr:uid="{00000000-0005-0000-0000-000033470000}"/>
    <cellStyle name="Normal 40" xfId="4338" xr:uid="{00000000-0005-0000-0000-000034470000}"/>
    <cellStyle name="Normal 40 10" xfId="13712" xr:uid="{00000000-0005-0000-0000-000035470000}"/>
    <cellStyle name="Normal 40 10 2" xfId="30256" xr:uid="{00000000-0005-0000-0000-000036470000}"/>
    <cellStyle name="Normal 40 11" xfId="22213" xr:uid="{00000000-0005-0000-0000-000037470000}"/>
    <cellStyle name="Normal 40 2" xfId="4339" xr:uid="{00000000-0005-0000-0000-000038470000}"/>
    <cellStyle name="Normal 40 2 2" xfId="4340" xr:uid="{00000000-0005-0000-0000-000039470000}"/>
    <cellStyle name="Normal 40 2 3" xfId="13713" xr:uid="{00000000-0005-0000-0000-00003A470000}"/>
    <cellStyle name="Normal 40 2 3 2" xfId="30257" xr:uid="{00000000-0005-0000-0000-00003B470000}"/>
    <cellStyle name="Normal 40 2 4" xfId="22214" xr:uid="{00000000-0005-0000-0000-00003C470000}"/>
    <cellStyle name="Normal 40 3" xfId="4341" xr:uid="{00000000-0005-0000-0000-00003D470000}"/>
    <cellStyle name="Normal 40 3 2" xfId="4342" xr:uid="{00000000-0005-0000-0000-00003E470000}"/>
    <cellStyle name="Normal 40 3 2 2" xfId="4343" xr:uid="{00000000-0005-0000-0000-00003F470000}"/>
    <cellStyle name="Normal 40 3 2 2 2" xfId="4344" xr:uid="{00000000-0005-0000-0000-000040470000}"/>
    <cellStyle name="Normal 40 3 2 2 2 2" xfId="8376" xr:uid="{00000000-0005-0000-0000-000041470000}"/>
    <cellStyle name="Normal 40 3 2 2 2 2 2" xfId="17552" xr:uid="{00000000-0005-0000-0000-000042470000}"/>
    <cellStyle name="Normal 40 3 2 2 2 2 2 2" xfId="34126" xr:uid="{00000000-0005-0000-0000-000043470000}"/>
    <cellStyle name="Normal 40 3 2 2 2 2 3" xfId="26079" xr:uid="{00000000-0005-0000-0000-000044470000}"/>
    <cellStyle name="Normal 40 3 2 2 2 3" xfId="13716" xr:uid="{00000000-0005-0000-0000-000045470000}"/>
    <cellStyle name="Normal 40 3 2 2 2 3 2" xfId="30260" xr:uid="{00000000-0005-0000-0000-000046470000}"/>
    <cellStyle name="Normal 40 3 2 2 2 4" xfId="22217" xr:uid="{00000000-0005-0000-0000-000047470000}"/>
    <cellStyle name="Normal 40 3 2 2 3" xfId="8377" xr:uid="{00000000-0005-0000-0000-000048470000}"/>
    <cellStyle name="Normal 40 3 2 2 3 2" xfId="17553" xr:uid="{00000000-0005-0000-0000-000049470000}"/>
    <cellStyle name="Normal 40 3 2 2 3 2 2" xfId="34127" xr:uid="{00000000-0005-0000-0000-00004A470000}"/>
    <cellStyle name="Normal 40 3 2 2 3 3" xfId="26080" xr:uid="{00000000-0005-0000-0000-00004B470000}"/>
    <cellStyle name="Normal 40 3 2 2 4" xfId="13715" xr:uid="{00000000-0005-0000-0000-00004C470000}"/>
    <cellStyle name="Normal 40 3 2 2 4 2" xfId="30259" xr:uid="{00000000-0005-0000-0000-00004D470000}"/>
    <cellStyle name="Normal 40 3 2 2 5" xfId="22216" xr:uid="{00000000-0005-0000-0000-00004E470000}"/>
    <cellStyle name="Normal 40 3 2 3" xfId="4345" xr:uid="{00000000-0005-0000-0000-00004F470000}"/>
    <cellStyle name="Normal 40 3 2 3 2" xfId="8378" xr:uid="{00000000-0005-0000-0000-000050470000}"/>
    <cellStyle name="Normal 40 3 2 3 2 2" xfId="17554" xr:uid="{00000000-0005-0000-0000-000051470000}"/>
    <cellStyle name="Normal 40 3 2 3 2 2 2" xfId="34128" xr:uid="{00000000-0005-0000-0000-000052470000}"/>
    <cellStyle name="Normal 40 3 2 3 2 3" xfId="26081" xr:uid="{00000000-0005-0000-0000-000053470000}"/>
    <cellStyle name="Normal 40 3 2 3 3" xfId="13717" xr:uid="{00000000-0005-0000-0000-000054470000}"/>
    <cellStyle name="Normal 40 3 2 3 3 2" xfId="30261" xr:uid="{00000000-0005-0000-0000-000055470000}"/>
    <cellStyle name="Normal 40 3 2 3 4" xfId="22218" xr:uid="{00000000-0005-0000-0000-000056470000}"/>
    <cellStyle name="Normal 40 3 2 4" xfId="8379" xr:uid="{00000000-0005-0000-0000-000057470000}"/>
    <cellStyle name="Normal 40 3 2 4 2" xfId="17555" xr:uid="{00000000-0005-0000-0000-000058470000}"/>
    <cellStyle name="Normal 40 3 2 4 2 2" xfId="34129" xr:uid="{00000000-0005-0000-0000-000059470000}"/>
    <cellStyle name="Normal 40 3 2 4 3" xfId="26082" xr:uid="{00000000-0005-0000-0000-00005A470000}"/>
    <cellStyle name="Normal 40 3 2 5" xfId="13714" xr:uid="{00000000-0005-0000-0000-00005B470000}"/>
    <cellStyle name="Normal 40 3 2 5 2" xfId="30258" xr:uid="{00000000-0005-0000-0000-00005C470000}"/>
    <cellStyle name="Normal 40 3 2 6" xfId="22215" xr:uid="{00000000-0005-0000-0000-00005D470000}"/>
    <cellStyle name="Normal 40 3 3" xfId="4346" xr:uid="{00000000-0005-0000-0000-00005E470000}"/>
    <cellStyle name="Normal 40 3 3 2" xfId="4347" xr:uid="{00000000-0005-0000-0000-00005F470000}"/>
    <cellStyle name="Normal 40 3 3 2 2" xfId="8380" xr:uid="{00000000-0005-0000-0000-000060470000}"/>
    <cellStyle name="Normal 40 3 3 2 2 2" xfId="17556" xr:uid="{00000000-0005-0000-0000-000061470000}"/>
    <cellStyle name="Normal 40 3 3 2 2 2 2" xfId="34130" xr:uid="{00000000-0005-0000-0000-000062470000}"/>
    <cellStyle name="Normal 40 3 3 2 2 3" xfId="26083" xr:uid="{00000000-0005-0000-0000-000063470000}"/>
    <cellStyle name="Normal 40 3 3 2 3" xfId="13719" xr:uid="{00000000-0005-0000-0000-000064470000}"/>
    <cellStyle name="Normal 40 3 3 2 3 2" xfId="30263" xr:uid="{00000000-0005-0000-0000-000065470000}"/>
    <cellStyle name="Normal 40 3 3 2 4" xfId="22220" xr:uid="{00000000-0005-0000-0000-000066470000}"/>
    <cellStyle name="Normal 40 3 3 3" xfId="8381" xr:uid="{00000000-0005-0000-0000-000067470000}"/>
    <cellStyle name="Normal 40 3 3 3 2" xfId="17557" xr:uid="{00000000-0005-0000-0000-000068470000}"/>
    <cellStyle name="Normal 40 3 3 3 2 2" xfId="34131" xr:uid="{00000000-0005-0000-0000-000069470000}"/>
    <cellStyle name="Normal 40 3 3 3 3" xfId="26084" xr:uid="{00000000-0005-0000-0000-00006A470000}"/>
    <cellStyle name="Normal 40 3 3 4" xfId="13718" xr:uid="{00000000-0005-0000-0000-00006B470000}"/>
    <cellStyle name="Normal 40 3 3 4 2" xfId="30262" xr:uid="{00000000-0005-0000-0000-00006C470000}"/>
    <cellStyle name="Normal 40 3 3 5" xfId="22219" xr:uid="{00000000-0005-0000-0000-00006D470000}"/>
    <cellStyle name="Normal 40 3 4" xfId="4348" xr:uid="{00000000-0005-0000-0000-00006E470000}"/>
    <cellStyle name="Normal 40 3 4 2" xfId="8382" xr:uid="{00000000-0005-0000-0000-00006F470000}"/>
    <cellStyle name="Normal 40 3 4 2 2" xfId="17558" xr:uid="{00000000-0005-0000-0000-000070470000}"/>
    <cellStyle name="Normal 40 3 4 2 2 2" xfId="34132" xr:uid="{00000000-0005-0000-0000-000071470000}"/>
    <cellStyle name="Normal 40 3 4 2 3" xfId="26085" xr:uid="{00000000-0005-0000-0000-000072470000}"/>
    <cellStyle name="Normal 40 3 4 3" xfId="13720" xr:uid="{00000000-0005-0000-0000-000073470000}"/>
    <cellStyle name="Normal 40 3 4 3 2" xfId="30264" xr:uid="{00000000-0005-0000-0000-000074470000}"/>
    <cellStyle name="Normal 40 3 4 4" xfId="22221" xr:uid="{00000000-0005-0000-0000-000075470000}"/>
    <cellStyle name="Normal 40 3 5" xfId="4349" xr:uid="{00000000-0005-0000-0000-000076470000}"/>
    <cellStyle name="Normal 40 3 5 2" xfId="13721" xr:uid="{00000000-0005-0000-0000-000077470000}"/>
    <cellStyle name="Normal 40 3 5 2 2" xfId="30265" xr:uid="{00000000-0005-0000-0000-000078470000}"/>
    <cellStyle name="Normal 40 3 5 3" xfId="22222" xr:uid="{00000000-0005-0000-0000-000079470000}"/>
    <cellStyle name="Normal 40 4" xfId="4350" xr:uid="{00000000-0005-0000-0000-00007A470000}"/>
    <cellStyle name="Normal 40 4 2" xfId="4351" xr:uid="{00000000-0005-0000-0000-00007B470000}"/>
    <cellStyle name="Normal 40 4 2 2" xfId="4352" xr:uid="{00000000-0005-0000-0000-00007C470000}"/>
    <cellStyle name="Normal 40 4 2 2 2" xfId="4353" xr:uid="{00000000-0005-0000-0000-00007D470000}"/>
    <cellStyle name="Normal 40 4 2 2 2 2" xfId="8383" xr:uid="{00000000-0005-0000-0000-00007E470000}"/>
    <cellStyle name="Normal 40 4 2 2 2 2 2" xfId="17559" xr:uid="{00000000-0005-0000-0000-00007F470000}"/>
    <cellStyle name="Normal 40 4 2 2 2 2 2 2" xfId="34133" xr:uid="{00000000-0005-0000-0000-000080470000}"/>
    <cellStyle name="Normal 40 4 2 2 2 2 3" xfId="26086" xr:uid="{00000000-0005-0000-0000-000081470000}"/>
    <cellStyle name="Normal 40 4 2 2 2 3" xfId="13725" xr:uid="{00000000-0005-0000-0000-000082470000}"/>
    <cellStyle name="Normal 40 4 2 2 2 3 2" xfId="30269" xr:uid="{00000000-0005-0000-0000-000083470000}"/>
    <cellStyle name="Normal 40 4 2 2 2 4" xfId="22226" xr:uid="{00000000-0005-0000-0000-000084470000}"/>
    <cellStyle name="Normal 40 4 2 2 3" xfId="8384" xr:uid="{00000000-0005-0000-0000-000085470000}"/>
    <cellStyle name="Normal 40 4 2 2 3 2" xfId="17560" xr:uid="{00000000-0005-0000-0000-000086470000}"/>
    <cellStyle name="Normal 40 4 2 2 3 2 2" xfId="34134" xr:uid="{00000000-0005-0000-0000-000087470000}"/>
    <cellStyle name="Normal 40 4 2 2 3 3" xfId="26087" xr:uid="{00000000-0005-0000-0000-000088470000}"/>
    <cellStyle name="Normal 40 4 2 2 4" xfId="13724" xr:uid="{00000000-0005-0000-0000-000089470000}"/>
    <cellStyle name="Normal 40 4 2 2 4 2" xfId="30268" xr:uid="{00000000-0005-0000-0000-00008A470000}"/>
    <cellStyle name="Normal 40 4 2 2 5" xfId="22225" xr:uid="{00000000-0005-0000-0000-00008B470000}"/>
    <cellStyle name="Normal 40 4 2 3" xfId="4354" xr:uid="{00000000-0005-0000-0000-00008C470000}"/>
    <cellStyle name="Normal 40 4 2 3 2" xfId="8385" xr:uid="{00000000-0005-0000-0000-00008D470000}"/>
    <cellStyle name="Normal 40 4 2 3 2 2" xfId="17561" xr:uid="{00000000-0005-0000-0000-00008E470000}"/>
    <cellStyle name="Normal 40 4 2 3 2 2 2" xfId="34135" xr:uid="{00000000-0005-0000-0000-00008F470000}"/>
    <cellStyle name="Normal 40 4 2 3 2 3" xfId="26088" xr:uid="{00000000-0005-0000-0000-000090470000}"/>
    <cellStyle name="Normal 40 4 2 3 3" xfId="13726" xr:uid="{00000000-0005-0000-0000-000091470000}"/>
    <cellStyle name="Normal 40 4 2 3 3 2" xfId="30270" xr:uid="{00000000-0005-0000-0000-000092470000}"/>
    <cellStyle name="Normal 40 4 2 3 4" xfId="22227" xr:uid="{00000000-0005-0000-0000-000093470000}"/>
    <cellStyle name="Normal 40 4 2 4" xfId="8386" xr:uid="{00000000-0005-0000-0000-000094470000}"/>
    <cellStyle name="Normal 40 4 2 4 2" xfId="17562" xr:uid="{00000000-0005-0000-0000-000095470000}"/>
    <cellStyle name="Normal 40 4 2 4 2 2" xfId="34136" xr:uid="{00000000-0005-0000-0000-000096470000}"/>
    <cellStyle name="Normal 40 4 2 4 3" xfId="26089" xr:uid="{00000000-0005-0000-0000-000097470000}"/>
    <cellStyle name="Normal 40 4 2 5" xfId="13723" xr:uid="{00000000-0005-0000-0000-000098470000}"/>
    <cellStyle name="Normal 40 4 2 5 2" xfId="30267" xr:uid="{00000000-0005-0000-0000-000099470000}"/>
    <cellStyle name="Normal 40 4 2 6" xfId="22224" xr:uid="{00000000-0005-0000-0000-00009A470000}"/>
    <cellStyle name="Normal 40 4 3" xfId="4355" xr:uid="{00000000-0005-0000-0000-00009B470000}"/>
    <cellStyle name="Normal 40 4 3 2" xfId="4356" xr:uid="{00000000-0005-0000-0000-00009C470000}"/>
    <cellStyle name="Normal 40 4 3 2 2" xfId="8387" xr:uid="{00000000-0005-0000-0000-00009D470000}"/>
    <cellStyle name="Normal 40 4 3 2 2 2" xfId="17563" xr:uid="{00000000-0005-0000-0000-00009E470000}"/>
    <cellStyle name="Normal 40 4 3 2 2 2 2" xfId="34137" xr:uid="{00000000-0005-0000-0000-00009F470000}"/>
    <cellStyle name="Normal 40 4 3 2 2 3" xfId="26090" xr:uid="{00000000-0005-0000-0000-0000A0470000}"/>
    <cellStyle name="Normal 40 4 3 2 3" xfId="13728" xr:uid="{00000000-0005-0000-0000-0000A1470000}"/>
    <cellStyle name="Normal 40 4 3 2 3 2" xfId="30272" xr:uid="{00000000-0005-0000-0000-0000A2470000}"/>
    <cellStyle name="Normal 40 4 3 2 4" xfId="22229" xr:uid="{00000000-0005-0000-0000-0000A3470000}"/>
    <cellStyle name="Normal 40 4 3 3" xfId="8388" xr:uid="{00000000-0005-0000-0000-0000A4470000}"/>
    <cellStyle name="Normal 40 4 3 3 2" xfId="17564" xr:uid="{00000000-0005-0000-0000-0000A5470000}"/>
    <cellStyle name="Normal 40 4 3 3 2 2" xfId="34138" xr:uid="{00000000-0005-0000-0000-0000A6470000}"/>
    <cellStyle name="Normal 40 4 3 3 3" xfId="26091" xr:uid="{00000000-0005-0000-0000-0000A7470000}"/>
    <cellStyle name="Normal 40 4 3 4" xfId="13727" xr:uid="{00000000-0005-0000-0000-0000A8470000}"/>
    <cellStyle name="Normal 40 4 3 4 2" xfId="30271" xr:uid="{00000000-0005-0000-0000-0000A9470000}"/>
    <cellStyle name="Normal 40 4 3 5" xfId="22228" xr:uid="{00000000-0005-0000-0000-0000AA470000}"/>
    <cellStyle name="Normal 40 4 4" xfId="4357" xr:uid="{00000000-0005-0000-0000-0000AB470000}"/>
    <cellStyle name="Normal 40 4 4 2" xfId="8389" xr:uid="{00000000-0005-0000-0000-0000AC470000}"/>
    <cellStyle name="Normal 40 4 4 2 2" xfId="17565" xr:uid="{00000000-0005-0000-0000-0000AD470000}"/>
    <cellStyle name="Normal 40 4 4 2 2 2" xfId="34139" xr:uid="{00000000-0005-0000-0000-0000AE470000}"/>
    <cellStyle name="Normal 40 4 4 2 3" xfId="26092" xr:uid="{00000000-0005-0000-0000-0000AF470000}"/>
    <cellStyle name="Normal 40 4 4 3" xfId="13729" xr:uid="{00000000-0005-0000-0000-0000B0470000}"/>
    <cellStyle name="Normal 40 4 4 3 2" xfId="30273" xr:uid="{00000000-0005-0000-0000-0000B1470000}"/>
    <cellStyle name="Normal 40 4 4 4" xfId="22230" xr:uid="{00000000-0005-0000-0000-0000B2470000}"/>
    <cellStyle name="Normal 40 4 5" xfId="8390" xr:uid="{00000000-0005-0000-0000-0000B3470000}"/>
    <cellStyle name="Normal 40 4 5 2" xfId="17566" xr:uid="{00000000-0005-0000-0000-0000B4470000}"/>
    <cellStyle name="Normal 40 4 5 2 2" xfId="34140" xr:uid="{00000000-0005-0000-0000-0000B5470000}"/>
    <cellStyle name="Normal 40 4 5 3" xfId="26093" xr:uid="{00000000-0005-0000-0000-0000B6470000}"/>
    <cellStyle name="Normal 40 4 6" xfId="13722" xr:uid="{00000000-0005-0000-0000-0000B7470000}"/>
    <cellStyle name="Normal 40 4 6 2" xfId="30266" xr:uid="{00000000-0005-0000-0000-0000B8470000}"/>
    <cellStyle name="Normal 40 4 7" xfId="22223" xr:uid="{00000000-0005-0000-0000-0000B9470000}"/>
    <cellStyle name="Normal 40 5" xfId="4358" xr:uid="{00000000-0005-0000-0000-0000BA470000}"/>
    <cellStyle name="Normal 40 5 2" xfId="4359" xr:uid="{00000000-0005-0000-0000-0000BB470000}"/>
    <cellStyle name="Normal 40 5 2 2" xfId="4360" xr:uid="{00000000-0005-0000-0000-0000BC470000}"/>
    <cellStyle name="Normal 40 5 2 2 2" xfId="4361" xr:uid="{00000000-0005-0000-0000-0000BD470000}"/>
    <cellStyle name="Normal 40 5 2 2 2 2" xfId="8391" xr:uid="{00000000-0005-0000-0000-0000BE470000}"/>
    <cellStyle name="Normal 40 5 2 2 2 2 2" xfId="17567" xr:uid="{00000000-0005-0000-0000-0000BF470000}"/>
    <cellStyle name="Normal 40 5 2 2 2 2 2 2" xfId="34141" xr:uid="{00000000-0005-0000-0000-0000C0470000}"/>
    <cellStyle name="Normal 40 5 2 2 2 2 3" xfId="26094" xr:uid="{00000000-0005-0000-0000-0000C1470000}"/>
    <cellStyle name="Normal 40 5 2 2 2 3" xfId="13733" xr:uid="{00000000-0005-0000-0000-0000C2470000}"/>
    <cellStyle name="Normal 40 5 2 2 2 3 2" xfId="30277" xr:uid="{00000000-0005-0000-0000-0000C3470000}"/>
    <cellStyle name="Normal 40 5 2 2 2 4" xfId="22234" xr:uid="{00000000-0005-0000-0000-0000C4470000}"/>
    <cellStyle name="Normal 40 5 2 2 3" xfId="8392" xr:uid="{00000000-0005-0000-0000-0000C5470000}"/>
    <cellStyle name="Normal 40 5 2 2 3 2" xfId="17568" xr:uid="{00000000-0005-0000-0000-0000C6470000}"/>
    <cellStyle name="Normal 40 5 2 2 3 2 2" xfId="34142" xr:uid="{00000000-0005-0000-0000-0000C7470000}"/>
    <cellStyle name="Normal 40 5 2 2 3 3" xfId="26095" xr:uid="{00000000-0005-0000-0000-0000C8470000}"/>
    <cellStyle name="Normal 40 5 2 2 4" xfId="13732" xr:uid="{00000000-0005-0000-0000-0000C9470000}"/>
    <cellStyle name="Normal 40 5 2 2 4 2" xfId="30276" xr:uid="{00000000-0005-0000-0000-0000CA470000}"/>
    <cellStyle name="Normal 40 5 2 2 5" xfId="22233" xr:uid="{00000000-0005-0000-0000-0000CB470000}"/>
    <cellStyle name="Normal 40 5 2 3" xfId="4362" xr:uid="{00000000-0005-0000-0000-0000CC470000}"/>
    <cellStyle name="Normal 40 5 2 3 2" xfId="8393" xr:uid="{00000000-0005-0000-0000-0000CD470000}"/>
    <cellStyle name="Normal 40 5 2 3 2 2" xfId="17569" xr:uid="{00000000-0005-0000-0000-0000CE470000}"/>
    <cellStyle name="Normal 40 5 2 3 2 2 2" xfId="34143" xr:uid="{00000000-0005-0000-0000-0000CF470000}"/>
    <cellStyle name="Normal 40 5 2 3 2 3" xfId="26096" xr:uid="{00000000-0005-0000-0000-0000D0470000}"/>
    <cellStyle name="Normal 40 5 2 3 3" xfId="13734" xr:uid="{00000000-0005-0000-0000-0000D1470000}"/>
    <cellStyle name="Normal 40 5 2 3 3 2" xfId="30278" xr:uid="{00000000-0005-0000-0000-0000D2470000}"/>
    <cellStyle name="Normal 40 5 2 3 4" xfId="22235" xr:uid="{00000000-0005-0000-0000-0000D3470000}"/>
    <cellStyle name="Normal 40 5 2 4" xfId="8394" xr:uid="{00000000-0005-0000-0000-0000D4470000}"/>
    <cellStyle name="Normal 40 5 2 4 2" xfId="17570" xr:uid="{00000000-0005-0000-0000-0000D5470000}"/>
    <cellStyle name="Normal 40 5 2 4 2 2" xfId="34144" xr:uid="{00000000-0005-0000-0000-0000D6470000}"/>
    <cellStyle name="Normal 40 5 2 4 3" xfId="26097" xr:uid="{00000000-0005-0000-0000-0000D7470000}"/>
    <cellStyle name="Normal 40 5 2 5" xfId="13731" xr:uid="{00000000-0005-0000-0000-0000D8470000}"/>
    <cellStyle name="Normal 40 5 2 5 2" xfId="30275" xr:uid="{00000000-0005-0000-0000-0000D9470000}"/>
    <cellStyle name="Normal 40 5 2 6" xfId="22232" xr:uid="{00000000-0005-0000-0000-0000DA470000}"/>
    <cellStyle name="Normal 40 5 3" xfId="4363" xr:uid="{00000000-0005-0000-0000-0000DB470000}"/>
    <cellStyle name="Normal 40 5 3 2" xfId="4364" xr:uid="{00000000-0005-0000-0000-0000DC470000}"/>
    <cellStyle name="Normal 40 5 3 2 2" xfId="8395" xr:uid="{00000000-0005-0000-0000-0000DD470000}"/>
    <cellStyle name="Normal 40 5 3 2 2 2" xfId="17571" xr:uid="{00000000-0005-0000-0000-0000DE470000}"/>
    <cellStyle name="Normal 40 5 3 2 2 2 2" xfId="34145" xr:uid="{00000000-0005-0000-0000-0000DF470000}"/>
    <cellStyle name="Normal 40 5 3 2 2 3" xfId="26098" xr:uid="{00000000-0005-0000-0000-0000E0470000}"/>
    <cellStyle name="Normal 40 5 3 2 3" xfId="13736" xr:uid="{00000000-0005-0000-0000-0000E1470000}"/>
    <cellStyle name="Normal 40 5 3 2 3 2" xfId="30280" xr:uid="{00000000-0005-0000-0000-0000E2470000}"/>
    <cellStyle name="Normal 40 5 3 2 4" xfId="22237" xr:uid="{00000000-0005-0000-0000-0000E3470000}"/>
    <cellStyle name="Normal 40 5 3 3" xfId="8396" xr:uid="{00000000-0005-0000-0000-0000E4470000}"/>
    <cellStyle name="Normal 40 5 3 3 2" xfId="17572" xr:uid="{00000000-0005-0000-0000-0000E5470000}"/>
    <cellStyle name="Normal 40 5 3 3 2 2" xfId="34146" xr:uid="{00000000-0005-0000-0000-0000E6470000}"/>
    <cellStyle name="Normal 40 5 3 3 3" xfId="26099" xr:uid="{00000000-0005-0000-0000-0000E7470000}"/>
    <cellStyle name="Normal 40 5 3 4" xfId="13735" xr:uid="{00000000-0005-0000-0000-0000E8470000}"/>
    <cellStyle name="Normal 40 5 3 4 2" xfId="30279" xr:uid="{00000000-0005-0000-0000-0000E9470000}"/>
    <cellStyle name="Normal 40 5 3 5" xfId="22236" xr:uid="{00000000-0005-0000-0000-0000EA470000}"/>
    <cellStyle name="Normal 40 5 4" xfId="4365" xr:uid="{00000000-0005-0000-0000-0000EB470000}"/>
    <cellStyle name="Normal 40 5 4 2" xfId="8397" xr:uid="{00000000-0005-0000-0000-0000EC470000}"/>
    <cellStyle name="Normal 40 5 4 2 2" xfId="17573" xr:uid="{00000000-0005-0000-0000-0000ED470000}"/>
    <cellStyle name="Normal 40 5 4 2 2 2" xfId="34147" xr:uid="{00000000-0005-0000-0000-0000EE470000}"/>
    <cellStyle name="Normal 40 5 4 2 3" xfId="26100" xr:uid="{00000000-0005-0000-0000-0000EF470000}"/>
    <cellStyle name="Normal 40 5 4 3" xfId="13737" xr:uid="{00000000-0005-0000-0000-0000F0470000}"/>
    <cellStyle name="Normal 40 5 4 3 2" xfId="30281" xr:uid="{00000000-0005-0000-0000-0000F1470000}"/>
    <cellStyle name="Normal 40 5 4 4" xfId="22238" xr:uid="{00000000-0005-0000-0000-0000F2470000}"/>
    <cellStyle name="Normal 40 5 5" xfId="8398" xr:uid="{00000000-0005-0000-0000-0000F3470000}"/>
    <cellStyle name="Normal 40 5 5 2" xfId="17574" xr:uid="{00000000-0005-0000-0000-0000F4470000}"/>
    <cellStyle name="Normal 40 5 5 2 2" xfId="34148" xr:uid="{00000000-0005-0000-0000-0000F5470000}"/>
    <cellStyle name="Normal 40 5 5 3" xfId="26101" xr:uid="{00000000-0005-0000-0000-0000F6470000}"/>
    <cellStyle name="Normal 40 5 6" xfId="13730" xr:uid="{00000000-0005-0000-0000-0000F7470000}"/>
    <cellStyle name="Normal 40 5 6 2" xfId="30274" xr:uid="{00000000-0005-0000-0000-0000F8470000}"/>
    <cellStyle name="Normal 40 5 7" xfId="22231" xr:uid="{00000000-0005-0000-0000-0000F9470000}"/>
    <cellStyle name="Normal 40 6" xfId="4366" xr:uid="{00000000-0005-0000-0000-0000FA470000}"/>
    <cellStyle name="Normal 40 6 2" xfId="4367" xr:uid="{00000000-0005-0000-0000-0000FB470000}"/>
    <cellStyle name="Normal 40 6 2 2" xfId="4368" xr:uid="{00000000-0005-0000-0000-0000FC470000}"/>
    <cellStyle name="Normal 40 6 2 2 2" xfId="8399" xr:uid="{00000000-0005-0000-0000-0000FD470000}"/>
    <cellStyle name="Normal 40 6 2 2 2 2" xfId="17575" xr:uid="{00000000-0005-0000-0000-0000FE470000}"/>
    <cellStyle name="Normal 40 6 2 2 2 2 2" xfId="34149" xr:uid="{00000000-0005-0000-0000-0000FF470000}"/>
    <cellStyle name="Normal 40 6 2 2 2 3" xfId="26102" xr:uid="{00000000-0005-0000-0000-000000480000}"/>
    <cellStyle name="Normal 40 6 2 2 3" xfId="13740" xr:uid="{00000000-0005-0000-0000-000001480000}"/>
    <cellStyle name="Normal 40 6 2 2 3 2" xfId="30284" xr:uid="{00000000-0005-0000-0000-000002480000}"/>
    <cellStyle name="Normal 40 6 2 2 4" xfId="22241" xr:uid="{00000000-0005-0000-0000-000003480000}"/>
    <cellStyle name="Normal 40 6 2 3" xfId="8400" xr:uid="{00000000-0005-0000-0000-000004480000}"/>
    <cellStyle name="Normal 40 6 2 3 2" xfId="17576" xr:uid="{00000000-0005-0000-0000-000005480000}"/>
    <cellStyle name="Normal 40 6 2 3 2 2" xfId="34150" xr:uid="{00000000-0005-0000-0000-000006480000}"/>
    <cellStyle name="Normal 40 6 2 3 3" xfId="26103" xr:uid="{00000000-0005-0000-0000-000007480000}"/>
    <cellStyle name="Normal 40 6 2 4" xfId="13739" xr:uid="{00000000-0005-0000-0000-000008480000}"/>
    <cellStyle name="Normal 40 6 2 4 2" xfId="30283" xr:uid="{00000000-0005-0000-0000-000009480000}"/>
    <cellStyle name="Normal 40 6 2 5" xfId="22240" xr:uid="{00000000-0005-0000-0000-00000A480000}"/>
    <cellStyle name="Normal 40 6 3" xfId="4369" xr:uid="{00000000-0005-0000-0000-00000B480000}"/>
    <cellStyle name="Normal 40 6 3 2" xfId="8401" xr:uid="{00000000-0005-0000-0000-00000C480000}"/>
    <cellStyle name="Normal 40 6 3 2 2" xfId="17577" xr:uid="{00000000-0005-0000-0000-00000D480000}"/>
    <cellStyle name="Normal 40 6 3 2 2 2" xfId="34151" xr:uid="{00000000-0005-0000-0000-00000E480000}"/>
    <cellStyle name="Normal 40 6 3 2 3" xfId="26104" xr:uid="{00000000-0005-0000-0000-00000F480000}"/>
    <cellStyle name="Normal 40 6 3 3" xfId="13741" xr:uid="{00000000-0005-0000-0000-000010480000}"/>
    <cellStyle name="Normal 40 6 3 3 2" xfId="30285" xr:uid="{00000000-0005-0000-0000-000011480000}"/>
    <cellStyle name="Normal 40 6 3 4" xfId="22242" xr:uid="{00000000-0005-0000-0000-000012480000}"/>
    <cellStyle name="Normal 40 6 4" xfId="8402" xr:uid="{00000000-0005-0000-0000-000013480000}"/>
    <cellStyle name="Normal 40 6 4 2" xfId="17578" xr:uid="{00000000-0005-0000-0000-000014480000}"/>
    <cellStyle name="Normal 40 6 4 2 2" xfId="34152" xr:uid="{00000000-0005-0000-0000-000015480000}"/>
    <cellStyle name="Normal 40 6 4 3" xfId="26105" xr:uid="{00000000-0005-0000-0000-000016480000}"/>
    <cellStyle name="Normal 40 6 5" xfId="13738" xr:uid="{00000000-0005-0000-0000-000017480000}"/>
    <cellStyle name="Normal 40 6 5 2" xfId="30282" xr:uid="{00000000-0005-0000-0000-000018480000}"/>
    <cellStyle name="Normal 40 6 6" xfId="22239" xr:uid="{00000000-0005-0000-0000-000019480000}"/>
    <cellStyle name="Normal 40 7" xfId="4370" xr:uid="{00000000-0005-0000-0000-00001A480000}"/>
    <cellStyle name="Normal 40 7 2" xfId="4371" xr:uid="{00000000-0005-0000-0000-00001B480000}"/>
    <cellStyle name="Normal 40 7 2 2" xfId="8403" xr:uid="{00000000-0005-0000-0000-00001C480000}"/>
    <cellStyle name="Normal 40 7 2 2 2" xfId="17579" xr:uid="{00000000-0005-0000-0000-00001D480000}"/>
    <cellStyle name="Normal 40 7 2 2 2 2" xfId="34153" xr:uid="{00000000-0005-0000-0000-00001E480000}"/>
    <cellStyle name="Normal 40 7 2 2 3" xfId="26106" xr:uid="{00000000-0005-0000-0000-00001F480000}"/>
    <cellStyle name="Normal 40 7 2 3" xfId="13743" xr:uid="{00000000-0005-0000-0000-000020480000}"/>
    <cellStyle name="Normal 40 7 2 3 2" xfId="30287" xr:uid="{00000000-0005-0000-0000-000021480000}"/>
    <cellStyle name="Normal 40 7 2 4" xfId="22244" xr:uid="{00000000-0005-0000-0000-000022480000}"/>
    <cellStyle name="Normal 40 7 3" xfId="8404" xr:uid="{00000000-0005-0000-0000-000023480000}"/>
    <cellStyle name="Normal 40 7 3 2" xfId="17580" xr:uid="{00000000-0005-0000-0000-000024480000}"/>
    <cellStyle name="Normal 40 7 3 2 2" xfId="34154" xr:uid="{00000000-0005-0000-0000-000025480000}"/>
    <cellStyle name="Normal 40 7 3 3" xfId="26107" xr:uid="{00000000-0005-0000-0000-000026480000}"/>
    <cellStyle name="Normal 40 7 4" xfId="13742" xr:uid="{00000000-0005-0000-0000-000027480000}"/>
    <cellStyle name="Normal 40 7 4 2" xfId="30286" xr:uid="{00000000-0005-0000-0000-000028480000}"/>
    <cellStyle name="Normal 40 7 5" xfId="22243" xr:uid="{00000000-0005-0000-0000-000029480000}"/>
    <cellStyle name="Normal 40 8" xfId="4372" xr:uid="{00000000-0005-0000-0000-00002A480000}"/>
    <cellStyle name="Normal 40 8 2" xfId="8405" xr:uid="{00000000-0005-0000-0000-00002B480000}"/>
    <cellStyle name="Normal 40 8 2 2" xfId="17581" xr:uid="{00000000-0005-0000-0000-00002C480000}"/>
    <cellStyle name="Normal 40 8 2 2 2" xfId="34155" xr:uid="{00000000-0005-0000-0000-00002D480000}"/>
    <cellStyle name="Normal 40 8 2 3" xfId="26108" xr:uid="{00000000-0005-0000-0000-00002E480000}"/>
    <cellStyle name="Normal 40 8 3" xfId="13744" xr:uid="{00000000-0005-0000-0000-00002F480000}"/>
    <cellStyle name="Normal 40 8 3 2" xfId="30288" xr:uid="{00000000-0005-0000-0000-000030480000}"/>
    <cellStyle name="Normal 40 8 4" xfId="22245" xr:uid="{00000000-0005-0000-0000-000031480000}"/>
    <cellStyle name="Normal 40 9" xfId="8406" xr:uid="{00000000-0005-0000-0000-000032480000}"/>
    <cellStyle name="Normal 40 9 2" xfId="17582" xr:uid="{00000000-0005-0000-0000-000033480000}"/>
    <cellStyle name="Normal 40 9 2 2" xfId="34156" xr:uid="{00000000-0005-0000-0000-000034480000}"/>
    <cellStyle name="Normal 40 9 3" xfId="26109" xr:uid="{00000000-0005-0000-0000-000035480000}"/>
    <cellStyle name="Normal 41" xfId="4373" xr:uid="{00000000-0005-0000-0000-000036480000}"/>
    <cellStyle name="Normal 41 10" xfId="13745" xr:uid="{00000000-0005-0000-0000-000037480000}"/>
    <cellStyle name="Normal 41 10 2" xfId="30289" xr:uid="{00000000-0005-0000-0000-000038480000}"/>
    <cellStyle name="Normal 41 11" xfId="22246" xr:uid="{00000000-0005-0000-0000-000039480000}"/>
    <cellStyle name="Normal 41 2" xfId="4374" xr:uid="{00000000-0005-0000-0000-00003A480000}"/>
    <cellStyle name="Normal 41 2 2" xfId="4375" xr:uid="{00000000-0005-0000-0000-00003B480000}"/>
    <cellStyle name="Normal 41 2 3" xfId="13746" xr:uid="{00000000-0005-0000-0000-00003C480000}"/>
    <cellStyle name="Normal 41 2 3 2" xfId="30290" xr:uid="{00000000-0005-0000-0000-00003D480000}"/>
    <cellStyle name="Normal 41 2 4" xfId="22247" xr:uid="{00000000-0005-0000-0000-00003E480000}"/>
    <cellStyle name="Normal 41 3" xfId="4376" xr:uid="{00000000-0005-0000-0000-00003F480000}"/>
    <cellStyle name="Normal 41 3 2" xfId="4377" xr:uid="{00000000-0005-0000-0000-000040480000}"/>
    <cellStyle name="Normal 41 3 2 2" xfId="4378" xr:uid="{00000000-0005-0000-0000-000041480000}"/>
    <cellStyle name="Normal 41 3 2 2 2" xfId="4379" xr:uid="{00000000-0005-0000-0000-000042480000}"/>
    <cellStyle name="Normal 41 3 2 2 2 2" xfId="8407" xr:uid="{00000000-0005-0000-0000-000043480000}"/>
    <cellStyle name="Normal 41 3 2 2 2 2 2" xfId="17583" xr:uid="{00000000-0005-0000-0000-000044480000}"/>
    <cellStyle name="Normal 41 3 2 2 2 2 2 2" xfId="34157" xr:uid="{00000000-0005-0000-0000-000045480000}"/>
    <cellStyle name="Normal 41 3 2 2 2 2 3" xfId="26110" xr:uid="{00000000-0005-0000-0000-000046480000}"/>
    <cellStyle name="Normal 41 3 2 2 2 3" xfId="13749" xr:uid="{00000000-0005-0000-0000-000047480000}"/>
    <cellStyle name="Normal 41 3 2 2 2 3 2" xfId="30293" xr:uid="{00000000-0005-0000-0000-000048480000}"/>
    <cellStyle name="Normal 41 3 2 2 2 4" xfId="22250" xr:uid="{00000000-0005-0000-0000-000049480000}"/>
    <cellStyle name="Normal 41 3 2 2 3" xfId="8408" xr:uid="{00000000-0005-0000-0000-00004A480000}"/>
    <cellStyle name="Normal 41 3 2 2 3 2" xfId="17584" xr:uid="{00000000-0005-0000-0000-00004B480000}"/>
    <cellStyle name="Normal 41 3 2 2 3 2 2" xfId="34158" xr:uid="{00000000-0005-0000-0000-00004C480000}"/>
    <cellStyle name="Normal 41 3 2 2 3 3" xfId="26111" xr:uid="{00000000-0005-0000-0000-00004D480000}"/>
    <cellStyle name="Normal 41 3 2 2 4" xfId="13748" xr:uid="{00000000-0005-0000-0000-00004E480000}"/>
    <cellStyle name="Normal 41 3 2 2 4 2" xfId="30292" xr:uid="{00000000-0005-0000-0000-00004F480000}"/>
    <cellStyle name="Normal 41 3 2 2 5" xfId="22249" xr:uid="{00000000-0005-0000-0000-000050480000}"/>
    <cellStyle name="Normal 41 3 2 3" xfId="4380" xr:uid="{00000000-0005-0000-0000-000051480000}"/>
    <cellStyle name="Normal 41 3 2 3 2" xfId="8409" xr:uid="{00000000-0005-0000-0000-000052480000}"/>
    <cellStyle name="Normal 41 3 2 3 2 2" xfId="17585" xr:uid="{00000000-0005-0000-0000-000053480000}"/>
    <cellStyle name="Normal 41 3 2 3 2 2 2" xfId="34159" xr:uid="{00000000-0005-0000-0000-000054480000}"/>
    <cellStyle name="Normal 41 3 2 3 2 3" xfId="26112" xr:uid="{00000000-0005-0000-0000-000055480000}"/>
    <cellStyle name="Normal 41 3 2 3 3" xfId="13750" xr:uid="{00000000-0005-0000-0000-000056480000}"/>
    <cellStyle name="Normal 41 3 2 3 3 2" xfId="30294" xr:uid="{00000000-0005-0000-0000-000057480000}"/>
    <cellStyle name="Normal 41 3 2 3 4" xfId="22251" xr:uid="{00000000-0005-0000-0000-000058480000}"/>
    <cellStyle name="Normal 41 3 2 4" xfId="8410" xr:uid="{00000000-0005-0000-0000-000059480000}"/>
    <cellStyle name="Normal 41 3 2 4 2" xfId="17586" xr:uid="{00000000-0005-0000-0000-00005A480000}"/>
    <cellStyle name="Normal 41 3 2 4 2 2" xfId="34160" xr:uid="{00000000-0005-0000-0000-00005B480000}"/>
    <cellStyle name="Normal 41 3 2 4 3" xfId="26113" xr:uid="{00000000-0005-0000-0000-00005C480000}"/>
    <cellStyle name="Normal 41 3 2 5" xfId="13747" xr:uid="{00000000-0005-0000-0000-00005D480000}"/>
    <cellStyle name="Normal 41 3 2 5 2" xfId="30291" xr:uid="{00000000-0005-0000-0000-00005E480000}"/>
    <cellStyle name="Normal 41 3 2 6" xfId="22248" xr:uid="{00000000-0005-0000-0000-00005F480000}"/>
    <cellStyle name="Normal 41 3 3" xfId="4381" xr:uid="{00000000-0005-0000-0000-000060480000}"/>
    <cellStyle name="Normal 41 3 3 2" xfId="4382" xr:uid="{00000000-0005-0000-0000-000061480000}"/>
    <cellStyle name="Normal 41 3 3 2 2" xfId="8411" xr:uid="{00000000-0005-0000-0000-000062480000}"/>
    <cellStyle name="Normal 41 3 3 2 2 2" xfId="17587" xr:uid="{00000000-0005-0000-0000-000063480000}"/>
    <cellStyle name="Normal 41 3 3 2 2 2 2" xfId="34161" xr:uid="{00000000-0005-0000-0000-000064480000}"/>
    <cellStyle name="Normal 41 3 3 2 2 3" xfId="26114" xr:uid="{00000000-0005-0000-0000-000065480000}"/>
    <cellStyle name="Normal 41 3 3 2 3" xfId="13752" xr:uid="{00000000-0005-0000-0000-000066480000}"/>
    <cellStyle name="Normal 41 3 3 2 3 2" xfId="30296" xr:uid="{00000000-0005-0000-0000-000067480000}"/>
    <cellStyle name="Normal 41 3 3 2 4" xfId="22253" xr:uid="{00000000-0005-0000-0000-000068480000}"/>
    <cellStyle name="Normal 41 3 3 3" xfId="8412" xr:uid="{00000000-0005-0000-0000-000069480000}"/>
    <cellStyle name="Normal 41 3 3 3 2" xfId="17588" xr:uid="{00000000-0005-0000-0000-00006A480000}"/>
    <cellStyle name="Normal 41 3 3 3 2 2" xfId="34162" xr:uid="{00000000-0005-0000-0000-00006B480000}"/>
    <cellStyle name="Normal 41 3 3 3 3" xfId="26115" xr:uid="{00000000-0005-0000-0000-00006C480000}"/>
    <cellStyle name="Normal 41 3 3 4" xfId="13751" xr:uid="{00000000-0005-0000-0000-00006D480000}"/>
    <cellStyle name="Normal 41 3 3 4 2" xfId="30295" xr:uid="{00000000-0005-0000-0000-00006E480000}"/>
    <cellStyle name="Normal 41 3 3 5" xfId="22252" xr:uid="{00000000-0005-0000-0000-00006F480000}"/>
    <cellStyle name="Normal 41 3 4" xfId="4383" xr:uid="{00000000-0005-0000-0000-000070480000}"/>
    <cellStyle name="Normal 41 3 4 2" xfId="8413" xr:uid="{00000000-0005-0000-0000-000071480000}"/>
    <cellStyle name="Normal 41 3 4 2 2" xfId="17589" xr:uid="{00000000-0005-0000-0000-000072480000}"/>
    <cellStyle name="Normal 41 3 4 2 2 2" xfId="34163" xr:uid="{00000000-0005-0000-0000-000073480000}"/>
    <cellStyle name="Normal 41 3 4 2 3" xfId="26116" xr:uid="{00000000-0005-0000-0000-000074480000}"/>
    <cellStyle name="Normal 41 3 4 3" xfId="13753" xr:uid="{00000000-0005-0000-0000-000075480000}"/>
    <cellStyle name="Normal 41 3 4 3 2" xfId="30297" xr:uid="{00000000-0005-0000-0000-000076480000}"/>
    <cellStyle name="Normal 41 3 4 4" xfId="22254" xr:uid="{00000000-0005-0000-0000-000077480000}"/>
    <cellStyle name="Normal 41 3 5" xfId="4384" xr:uid="{00000000-0005-0000-0000-000078480000}"/>
    <cellStyle name="Normal 41 3 5 2" xfId="13754" xr:uid="{00000000-0005-0000-0000-000079480000}"/>
    <cellStyle name="Normal 41 3 5 2 2" xfId="30298" xr:uid="{00000000-0005-0000-0000-00007A480000}"/>
    <cellStyle name="Normal 41 3 5 3" xfId="22255" xr:uid="{00000000-0005-0000-0000-00007B480000}"/>
    <cellStyle name="Normal 41 4" xfId="4385" xr:uid="{00000000-0005-0000-0000-00007C480000}"/>
    <cellStyle name="Normal 41 4 2" xfId="4386" xr:uid="{00000000-0005-0000-0000-00007D480000}"/>
    <cellStyle name="Normal 41 4 2 2" xfId="4387" xr:uid="{00000000-0005-0000-0000-00007E480000}"/>
    <cellStyle name="Normal 41 4 2 2 2" xfId="4388" xr:uid="{00000000-0005-0000-0000-00007F480000}"/>
    <cellStyle name="Normal 41 4 2 2 2 2" xfId="8414" xr:uid="{00000000-0005-0000-0000-000080480000}"/>
    <cellStyle name="Normal 41 4 2 2 2 2 2" xfId="17590" xr:uid="{00000000-0005-0000-0000-000081480000}"/>
    <cellStyle name="Normal 41 4 2 2 2 2 2 2" xfId="34164" xr:uid="{00000000-0005-0000-0000-000082480000}"/>
    <cellStyle name="Normal 41 4 2 2 2 2 3" xfId="26117" xr:uid="{00000000-0005-0000-0000-000083480000}"/>
    <cellStyle name="Normal 41 4 2 2 2 3" xfId="13758" xr:uid="{00000000-0005-0000-0000-000084480000}"/>
    <cellStyle name="Normal 41 4 2 2 2 3 2" xfId="30302" xr:uid="{00000000-0005-0000-0000-000085480000}"/>
    <cellStyle name="Normal 41 4 2 2 2 4" xfId="22259" xr:uid="{00000000-0005-0000-0000-000086480000}"/>
    <cellStyle name="Normal 41 4 2 2 3" xfId="8415" xr:uid="{00000000-0005-0000-0000-000087480000}"/>
    <cellStyle name="Normal 41 4 2 2 3 2" xfId="17591" xr:uid="{00000000-0005-0000-0000-000088480000}"/>
    <cellStyle name="Normal 41 4 2 2 3 2 2" xfId="34165" xr:uid="{00000000-0005-0000-0000-000089480000}"/>
    <cellStyle name="Normal 41 4 2 2 3 3" xfId="26118" xr:uid="{00000000-0005-0000-0000-00008A480000}"/>
    <cellStyle name="Normal 41 4 2 2 4" xfId="13757" xr:uid="{00000000-0005-0000-0000-00008B480000}"/>
    <cellStyle name="Normal 41 4 2 2 4 2" xfId="30301" xr:uid="{00000000-0005-0000-0000-00008C480000}"/>
    <cellStyle name="Normal 41 4 2 2 5" xfId="22258" xr:uid="{00000000-0005-0000-0000-00008D480000}"/>
    <cellStyle name="Normal 41 4 2 3" xfId="4389" xr:uid="{00000000-0005-0000-0000-00008E480000}"/>
    <cellStyle name="Normal 41 4 2 3 2" xfId="8416" xr:uid="{00000000-0005-0000-0000-00008F480000}"/>
    <cellStyle name="Normal 41 4 2 3 2 2" xfId="17592" xr:uid="{00000000-0005-0000-0000-000090480000}"/>
    <cellStyle name="Normal 41 4 2 3 2 2 2" xfId="34166" xr:uid="{00000000-0005-0000-0000-000091480000}"/>
    <cellStyle name="Normal 41 4 2 3 2 3" xfId="26119" xr:uid="{00000000-0005-0000-0000-000092480000}"/>
    <cellStyle name="Normal 41 4 2 3 3" xfId="13759" xr:uid="{00000000-0005-0000-0000-000093480000}"/>
    <cellStyle name="Normal 41 4 2 3 3 2" xfId="30303" xr:uid="{00000000-0005-0000-0000-000094480000}"/>
    <cellStyle name="Normal 41 4 2 3 4" xfId="22260" xr:uid="{00000000-0005-0000-0000-000095480000}"/>
    <cellStyle name="Normal 41 4 2 4" xfId="8417" xr:uid="{00000000-0005-0000-0000-000096480000}"/>
    <cellStyle name="Normal 41 4 2 4 2" xfId="17593" xr:uid="{00000000-0005-0000-0000-000097480000}"/>
    <cellStyle name="Normal 41 4 2 4 2 2" xfId="34167" xr:uid="{00000000-0005-0000-0000-000098480000}"/>
    <cellStyle name="Normal 41 4 2 4 3" xfId="26120" xr:uid="{00000000-0005-0000-0000-000099480000}"/>
    <cellStyle name="Normal 41 4 2 5" xfId="13756" xr:uid="{00000000-0005-0000-0000-00009A480000}"/>
    <cellStyle name="Normal 41 4 2 5 2" xfId="30300" xr:uid="{00000000-0005-0000-0000-00009B480000}"/>
    <cellStyle name="Normal 41 4 2 6" xfId="22257" xr:uid="{00000000-0005-0000-0000-00009C480000}"/>
    <cellStyle name="Normal 41 4 3" xfId="4390" xr:uid="{00000000-0005-0000-0000-00009D480000}"/>
    <cellStyle name="Normal 41 4 3 2" xfId="4391" xr:uid="{00000000-0005-0000-0000-00009E480000}"/>
    <cellStyle name="Normal 41 4 3 2 2" xfId="8418" xr:uid="{00000000-0005-0000-0000-00009F480000}"/>
    <cellStyle name="Normal 41 4 3 2 2 2" xfId="17594" xr:uid="{00000000-0005-0000-0000-0000A0480000}"/>
    <cellStyle name="Normal 41 4 3 2 2 2 2" xfId="34168" xr:uid="{00000000-0005-0000-0000-0000A1480000}"/>
    <cellStyle name="Normal 41 4 3 2 2 3" xfId="26121" xr:uid="{00000000-0005-0000-0000-0000A2480000}"/>
    <cellStyle name="Normal 41 4 3 2 3" xfId="13761" xr:uid="{00000000-0005-0000-0000-0000A3480000}"/>
    <cellStyle name="Normal 41 4 3 2 3 2" xfId="30305" xr:uid="{00000000-0005-0000-0000-0000A4480000}"/>
    <cellStyle name="Normal 41 4 3 2 4" xfId="22262" xr:uid="{00000000-0005-0000-0000-0000A5480000}"/>
    <cellStyle name="Normal 41 4 3 3" xfId="8419" xr:uid="{00000000-0005-0000-0000-0000A6480000}"/>
    <cellStyle name="Normal 41 4 3 3 2" xfId="17595" xr:uid="{00000000-0005-0000-0000-0000A7480000}"/>
    <cellStyle name="Normal 41 4 3 3 2 2" xfId="34169" xr:uid="{00000000-0005-0000-0000-0000A8480000}"/>
    <cellStyle name="Normal 41 4 3 3 3" xfId="26122" xr:uid="{00000000-0005-0000-0000-0000A9480000}"/>
    <cellStyle name="Normal 41 4 3 4" xfId="13760" xr:uid="{00000000-0005-0000-0000-0000AA480000}"/>
    <cellStyle name="Normal 41 4 3 4 2" xfId="30304" xr:uid="{00000000-0005-0000-0000-0000AB480000}"/>
    <cellStyle name="Normal 41 4 3 5" xfId="22261" xr:uid="{00000000-0005-0000-0000-0000AC480000}"/>
    <cellStyle name="Normal 41 4 4" xfId="4392" xr:uid="{00000000-0005-0000-0000-0000AD480000}"/>
    <cellStyle name="Normal 41 4 4 2" xfId="8420" xr:uid="{00000000-0005-0000-0000-0000AE480000}"/>
    <cellStyle name="Normal 41 4 4 2 2" xfId="17596" xr:uid="{00000000-0005-0000-0000-0000AF480000}"/>
    <cellStyle name="Normal 41 4 4 2 2 2" xfId="34170" xr:uid="{00000000-0005-0000-0000-0000B0480000}"/>
    <cellStyle name="Normal 41 4 4 2 3" xfId="26123" xr:uid="{00000000-0005-0000-0000-0000B1480000}"/>
    <cellStyle name="Normal 41 4 4 3" xfId="13762" xr:uid="{00000000-0005-0000-0000-0000B2480000}"/>
    <cellStyle name="Normal 41 4 4 3 2" xfId="30306" xr:uid="{00000000-0005-0000-0000-0000B3480000}"/>
    <cellStyle name="Normal 41 4 4 4" xfId="22263" xr:uid="{00000000-0005-0000-0000-0000B4480000}"/>
    <cellStyle name="Normal 41 4 5" xfId="8421" xr:uid="{00000000-0005-0000-0000-0000B5480000}"/>
    <cellStyle name="Normal 41 4 5 2" xfId="17597" xr:uid="{00000000-0005-0000-0000-0000B6480000}"/>
    <cellStyle name="Normal 41 4 5 2 2" xfId="34171" xr:uid="{00000000-0005-0000-0000-0000B7480000}"/>
    <cellStyle name="Normal 41 4 5 3" xfId="26124" xr:uid="{00000000-0005-0000-0000-0000B8480000}"/>
    <cellStyle name="Normal 41 4 6" xfId="13755" xr:uid="{00000000-0005-0000-0000-0000B9480000}"/>
    <cellStyle name="Normal 41 4 6 2" xfId="30299" xr:uid="{00000000-0005-0000-0000-0000BA480000}"/>
    <cellStyle name="Normal 41 4 7" xfId="22256" xr:uid="{00000000-0005-0000-0000-0000BB480000}"/>
    <cellStyle name="Normal 41 5" xfId="4393" xr:uid="{00000000-0005-0000-0000-0000BC480000}"/>
    <cellStyle name="Normal 41 5 2" xfId="4394" xr:uid="{00000000-0005-0000-0000-0000BD480000}"/>
    <cellStyle name="Normal 41 5 2 2" xfId="4395" xr:uid="{00000000-0005-0000-0000-0000BE480000}"/>
    <cellStyle name="Normal 41 5 2 2 2" xfId="4396" xr:uid="{00000000-0005-0000-0000-0000BF480000}"/>
    <cellStyle name="Normal 41 5 2 2 2 2" xfId="8422" xr:uid="{00000000-0005-0000-0000-0000C0480000}"/>
    <cellStyle name="Normal 41 5 2 2 2 2 2" xfId="17598" xr:uid="{00000000-0005-0000-0000-0000C1480000}"/>
    <cellStyle name="Normal 41 5 2 2 2 2 2 2" xfId="34172" xr:uid="{00000000-0005-0000-0000-0000C2480000}"/>
    <cellStyle name="Normal 41 5 2 2 2 2 3" xfId="26125" xr:uid="{00000000-0005-0000-0000-0000C3480000}"/>
    <cellStyle name="Normal 41 5 2 2 2 3" xfId="13766" xr:uid="{00000000-0005-0000-0000-0000C4480000}"/>
    <cellStyle name="Normal 41 5 2 2 2 3 2" xfId="30310" xr:uid="{00000000-0005-0000-0000-0000C5480000}"/>
    <cellStyle name="Normal 41 5 2 2 2 4" xfId="22267" xr:uid="{00000000-0005-0000-0000-0000C6480000}"/>
    <cellStyle name="Normal 41 5 2 2 3" xfId="8423" xr:uid="{00000000-0005-0000-0000-0000C7480000}"/>
    <cellStyle name="Normal 41 5 2 2 3 2" xfId="17599" xr:uid="{00000000-0005-0000-0000-0000C8480000}"/>
    <cellStyle name="Normal 41 5 2 2 3 2 2" xfId="34173" xr:uid="{00000000-0005-0000-0000-0000C9480000}"/>
    <cellStyle name="Normal 41 5 2 2 3 3" xfId="26126" xr:uid="{00000000-0005-0000-0000-0000CA480000}"/>
    <cellStyle name="Normal 41 5 2 2 4" xfId="13765" xr:uid="{00000000-0005-0000-0000-0000CB480000}"/>
    <cellStyle name="Normal 41 5 2 2 4 2" xfId="30309" xr:uid="{00000000-0005-0000-0000-0000CC480000}"/>
    <cellStyle name="Normal 41 5 2 2 5" xfId="22266" xr:uid="{00000000-0005-0000-0000-0000CD480000}"/>
    <cellStyle name="Normal 41 5 2 3" xfId="4397" xr:uid="{00000000-0005-0000-0000-0000CE480000}"/>
    <cellStyle name="Normal 41 5 2 3 2" xfId="8424" xr:uid="{00000000-0005-0000-0000-0000CF480000}"/>
    <cellStyle name="Normal 41 5 2 3 2 2" xfId="17600" xr:uid="{00000000-0005-0000-0000-0000D0480000}"/>
    <cellStyle name="Normal 41 5 2 3 2 2 2" xfId="34174" xr:uid="{00000000-0005-0000-0000-0000D1480000}"/>
    <cellStyle name="Normal 41 5 2 3 2 3" xfId="26127" xr:uid="{00000000-0005-0000-0000-0000D2480000}"/>
    <cellStyle name="Normal 41 5 2 3 3" xfId="13767" xr:uid="{00000000-0005-0000-0000-0000D3480000}"/>
    <cellStyle name="Normal 41 5 2 3 3 2" xfId="30311" xr:uid="{00000000-0005-0000-0000-0000D4480000}"/>
    <cellStyle name="Normal 41 5 2 3 4" xfId="22268" xr:uid="{00000000-0005-0000-0000-0000D5480000}"/>
    <cellStyle name="Normal 41 5 2 4" xfId="8425" xr:uid="{00000000-0005-0000-0000-0000D6480000}"/>
    <cellStyle name="Normal 41 5 2 4 2" xfId="17601" xr:uid="{00000000-0005-0000-0000-0000D7480000}"/>
    <cellStyle name="Normal 41 5 2 4 2 2" xfId="34175" xr:uid="{00000000-0005-0000-0000-0000D8480000}"/>
    <cellStyle name="Normal 41 5 2 4 3" xfId="26128" xr:uid="{00000000-0005-0000-0000-0000D9480000}"/>
    <cellStyle name="Normal 41 5 2 5" xfId="13764" xr:uid="{00000000-0005-0000-0000-0000DA480000}"/>
    <cellStyle name="Normal 41 5 2 5 2" xfId="30308" xr:uid="{00000000-0005-0000-0000-0000DB480000}"/>
    <cellStyle name="Normal 41 5 2 6" xfId="22265" xr:uid="{00000000-0005-0000-0000-0000DC480000}"/>
    <cellStyle name="Normal 41 5 3" xfId="4398" xr:uid="{00000000-0005-0000-0000-0000DD480000}"/>
    <cellStyle name="Normal 41 5 3 2" xfId="4399" xr:uid="{00000000-0005-0000-0000-0000DE480000}"/>
    <cellStyle name="Normal 41 5 3 2 2" xfId="8426" xr:uid="{00000000-0005-0000-0000-0000DF480000}"/>
    <cellStyle name="Normal 41 5 3 2 2 2" xfId="17602" xr:uid="{00000000-0005-0000-0000-0000E0480000}"/>
    <cellStyle name="Normal 41 5 3 2 2 2 2" xfId="34176" xr:uid="{00000000-0005-0000-0000-0000E1480000}"/>
    <cellStyle name="Normal 41 5 3 2 2 3" xfId="26129" xr:uid="{00000000-0005-0000-0000-0000E2480000}"/>
    <cellStyle name="Normal 41 5 3 2 3" xfId="13769" xr:uid="{00000000-0005-0000-0000-0000E3480000}"/>
    <cellStyle name="Normal 41 5 3 2 3 2" xfId="30313" xr:uid="{00000000-0005-0000-0000-0000E4480000}"/>
    <cellStyle name="Normal 41 5 3 2 4" xfId="22270" xr:uid="{00000000-0005-0000-0000-0000E5480000}"/>
    <cellStyle name="Normal 41 5 3 3" xfId="8427" xr:uid="{00000000-0005-0000-0000-0000E6480000}"/>
    <cellStyle name="Normal 41 5 3 3 2" xfId="17603" xr:uid="{00000000-0005-0000-0000-0000E7480000}"/>
    <cellStyle name="Normal 41 5 3 3 2 2" xfId="34177" xr:uid="{00000000-0005-0000-0000-0000E8480000}"/>
    <cellStyle name="Normal 41 5 3 3 3" xfId="26130" xr:uid="{00000000-0005-0000-0000-0000E9480000}"/>
    <cellStyle name="Normal 41 5 3 4" xfId="13768" xr:uid="{00000000-0005-0000-0000-0000EA480000}"/>
    <cellStyle name="Normal 41 5 3 4 2" xfId="30312" xr:uid="{00000000-0005-0000-0000-0000EB480000}"/>
    <cellStyle name="Normal 41 5 3 5" xfId="22269" xr:uid="{00000000-0005-0000-0000-0000EC480000}"/>
    <cellStyle name="Normal 41 5 4" xfId="4400" xr:uid="{00000000-0005-0000-0000-0000ED480000}"/>
    <cellStyle name="Normal 41 5 4 2" xfId="8428" xr:uid="{00000000-0005-0000-0000-0000EE480000}"/>
    <cellStyle name="Normal 41 5 4 2 2" xfId="17604" xr:uid="{00000000-0005-0000-0000-0000EF480000}"/>
    <cellStyle name="Normal 41 5 4 2 2 2" xfId="34178" xr:uid="{00000000-0005-0000-0000-0000F0480000}"/>
    <cellStyle name="Normal 41 5 4 2 3" xfId="26131" xr:uid="{00000000-0005-0000-0000-0000F1480000}"/>
    <cellStyle name="Normal 41 5 4 3" xfId="13770" xr:uid="{00000000-0005-0000-0000-0000F2480000}"/>
    <cellStyle name="Normal 41 5 4 3 2" xfId="30314" xr:uid="{00000000-0005-0000-0000-0000F3480000}"/>
    <cellStyle name="Normal 41 5 4 4" xfId="22271" xr:uid="{00000000-0005-0000-0000-0000F4480000}"/>
    <cellStyle name="Normal 41 5 5" xfId="8429" xr:uid="{00000000-0005-0000-0000-0000F5480000}"/>
    <cellStyle name="Normal 41 5 5 2" xfId="17605" xr:uid="{00000000-0005-0000-0000-0000F6480000}"/>
    <cellStyle name="Normal 41 5 5 2 2" xfId="34179" xr:uid="{00000000-0005-0000-0000-0000F7480000}"/>
    <cellStyle name="Normal 41 5 5 3" xfId="26132" xr:uid="{00000000-0005-0000-0000-0000F8480000}"/>
    <cellStyle name="Normal 41 5 6" xfId="13763" xr:uid="{00000000-0005-0000-0000-0000F9480000}"/>
    <cellStyle name="Normal 41 5 6 2" xfId="30307" xr:uid="{00000000-0005-0000-0000-0000FA480000}"/>
    <cellStyle name="Normal 41 5 7" xfId="22264" xr:uid="{00000000-0005-0000-0000-0000FB480000}"/>
    <cellStyle name="Normal 41 6" xfId="4401" xr:uid="{00000000-0005-0000-0000-0000FC480000}"/>
    <cellStyle name="Normal 41 6 2" xfId="4402" xr:uid="{00000000-0005-0000-0000-0000FD480000}"/>
    <cellStyle name="Normal 41 6 2 2" xfId="4403" xr:uid="{00000000-0005-0000-0000-0000FE480000}"/>
    <cellStyle name="Normal 41 6 2 2 2" xfId="8430" xr:uid="{00000000-0005-0000-0000-0000FF480000}"/>
    <cellStyle name="Normal 41 6 2 2 2 2" xfId="17606" xr:uid="{00000000-0005-0000-0000-000000490000}"/>
    <cellStyle name="Normal 41 6 2 2 2 2 2" xfId="34180" xr:uid="{00000000-0005-0000-0000-000001490000}"/>
    <cellStyle name="Normal 41 6 2 2 2 3" xfId="26133" xr:uid="{00000000-0005-0000-0000-000002490000}"/>
    <cellStyle name="Normal 41 6 2 2 3" xfId="13773" xr:uid="{00000000-0005-0000-0000-000003490000}"/>
    <cellStyle name="Normal 41 6 2 2 3 2" xfId="30317" xr:uid="{00000000-0005-0000-0000-000004490000}"/>
    <cellStyle name="Normal 41 6 2 2 4" xfId="22274" xr:uid="{00000000-0005-0000-0000-000005490000}"/>
    <cellStyle name="Normal 41 6 2 3" xfId="8431" xr:uid="{00000000-0005-0000-0000-000006490000}"/>
    <cellStyle name="Normal 41 6 2 3 2" xfId="17607" xr:uid="{00000000-0005-0000-0000-000007490000}"/>
    <cellStyle name="Normal 41 6 2 3 2 2" xfId="34181" xr:uid="{00000000-0005-0000-0000-000008490000}"/>
    <cellStyle name="Normal 41 6 2 3 3" xfId="26134" xr:uid="{00000000-0005-0000-0000-000009490000}"/>
    <cellStyle name="Normal 41 6 2 4" xfId="13772" xr:uid="{00000000-0005-0000-0000-00000A490000}"/>
    <cellStyle name="Normal 41 6 2 4 2" xfId="30316" xr:uid="{00000000-0005-0000-0000-00000B490000}"/>
    <cellStyle name="Normal 41 6 2 5" xfId="22273" xr:uid="{00000000-0005-0000-0000-00000C490000}"/>
    <cellStyle name="Normal 41 6 3" xfId="4404" xr:uid="{00000000-0005-0000-0000-00000D490000}"/>
    <cellStyle name="Normal 41 6 3 2" xfId="8432" xr:uid="{00000000-0005-0000-0000-00000E490000}"/>
    <cellStyle name="Normal 41 6 3 2 2" xfId="17608" xr:uid="{00000000-0005-0000-0000-00000F490000}"/>
    <cellStyle name="Normal 41 6 3 2 2 2" xfId="34182" xr:uid="{00000000-0005-0000-0000-000010490000}"/>
    <cellStyle name="Normal 41 6 3 2 3" xfId="26135" xr:uid="{00000000-0005-0000-0000-000011490000}"/>
    <cellStyle name="Normal 41 6 3 3" xfId="13774" xr:uid="{00000000-0005-0000-0000-000012490000}"/>
    <cellStyle name="Normal 41 6 3 3 2" xfId="30318" xr:uid="{00000000-0005-0000-0000-000013490000}"/>
    <cellStyle name="Normal 41 6 3 4" xfId="22275" xr:uid="{00000000-0005-0000-0000-000014490000}"/>
    <cellStyle name="Normal 41 6 4" xfId="8433" xr:uid="{00000000-0005-0000-0000-000015490000}"/>
    <cellStyle name="Normal 41 6 4 2" xfId="17609" xr:uid="{00000000-0005-0000-0000-000016490000}"/>
    <cellStyle name="Normal 41 6 4 2 2" xfId="34183" xr:uid="{00000000-0005-0000-0000-000017490000}"/>
    <cellStyle name="Normal 41 6 4 3" xfId="26136" xr:uid="{00000000-0005-0000-0000-000018490000}"/>
    <cellStyle name="Normal 41 6 5" xfId="13771" xr:uid="{00000000-0005-0000-0000-000019490000}"/>
    <cellStyle name="Normal 41 6 5 2" xfId="30315" xr:uid="{00000000-0005-0000-0000-00001A490000}"/>
    <cellStyle name="Normal 41 6 6" xfId="22272" xr:uid="{00000000-0005-0000-0000-00001B490000}"/>
    <cellStyle name="Normal 41 7" xfId="4405" xr:uid="{00000000-0005-0000-0000-00001C490000}"/>
    <cellStyle name="Normal 41 7 2" xfId="4406" xr:uid="{00000000-0005-0000-0000-00001D490000}"/>
    <cellStyle name="Normal 41 7 2 2" xfId="8434" xr:uid="{00000000-0005-0000-0000-00001E490000}"/>
    <cellStyle name="Normal 41 7 2 2 2" xfId="17610" xr:uid="{00000000-0005-0000-0000-00001F490000}"/>
    <cellStyle name="Normal 41 7 2 2 2 2" xfId="34184" xr:uid="{00000000-0005-0000-0000-000020490000}"/>
    <cellStyle name="Normal 41 7 2 2 3" xfId="26137" xr:uid="{00000000-0005-0000-0000-000021490000}"/>
    <cellStyle name="Normal 41 7 2 3" xfId="13776" xr:uid="{00000000-0005-0000-0000-000022490000}"/>
    <cellStyle name="Normal 41 7 2 3 2" xfId="30320" xr:uid="{00000000-0005-0000-0000-000023490000}"/>
    <cellStyle name="Normal 41 7 2 4" xfId="22277" xr:uid="{00000000-0005-0000-0000-000024490000}"/>
    <cellStyle name="Normal 41 7 3" xfId="8435" xr:uid="{00000000-0005-0000-0000-000025490000}"/>
    <cellStyle name="Normal 41 7 3 2" xfId="17611" xr:uid="{00000000-0005-0000-0000-000026490000}"/>
    <cellStyle name="Normal 41 7 3 2 2" xfId="34185" xr:uid="{00000000-0005-0000-0000-000027490000}"/>
    <cellStyle name="Normal 41 7 3 3" xfId="26138" xr:uid="{00000000-0005-0000-0000-000028490000}"/>
    <cellStyle name="Normal 41 7 4" xfId="13775" xr:uid="{00000000-0005-0000-0000-000029490000}"/>
    <cellStyle name="Normal 41 7 4 2" xfId="30319" xr:uid="{00000000-0005-0000-0000-00002A490000}"/>
    <cellStyle name="Normal 41 7 5" xfId="22276" xr:uid="{00000000-0005-0000-0000-00002B490000}"/>
    <cellStyle name="Normal 41 8" xfId="4407" xr:uid="{00000000-0005-0000-0000-00002C490000}"/>
    <cellStyle name="Normal 41 8 2" xfId="8436" xr:uid="{00000000-0005-0000-0000-00002D490000}"/>
    <cellStyle name="Normal 41 8 2 2" xfId="17612" xr:uid="{00000000-0005-0000-0000-00002E490000}"/>
    <cellStyle name="Normal 41 8 2 2 2" xfId="34186" xr:uid="{00000000-0005-0000-0000-00002F490000}"/>
    <cellStyle name="Normal 41 8 2 3" xfId="26139" xr:uid="{00000000-0005-0000-0000-000030490000}"/>
    <cellStyle name="Normal 41 8 3" xfId="13777" xr:uid="{00000000-0005-0000-0000-000031490000}"/>
    <cellStyle name="Normal 41 8 3 2" xfId="30321" xr:uid="{00000000-0005-0000-0000-000032490000}"/>
    <cellStyle name="Normal 41 8 4" xfId="22278" xr:uid="{00000000-0005-0000-0000-000033490000}"/>
    <cellStyle name="Normal 41 9" xfId="8437" xr:uid="{00000000-0005-0000-0000-000034490000}"/>
    <cellStyle name="Normal 41 9 2" xfId="17613" xr:uid="{00000000-0005-0000-0000-000035490000}"/>
    <cellStyle name="Normal 41 9 2 2" xfId="34187" xr:uid="{00000000-0005-0000-0000-000036490000}"/>
    <cellStyle name="Normal 41 9 3" xfId="26140" xr:uid="{00000000-0005-0000-0000-000037490000}"/>
    <cellStyle name="Normal 42" xfId="4408" xr:uid="{00000000-0005-0000-0000-000038490000}"/>
    <cellStyle name="Normal 42 10" xfId="13778" xr:uid="{00000000-0005-0000-0000-000039490000}"/>
    <cellStyle name="Normal 42 10 2" xfId="30322" xr:uid="{00000000-0005-0000-0000-00003A490000}"/>
    <cellStyle name="Normal 42 11" xfId="22279" xr:uid="{00000000-0005-0000-0000-00003B490000}"/>
    <cellStyle name="Normal 42 2" xfId="4409" xr:uid="{00000000-0005-0000-0000-00003C490000}"/>
    <cellStyle name="Normal 42 2 2" xfId="4410" xr:uid="{00000000-0005-0000-0000-00003D490000}"/>
    <cellStyle name="Normal 42 2 3" xfId="13779" xr:uid="{00000000-0005-0000-0000-00003E490000}"/>
    <cellStyle name="Normal 42 2 3 2" xfId="30323" xr:uid="{00000000-0005-0000-0000-00003F490000}"/>
    <cellStyle name="Normal 42 2 4" xfId="22280" xr:uid="{00000000-0005-0000-0000-000040490000}"/>
    <cellStyle name="Normal 42 3" xfId="4411" xr:uid="{00000000-0005-0000-0000-000041490000}"/>
    <cellStyle name="Normal 42 3 2" xfId="4412" xr:uid="{00000000-0005-0000-0000-000042490000}"/>
    <cellStyle name="Normal 42 3 2 2" xfId="4413" xr:uid="{00000000-0005-0000-0000-000043490000}"/>
    <cellStyle name="Normal 42 3 2 2 2" xfId="4414" xr:uid="{00000000-0005-0000-0000-000044490000}"/>
    <cellStyle name="Normal 42 3 2 2 2 2" xfId="8438" xr:uid="{00000000-0005-0000-0000-000045490000}"/>
    <cellStyle name="Normal 42 3 2 2 2 2 2" xfId="17614" xr:uid="{00000000-0005-0000-0000-000046490000}"/>
    <cellStyle name="Normal 42 3 2 2 2 2 2 2" xfId="34188" xr:uid="{00000000-0005-0000-0000-000047490000}"/>
    <cellStyle name="Normal 42 3 2 2 2 2 3" xfId="26141" xr:uid="{00000000-0005-0000-0000-000048490000}"/>
    <cellStyle name="Normal 42 3 2 2 2 3" xfId="13782" xr:uid="{00000000-0005-0000-0000-000049490000}"/>
    <cellStyle name="Normal 42 3 2 2 2 3 2" xfId="30326" xr:uid="{00000000-0005-0000-0000-00004A490000}"/>
    <cellStyle name="Normal 42 3 2 2 2 4" xfId="22283" xr:uid="{00000000-0005-0000-0000-00004B490000}"/>
    <cellStyle name="Normal 42 3 2 2 3" xfId="8439" xr:uid="{00000000-0005-0000-0000-00004C490000}"/>
    <cellStyle name="Normal 42 3 2 2 3 2" xfId="17615" xr:uid="{00000000-0005-0000-0000-00004D490000}"/>
    <cellStyle name="Normal 42 3 2 2 3 2 2" xfId="34189" xr:uid="{00000000-0005-0000-0000-00004E490000}"/>
    <cellStyle name="Normal 42 3 2 2 3 3" xfId="26142" xr:uid="{00000000-0005-0000-0000-00004F490000}"/>
    <cellStyle name="Normal 42 3 2 2 4" xfId="13781" xr:uid="{00000000-0005-0000-0000-000050490000}"/>
    <cellStyle name="Normal 42 3 2 2 4 2" xfId="30325" xr:uid="{00000000-0005-0000-0000-000051490000}"/>
    <cellStyle name="Normal 42 3 2 2 5" xfId="22282" xr:uid="{00000000-0005-0000-0000-000052490000}"/>
    <cellStyle name="Normal 42 3 2 3" xfId="4415" xr:uid="{00000000-0005-0000-0000-000053490000}"/>
    <cellStyle name="Normal 42 3 2 3 2" xfId="8440" xr:uid="{00000000-0005-0000-0000-000054490000}"/>
    <cellStyle name="Normal 42 3 2 3 2 2" xfId="17616" xr:uid="{00000000-0005-0000-0000-000055490000}"/>
    <cellStyle name="Normal 42 3 2 3 2 2 2" xfId="34190" xr:uid="{00000000-0005-0000-0000-000056490000}"/>
    <cellStyle name="Normal 42 3 2 3 2 3" xfId="26143" xr:uid="{00000000-0005-0000-0000-000057490000}"/>
    <cellStyle name="Normal 42 3 2 3 3" xfId="13783" xr:uid="{00000000-0005-0000-0000-000058490000}"/>
    <cellStyle name="Normal 42 3 2 3 3 2" xfId="30327" xr:uid="{00000000-0005-0000-0000-000059490000}"/>
    <cellStyle name="Normal 42 3 2 3 4" xfId="22284" xr:uid="{00000000-0005-0000-0000-00005A490000}"/>
    <cellStyle name="Normal 42 3 2 4" xfId="8441" xr:uid="{00000000-0005-0000-0000-00005B490000}"/>
    <cellStyle name="Normal 42 3 2 4 2" xfId="17617" xr:uid="{00000000-0005-0000-0000-00005C490000}"/>
    <cellStyle name="Normal 42 3 2 4 2 2" xfId="34191" xr:uid="{00000000-0005-0000-0000-00005D490000}"/>
    <cellStyle name="Normal 42 3 2 4 3" xfId="26144" xr:uid="{00000000-0005-0000-0000-00005E490000}"/>
    <cellStyle name="Normal 42 3 2 5" xfId="13780" xr:uid="{00000000-0005-0000-0000-00005F490000}"/>
    <cellStyle name="Normal 42 3 2 5 2" xfId="30324" xr:uid="{00000000-0005-0000-0000-000060490000}"/>
    <cellStyle name="Normal 42 3 2 6" xfId="22281" xr:uid="{00000000-0005-0000-0000-000061490000}"/>
    <cellStyle name="Normal 42 3 3" xfId="4416" xr:uid="{00000000-0005-0000-0000-000062490000}"/>
    <cellStyle name="Normal 42 3 3 2" xfId="4417" xr:uid="{00000000-0005-0000-0000-000063490000}"/>
    <cellStyle name="Normal 42 3 3 2 2" xfId="8442" xr:uid="{00000000-0005-0000-0000-000064490000}"/>
    <cellStyle name="Normal 42 3 3 2 2 2" xfId="17618" xr:uid="{00000000-0005-0000-0000-000065490000}"/>
    <cellStyle name="Normal 42 3 3 2 2 2 2" xfId="34192" xr:uid="{00000000-0005-0000-0000-000066490000}"/>
    <cellStyle name="Normal 42 3 3 2 2 3" xfId="26145" xr:uid="{00000000-0005-0000-0000-000067490000}"/>
    <cellStyle name="Normal 42 3 3 2 3" xfId="13785" xr:uid="{00000000-0005-0000-0000-000068490000}"/>
    <cellStyle name="Normal 42 3 3 2 3 2" xfId="30329" xr:uid="{00000000-0005-0000-0000-000069490000}"/>
    <cellStyle name="Normal 42 3 3 2 4" xfId="22286" xr:uid="{00000000-0005-0000-0000-00006A490000}"/>
    <cellStyle name="Normal 42 3 3 3" xfId="8443" xr:uid="{00000000-0005-0000-0000-00006B490000}"/>
    <cellStyle name="Normal 42 3 3 3 2" xfId="17619" xr:uid="{00000000-0005-0000-0000-00006C490000}"/>
    <cellStyle name="Normal 42 3 3 3 2 2" xfId="34193" xr:uid="{00000000-0005-0000-0000-00006D490000}"/>
    <cellStyle name="Normal 42 3 3 3 3" xfId="26146" xr:uid="{00000000-0005-0000-0000-00006E490000}"/>
    <cellStyle name="Normal 42 3 3 4" xfId="13784" xr:uid="{00000000-0005-0000-0000-00006F490000}"/>
    <cellStyle name="Normal 42 3 3 4 2" xfId="30328" xr:uid="{00000000-0005-0000-0000-000070490000}"/>
    <cellStyle name="Normal 42 3 3 5" xfId="22285" xr:uid="{00000000-0005-0000-0000-000071490000}"/>
    <cellStyle name="Normal 42 3 4" xfId="4418" xr:uid="{00000000-0005-0000-0000-000072490000}"/>
    <cellStyle name="Normal 42 3 4 2" xfId="8444" xr:uid="{00000000-0005-0000-0000-000073490000}"/>
    <cellStyle name="Normal 42 3 4 2 2" xfId="17620" xr:uid="{00000000-0005-0000-0000-000074490000}"/>
    <cellStyle name="Normal 42 3 4 2 2 2" xfId="34194" xr:uid="{00000000-0005-0000-0000-000075490000}"/>
    <cellStyle name="Normal 42 3 4 2 3" xfId="26147" xr:uid="{00000000-0005-0000-0000-000076490000}"/>
    <cellStyle name="Normal 42 3 4 3" xfId="13786" xr:uid="{00000000-0005-0000-0000-000077490000}"/>
    <cellStyle name="Normal 42 3 4 3 2" xfId="30330" xr:uid="{00000000-0005-0000-0000-000078490000}"/>
    <cellStyle name="Normal 42 3 4 4" xfId="22287" xr:uid="{00000000-0005-0000-0000-000079490000}"/>
    <cellStyle name="Normal 42 3 5" xfId="4419" xr:uid="{00000000-0005-0000-0000-00007A490000}"/>
    <cellStyle name="Normal 42 3 5 2" xfId="13787" xr:uid="{00000000-0005-0000-0000-00007B490000}"/>
    <cellStyle name="Normal 42 3 5 2 2" xfId="30331" xr:uid="{00000000-0005-0000-0000-00007C490000}"/>
    <cellStyle name="Normal 42 3 5 3" xfId="22288" xr:uid="{00000000-0005-0000-0000-00007D490000}"/>
    <cellStyle name="Normal 42 4" xfId="4420" xr:uid="{00000000-0005-0000-0000-00007E490000}"/>
    <cellStyle name="Normal 42 4 2" xfId="4421" xr:uid="{00000000-0005-0000-0000-00007F490000}"/>
    <cellStyle name="Normal 42 4 2 2" xfId="4422" xr:uid="{00000000-0005-0000-0000-000080490000}"/>
    <cellStyle name="Normal 42 4 2 2 2" xfId="4423" xr:uid="{00000000-0005-0000-0000-000081490000}"/>
    <cellStyle name="Normal 42 4 2 2 2 2" xfId="8445" xr:uid="{00000000-0005-0000-0000-000082490000}"/>
    <cellStyle name="Normal 42 4 2 2 2 2 2" xfId="17621" xr:uid="{00000000-0005-0000-0000-000083490000}"/>
    <cellStyle name="Normal 42 4 2 2 2 2 2 2" xfId="34195" xr:uid="{00000000-0005-0000-0000-000084490000}"/>
    <cellStyle name="Normal 42 4 2 2 2 2 3" xfId="26148" xr:uid="{00000000-0005-0000-0000-000085490000}"/>
    <cellStyle name="Normal 42 4 2 2 2 3" xfId="13791" xr:uid="{00000000-0005-0000-0000-000086490000}"/>
    <cellStyle name="Normal 42 4 2 2 2 3 2" xfId="30335" xr:uid="{00000000-0005-0000-0000-000087490000}"/>
    <cellStyle name="Normal 42 4 2 2 2 4" xfId="22292" xr:uid="{00000000-0005-0000-0000-000088490000}"/>
    <cellStyle name="Normal 42 4 2 2 3" xfId="8446" xr:uid="{00000000-0005-0000-0000-000089490000}"/>
    <cellStyle name="Normal 42 4 2 2 3 2" xfId="17622" xr:uid="{00000000-0005-0000-0000-00008A490000}"/>
    <cellStyle name="Normal 42 4 2 2 3 2 2" xfId="34196" xr:uid="{00000000-0005-0000-0000-00008B490000}"/>
    <cellStyle name="Normal 42 4 2 2 3 3" xfId="26149" xr:uid="{00000000-0005-0000-0000-00008C490000}"/>
    <cellStyle name="Normal 42 4 2 2 4" xfId="13790" xr:uid="{00000000-0005-0000-0000-00008D490000}"/>
    <cellStyle name="Normal 42 4 2 2 4 2" xfId="30334" xr:uid="{00000000-0005-0000-0000-00008E490000}"/>
    <cellStyle name="Normal 42 4 2 2 5" xfId="22291" xr:uid="{00000000-0005-0000-0000-00008F490000}"/>
    <cellStyle name="Normal 42 4 2 3" xfId="4424" xr:uid="{00000000-0005-0000-0000-000090490000}"/>
    <cellStyle name="Normal 42 4 2 3 2" xfId="8447" xr:uid="{00000000-0005-0000-0000-000091490000}"/>
    <cellStyle name="Normal 42 4 2 3 2 2" xfId="17623" xr:uid="{00000000-0005-0000-0000-000092490000}"/>
    <cellStyle name="Normal 42 4 2 3 2 2 2" xfId="34197" xr:uid="{00000000-0005-0000-0000-000093490000}"/>
    <cellStyle name="Normal 42 4 2 3 2 3" xfId="26150" xr:uid="{00000000-0005-0000-0000-000094490000}"/>
    <cellStyle name="Normal 42 4 2 3 3" xfId="13792" xr:uid="{00000000-0005-0000-0000-000095490000}"/>
    <cellStyle name="Normal 42 4 2 3 3 2" xfId="30336" xr:uid="{00000000-0005-0000-0000-000096490000}"/>
    <cellStyle name="Normal 42 4 2 3 4" xfId="22293" xr:uid="{00000000-0005-0000-0000-000097490000}"/>
    <cellStyle name="Normal 42 4 2 4" xfId="8448" xr:uid="{00000000-0005-0000-0000-000098490000}"/>
    <cellStyle name="Normal 42 4 2 4 2" xfId="17624" xr:uid="{00000000-0005-0000-0000-000099490000}"/>
    <cellStyle name="Normal 42 4 2 4 2 2" xfId="34198" xr:uid="{00000000-0005-0000-0000-00009A490000}"/>
    <cellStyle name="Normal 42 4 2 4 3" xfId="26151" xr:uid="{00000000-0005-0000-0000-00009B490000}"/>
    <cellStyle name="Normal 42 4 2 5" xfId="13789" xr:uid="{00000000-0005-0000-0000-00009C490000}"/>
    <cellStyle name="Normal 42 4 2 5 2" xfId="30333" xr:uid="{00000000-0005-0000-0000-00009D490000}"/>
    <cellStyle name="Normal 42 4 2 6" xfId="22290" xr:uid="{00000000-0005-0000-0000-00009E490000}"/>
    <cellStyle name="Normal 42 4 3" xfId="4425" xr:uid="{00000000-0005-0000-0000-00009F490000}"/>
    <cellStyle name="Normal 42 4 3 2" xfId="4426" xr:uid="{00000000-0005-0000-0000-0000A0490000}"/>
    <cellStyle name="Normal 42 4 3 2 2" xfId="8449" xr:uid="{00000000-0005-0000-0000-0000A1490000}"/>
    <cellStyle name="Normal 42 4 3 2 2 2" xfId="17625" xr:uid="{00000000-0005-0000-0000-0000A2490000}"/>
    <cellStyle name="Normal 42 4 3 2 2 2 2" xfId="34199" xr:uid="{00000000-0005-0000-0000-0000A3490000}"/>
    <cellStyle name="Normal 42 4 3 2 2 3" xfId="26152" xr:uid="{00000000-0005-0000-0000-0000A4490000}"/>
    <cellStyle name="Normal 42 4 3 2 3" xfId="13794" xr:uid="{00000000-0005-0000-0000-0000A5490000}"/>
    <cellStyle name="Normal 42 4 3 2 3 2" xfId="30338" xr:uid="{00000000-0005-0000-0000-0000A6490000}"/>
    <cellStyle name="Normal 42 4 3 2 4" xfId="22295" xr:uid="{00000000-0005-0000-0000-0000A7490000}"/>
    <cellStyle name="Normal 42 4 3 3" xfId="8450" xr:uid="{00000000-0005-0000-0000-0000A8490000}"/>
    <cellStyle name="Normal 42 4 3 3 2" xfId="17626" xr:uid="{00000000-0005-0000-0000-0000A9490000}"/>
    <cellStyle name="Normal 42 4 3 3 2 2" xfId="34200" xr:uid="{00000000-0005-0000-0000-0000AA490000}"/>
    <cellStyle name="Normal 42 4 3 3 3" xfId="26153" xr:uid="{00000000-0005-0000-0000-0000AB490000}"/>
    <cellStyle name="Normal 42 4 3 4" xfId="13793" xr:uid="{00000000-0005-0000-0000-0000AC490000}"/>
    <cellStyle name="Normal 42 4 3 4 2" xfId="30337" xr:uid="{00000000-0005-0000-0000-0000AD490000}"/>
    <cellStyle name="Normal 42 4 3 5" xfId="22294" xr:uid="{00000000-0005-0000-0000-0000AE490000}"/>
    <cellStyle name="Normal 42 4 4" xfId="4427" xr:uid="{00000000-0005-0000-0000-0000AF490000}"/>
    <cellStyle name="Normal 42 4 4 2" xfId="8451" xr:uid="{00000000-0005-0000-0000-0000B0490000}"/>
    <cellStyle name="Normal 42 4 4 2 2" xfId="17627" xr:uid="{00000000-0005-0000-0000-0000B1490000}"/>
    <cellStyle name="Normal 42 4 4 2 2 2" xfId="34201" xr:uid="{00000000-0005-0000-0000-0000B2490000}"/>
    <cellStyle name="Normal 42 4 4 2 3" xfId="26154" xr:uid="{00000000-0005-0000-0000-0000B3490000}"/>
    <cellStyle name="Normal 42 4 4 3" xfId="13795" xr:uid="{00000000-0005-0000-0000-0000B4490000}"/>
    <cellStyle name="Normal 42 4 4 3 2" xfId="30339" xr:uid="{00000000-0005-0000-0000-0000B5490000}"/>
    <cellStyle name="Normal 42 4 4 4" xfId="22296" xr:uid="{00000000-0005-0000-0000-0000B6490000}"/>
    <cellStyle name="Normal 42 4 5" xfId="8452" xr:uid="{00000000-0005-0000-0000-0000B7490000}"/>
    <cellStyle name="Normal 42 4 5 2" xfId="17628" xr:uid="{00000000-0005-0000-0000-0000B8490000}"/>
    <cellStyle name="Normal 42 4 5 2 2" xfId="34202" xr:uid="{00000000-0005-0000-0000-0000B9490000}"/>
    <cellStyle name="Normal 42 4 5 3" xfId="26155" xr:uid="{00000000-0005-0000-0000-0000BA490000}"/>
    <cellStyle name="Normal 42 4 6" xfId="13788" xr:uid="{00000000-0005-0000-0000-0000BB490000}"/>
    <cellStyle name="Normal 42 4 6 2" xfId="30332" xr:uid="{00000000-0005-0000-0000-0000BC490000}"/>
    <cellStyle name="Normal 42 4 7" xfId="22289" xr:uid="{00000000-0005-0000-0000-0000BD490000}"/>
    <cellStyle name="Normal 42 5" xfId="4428" xr:uid="{00000000-0005-0000-0000-0000BE490000}"/>
    <cellStyle name="Normal 42 5 2" xfId="4429" xr:uid="{00000000-0005-0000-0000-0000BF490000}"/>
    <cellStyle name="Normal 42 5 2 2" xfId="4430" xr:uid="{00000000-0005-0000-0000-0000C0490000}"/>
    <cellStyle name="Normal 42 5 2 2 2" xfId="4431" xr:uid="{00000000-0005-0000-0000-0000C1490000}"/>
    <cellStyle name="Normal 42 5 2 2 2 2" xfId="8453" xr:uid="{00000000-0005-0000-0000-0000C2490000}"/>
    <cellStyle name="Normal 42 5 2 2 2 2 2" xfId="17629" xr:uid="{00000000-0005-0000-0000-0000C3490000}"/>
    <cellStyle name="Normal 42 5 2 2 2 2 2 2" xfId="34203" xr:uid="{00000000-0005-0000-0000-0000C4490000}"/>
    <cellStyle name="Normal 42 5 2 2 2 2 3" xfId="26156" xr:uid="{00000000-0005-0000-0000-0000C5490000}"/>
    <cellStyle name="Normal 42 5 2 2 2 3" xfId="13799" xr:uid="{00000000-0005-0000-0000-0000C6490000}"/>
    <cellStyle name="Normal 42 5 2 2 2 3 2" xfId="30343" xr:uid="{00000000-0005-0000-0000-0000C7490000}"/>
    <cellStyle name="Normal 42 5 2 2 2 4" xfId="22300" xr:uid="{00000000-0005-0000-0000-0000C8490000}"/>
    <cellStyle name="Normal 42 5 2 2 3" xfId="8454" xr:uid="{00000000-0005-0000-0000-0000C9490000}"/>
    <cellStyle name="Normal 42 5 2 2 3 2" xfId="17630" xr:uid="{00000000-0005-0000-0000-0000CA490000}"/>
    <cellStyle name="Normal 42 5 2 2 3 2 2" xfId="34204" xr:uid="{00000000-0005-0000-0000-0000CB490000}"/>
    <cellStyle name="Normal 42 5 2 2 3 3" xfId="26157" xr:uid="{00000000-0005-0000-0000-0000CC490000}"/>
    <cellStyle name="Normal 42 5 2 2 4" xfId="13798" xr:uid="{00000000-0005-0000-0000-0000CD490000}"/>
    <cellStyle name="Normal 42 5 2 2 4 2" xfId="30342" xr:uid="{00000000-0005-0000-0000-0000CE490000}"/>
    <cellStyle name="Normal 42 5 2 2 5" xfId="22299" xr:uid="{00000000-0005-0000-0000-0000CF490000}"/>
    <cellStyle name="Normal 42 5 2 3" xfId="4432" xr:uid="{00000000-0005-0000-0000-0000D0490000}"/>
    <cellStyle name="Normal 42 5 2 3 2" xfId="8455" xr:uid="{00000000-0005-0000-0000-0000D1490000}"/>
    <cellStyle name="Normal 42 5 2 3 2 2" xfId="17631" xr:uid="{00000000-0005-0000-0000-0000D2490000}"/>
    <cellStyle name="Normal 42 5 2 3 2 2 2" xfId="34205" xr:uid="{00000000-0005-0000-0000-0000D3490000}"/>
    <cellStyle name="Normal 42 5 2 3 2 3" xfId="26158" xr:uid="{00000000-0005-0000-0000-0000D4490000}"/>
    <cellStyle name="Normal 42 5 2 3 3" xfId="13800" xr:uid="{00000000-0005-0000-0000-0000D5490000}"/>
    <cellStyle name="Normal 42 5 2 3 3 2" xfId="30344" xr:uid="{00000000-0005-0000-0000-0000D6490000}"/>
    <cellStyle name="Normal 42 5 2 3 4" xfId="22301" xr:uid="{00000000-0005-0000-0000-0000D7490000}"/>
    <cellStyle name="Normal 42 5 2 4" xfId="8456" xr:uid="{00000000-0005-0000-0000-0000D8490000}"/>
    <cellStyle name="Normal 42 5 2 4 2" xfId="17632" xr:uid="{00000000-0005-0000-0000-0000D9490000}"/>
    <cellStyle name="Normal 42 5 2 4 2 2" xfId="34206" xr:uid="{00000000-0005-0000-0000-0000DA490000}"/>
    <cellStyle name="Normal 42 5 2 4 3" xfId="26159" xr:uid="{00000000-0005-0000-0000-0000DB490000}"/>
    <cellStyle name="Normal 42 5 2 5" xfId="13797" xr:uid="{00000000-0005-0000-0000-0000DC490000}"/>
    <cellStyle name="Normal 42 5 2 5 2" xfId="30341" xr:uid="{00000000-0005-0000-0000-0000DD490000}"/>
    <cellStyle name="Normal 42 5 2 6" xfId="22298" xr:uid="{00000000-0005-0000-0000-0000DE490000}"/>
    <cellStyle name="Normal 42 5 3" xfId="4433" xr:uid="{00000000-0005-0000-0000-0000DF490000}"/>
    <cellStyle name="Normal 42 5 3 2" xfId="4434" xr:uid="{00000000-0005-0000-0000-0000E0490000}"/>
    <cellStyle name="Normal 42 5 3 2 2" xfId="8457" xr:uid="{00000000-0005-0000-0000-0000E1490000}"/>
    <cellStyle name="Normal 42 5 3 2 2 2" xfId="17633" xr:uid="{00000000-0005-0000-0000-0000E2490000}"/>
    <cellStyle name="Normal 42 5 3 2 2 2 2" xfId="34207" xr:uid="{00000000-0005-0000-0000-0000E3490000}"/>
    <cellStyle name="Normal 42 5 3 2 2 3" xfId="26160" xr:uid="{00000000-0005-0000-0000-0000E4490000}"/>
    <cellStyle name="Normal 42 5 3 2 3" xfId="13802" xr:uid="{00000000-0005-0000-0000-0000E5490000}"/>
    <cellStyle name="Normal 42 5 3 2 3 2" xfId="30346" xr:uid="{00000000-0005-0000-0000-0000E6490000}"/>
    <cellStyle name="Normal 42 5 3 2 4" xfId="22303" xr:uid="{00000000-0005-0000-0000-0000E7490000}"/>
    <cellStyle name="Normal 42 5 3 3" xfId="8458" xr:uid="{00000000-0005-0000-0000-0000E8490000}"/>
    <cellStyle name="Normal 42 5 3 3 2" xfId="17634" xr:uid="{00000000-0005-0000-0000-0000E9490000}"/>
    <cellStyle name="Normal 42 5 3 3 2 2" xfId="34208" xr:uid="{00000000-0005-0000-0000-0000EA490000}"/>
    <cellStyle name="Normal 42 5 3 3 3" xfId="26161" xr:uid="{00000000-0005-0000-0000-0000EB490000}"/>
    <cellStyle name="Normal 42 5 3 4" xfId="13801" xr:uid="{00000000-0005-0000-0000-0000EC490000}"/>
    <cellStyle name="Normal 42 5 3 4 2" xfId="30345" xr:uid="{00000000-0005-0000-0000-0000ED490000}"/>
    <cellStyle name="Normal 42 5 3 5" xfId="22302" xr:uid="{00000000-0005-0000-0000-0000EE490000}"/>
    <cellStyle name="Normal 42 5 4" xfId="4435" xr:uid="{00000000-0005-0000-0000-0000EF490000}"/>
    <cellStyle name="Normal 42 5 4 2" xfId="8459" xr:uid="{00000000-0005-0000-0000-0000F0490000}"/>
    <cellStyle name="Normal 42 5 4 2 2" xfId="17635" xr:uid="{00000000-0005-0000-0000-0000F1490000}"/>
    <cellStyle name="Normal 42 5 4 2 2 2" xfId="34209" xr:uid="{00000000-0005-0000-0000-0000F2490000}"/>
    <cellStyle name="Normal 42 5 4 2 3" xfId="26162" xr:uid="{00000000-0005-0000-0000-0000F3490000}"/>
    <cellStyle name="Normal 42 5 4 3" xfId="13803" xr:uid="{00000000-0005-0000-0000-0000F4490000}"/>
    <cellStyle name="Normal 42 5 4 3 2" xfId="30347" xr:uid="{00000000-0005-0000-0000-0000F5490000}"/>
    <cellStyle name="Normal 42 5 4 4" xfId="22304" xr:uid="{00000000-0005-0000-0000-0000F6490000}"/>
    <cellStyle name="Normal 42 5 5" xfId="8460" xr:uid="{00000000-0005-0000-0000-0000F7490000}"/>
    <cellStyle name="Normal 42 5 5 2" xfId="17636" xr:uid="{00000000-0005-0000-0000-0000F8490000}"/>
    <cellStyle name="Normal 42 5 5 2 2" xfId="34210" xr:uid="{00000000-0005-0000-0000-0000F9490000}"/>
    <cellStyle name="Normal 42 5 5 3" xfId="26163" xr:uid="{00000000-0005-0000-0000-0000FA490000}"/>
    <cellStyle name="Normal 42 5 6" xfId="13796" xr:uid="{00000000-0005-0000-0000-0000FB490000}"/>
    <cellStyle name="Normal 42 5 6 2" xfId="30340" xr:uid="{00000000-0005-0000-0000-0000FC490000}"/>
    <cellStyle name="Normal 42 5 7" xfId="22297" xr:uid="{00000000-0005-0000-0000-0000FD490000}"/>
    <cellStyle name="Normal 42 6" xfId="4436" xr:uid="{00000000-0005-0000-0000-0000FE490000}"/>
    <cellStyle name="Normal 42 6 2" xfId="4437" xr:uid="{00000000-0005-0000-0000-0000FF490000}"/>
    <cellStyle name="Normal 42 6 2 2" xfId="4438" xr:uid="{00000000-0005-0000-0000-0000004A0000}"/>
    <cellStyle name="Normal 42 6 2 2 2" xfId="8461" xr:uid="{00000000-0005-0000-0000-0000014A0000}"/>
    <cellStyle name="Normal 42 6 2 2 2 2" xfId="17637" xr:uid="{00000000-0005-0000-0000-0000024A0000}"/>
    <cellStyle name="Normal 42 6 2 2 2 2 2" xfId="34211" xr:uid="{00000000-0005-0000-0000-0000034A0000}"/>
    <cellStyle name="Normal 42 6 2 2 2 3" xfId="26164" xr:uid="{00000000-0005-0000-0000-0000044A0000}"/>
    <cellStyle name="Normal 42 6 2 2 3" xfId="13806" xr:uid="{00000000-0005-0000-0000-0000054A0000}"/>
    <cellStyle name="Normal 42 6 2 2 3 2" xfId="30350" xr:uid="{00000000-0005-0000-0000-0000064A0000}"/>
    <cellStyle name="Normal 42 6 2 2 4" xfId="22307" xr:uid="{00000000-0005-0000-0000-0000074A0000}"/>
    <cellStyle name="Normal 42 6 2 3" xfId="8462" xr:uid="{00000000-0005-0000-0000-0000084A0000}"/>
    <cellStyle name="Normal 42 6 2 3 2" xfId="17638" xr:uid="{00000000-0005-0000-0000-0000094A0000}"/>
    <cellStyle name="Normal 42 6 2 3 2 2" xfId="34212" xr:uid="{00000000-0005-0000-0000-00000A4A0000}"/>
    <cellStyle name="Normal 42 6 2 3 3" xfId="26165" xr:uid="{00000000-0005-0000-0000-00000B4A0000}"/>
    <cellStyle name="Normal 42 6 2 4" xfId="13805" xr:uid="{00000000-0005-0000-0000-00000C4A0000}"/>
    <cellStyle name="Normal 42 6 2 4 2" xfId="30349" xr:uid="{00000000-0005-0000-0000-00000D4A0000}"/>
    <cellStyle name="Normal 42 6 2 5" xfId="22306" xr:uid="{00000000-0005-0000-0000-00000E4A0000}"/>
    <cellStyle name="Normal 42 6 3" xfId="4439" xr:uid="{00000000-0005-0000-0000-00000F4A0000}"/>
    <cellStyle name="Normal 42 6 3 2" xfId="8463" xr:uid="{00000000-0005-0000-0000-0000104A0000}"/>
    <cellStyle name="Normal 42 6 3 2 2" xfId="17639" xr:uid="{00000000-0005-0000-0000-0000114A0000}"/>
    <cellStyle name="Normal 42 6 3 2 2 2" xfId="34213" xr:uid="{00000000-0005-0000-0000-0000124A0000}"/>
    <cellStyle name="Normal 42 6 3 2 3" xfId="26166" xr:uid="{00000000-0005-0000-0000-0000134A0000}"/>
    <cellStyle name="Normal 42 6 3 3" xfId="13807" xr:uid="{00000000-0005-0000-0000-0000144A0000}"/>
    <cellStyle name="Normal 42 6 3 3 2" xfId="30351" xr:uid="{00000000-0005-0000-0000-0000154A0000}"/>
    <cellStyle name="Normal 42 6 3 4" xfId="22308" xr:uid="{00000000-0005-0000-0000-0000164A0000}"/>
    <cellStyle name="Normal 42 6 4" xfId="8464" xr:uid="{00000000-0005-0000-0000-0000174A0000}"/>
    <cellStyle name="Normal 42 6 4 2" xfId="17640" xr:uid="{00000000-0005-0000-0000-0000184A0000}"/>
    <cellStyle name="Normal 42 6 4 2 2" xfId="34214" xr:uid="{00000000-0005-0000-0000-0000194A0000}"/>
    <cellStyle name="Normal 42 6 4 3" xfId="26167" xr:uid="{00000000-0005-0000-0000-00001A4A0000}"/>
    <cellStyle name="Normal 42 6 5" xfId="13804" xr:uid="{00000000-0005-0000-0000-00001B4A0000}"/>
    <cellStyle name="Normal 42 6 5 2" xfId="30348" xr:uid="{00000000-0005-0000-0000-00001C4A0000}"/>
    <cellStyle name="Normal 42 6 6" xfId="22305" xr:uid="{00000000-0005-0000-0000-00001D4A0000}"/>
    <cellStyle name="Normal 42 7" xfId="4440" xr:uid="{00000000-0005-0000-0000-00001E4A0000}"/>
    <cellStyle name="Normal 42 7 2" xfId="4441" xr:uid="{00000000-0005-0000-0000-00001F4A0000}"/>
    <cellStyle name="Normal 42 7 2 2" xfId="8465" xr:uid="{00000000-0005-0000-0000-0000204A0000}"/>
    <cellStyle name="Normal 42 7 2 2 2" xfId="17641" xr:uid="{00000000-0005-0000-0000-0000214A0000}"/>
    <cellStyle name="Normal 42 7 2 2 2 2" xfId="34215" xr:uid="{00000000-0005-0000-0000-0000224A0000}"/>
    <cellStyle name="Normal 42 7 2 2 3" xfId="26168" xr:uid="{00000000-0005-0000-0000-0000234A0000}"/>
    <cellStyle name="Normal 42 7 2 3" xfId="13809" xr:uid="{00000000-0005-0000-0000-0000244A0000}"/>
    <cellStyle name="Normal 42 7 2 3 2" xfId="30353" xr:uid="{00000000-0005-0000-0000-0000254A0000}"/>
    <cellStyle name="Normal 42 7 2 4" xfId="22310" xr:uid="{00000000-0005-0000-0000-0000264A0000}"/>
    <cellStyle name="Normal 42 7 3" xfId="8466" xr:uid="{00000000-0005-0000-0000-0000274A0000}"/>
    <cellStyle name="Normal 42 7 3 2" xfId="17642" xr:uid="{00000000-0005-0000-0000-0000284A0000}"/>
    <cellStyle name="Normal 42 7 3 2 2" xfId="34216" xr:uid="{00000000-0005-0000-0000-0000294A0000}"/>
    <cellStyle name="Normal 42 7 3 3" xfId="26169" xr:uid="{00000000-0005-0000-0000-00002A4A0000}"/>
    <cellStyle name="Normal 42 7 4" xfId="13808" xr:uid="{00000000-0005-0000-0000-00002B4A0000}"/>
    <cellStyle name="Normal 42 7 4 2" xfId="30352" xr:uid="{00000000-0005-0000-0000-00002C4A0000}"/>
    <cellStyle name="Normal 42 7 5" xfId="22309" xr:uid="{00000000-0005-0000-0000-00002D4A0000}"/>
    <cellStyle name="Normal 42 8" xfId="4442" xr:uid="{00000000-0005-0000-0000-00002E4A0000}"/>
    <cellStyle name="Normal 42 8 2" xfId="8467" xr:uid="{00000000-0005-0000-0000-00002F4A0000}"/>
    <cellStyle name="Normal 42 8 2 2" xfId="17643" xr:uid="{00000000-0005-0000-0000-0000304A0000}"/>
    <cellStyle name="Normal 42 8 2 2 2" xfId="34217" xr:uid="{00000000-0005-0000-0000-0000314A0000}"/>
    <cellStyle name="Normal 42 8 2 3" xfId="26170" xr:uid="{00000000-0005-0000-0000-0000324A0000}"/>
    <cellStyle name="Normal 42 8 3" xfId="13810" xr:uid="{00000000-0005-0000-0000-0000334A0000}"/>
    <cellStyle name="Normal 42 8 3 2" xfId="30354" xr:uid="{00000000-0005-0000-0000-0000344A0000}"/>
    <cellStyle name="Normal 42 8 4" xfId="22311" xr:uid="{00000000-0005-0000-0000-0000354A0000}"/>
    <cellStyle name="Normal 42 9" xfId="8468" xr:uid="{00000000-0005-0000-0000-0000364A0000}"/>
    <cellStyle name="Normal 42 9 2" xfId="17644" xr:uid="{00000000-0005-0000-0000-0000374A0000}"/>
    <cellStyle name="Normal 42 9 2 2" xfId="34218" xr:uid="{00000000-0005-0000-0000-0000384A0000}"/>
    <cellStyle name="Normal 42 9 3" xfId="26171" xr:uid="{00000000-0005-0000-0000-0000394A0000}"/>
    <cellStyle name="Normal 43" xfId="4443" xr:uid="{00000000-0005-0000-0000-00003A4A0000}"/>
    <cellStyle name="Normal 43 10" xfId="13811" xr:uid="{00000000-0005-0000-0000-00003B4A0000}"/>
    <cellStyle name="Normal 43 10 2" xfId="30355" xr:uid="{00000000-0005-0000-0000-00003C4A0000}"/>
    <cellStyle name="Normal 43 11" xfId="22312" xr:uid="{00000000-0005-0000-0000-00003D4A0000}"/>
    <cellStyle name="Normal 43 2" xfId="4444" xr:uid="{00000000-0005-0000-0000-00003E4A0000}"/>
    <cellStyle name="Normal 43 2 2" xfId="4445" xr:uid="{00000000-0005-0000-0000-00003F4A0000}"/>
    <cellStyle name="Normal 43 2 3" xfId="13812" xr:uid="{00000000-0005-0000-0000-0000404A0000}"/>
    <cellStyle name="Normal 43 2 3 2" xfId="30356" xr:uid="{00000000-0005-0000-0000-0000414A0000}"/>
    <cellStyle name="Normal 43 2 4" xfId="22313" xr:uid="{00000000-0005-0000-0000-0000424A0000}"/>
    <cellStyle name="Normal 43 3" xfId="4446" xr:uid="{00000000-0005-0000-0000-0000434A0000}"/>
    <cellStyle name="Normal 43 3 2" xfId="4447" xr:uid="{00000000-0005-0000-0000-0000444A0000}"/>
    <cellStyle name="Normal 43 3 2 2" xfId="4448" xr:uid="{00000000-0005-0000-0000-0000454A0000}"/>
    <cellStyle name="Normal 43 3 2 2 2" xfId="4449" xr:uid="{00000000-0005-0000-0000-0000464A0000}"/>
    <cellStyle name="Normal 43 3 2 2 2 2" xfId="8469" xr:uid="{00000000-0005-0000-0000-0000474A0000}"/>
    <cellStyle name="Normal 43 3 2 2 2 2 2" xfId="17645" xr:uid="{00000000-0005-0000-0000-0000484A0000}"/>
    <cellStyle name="Normal 43 3 2 2 2 2 2 2" xfId="34219" xr:uid="{00000000-0005-0000-0000-0000494A0000}"/>
    <cellStyle name="Normal 43 3 2 2 2 2 3" xfId="26172" xr:uid="{00000000-0005-0000-0000-00004A4A0000}"/>
    <cellStyle name="Normal 43 3 2 2 2 3" xfId="13815" xr:uid="{00000000-0005-0000-0000-00004B4A0000}"/>
    <cellStyle name="Normal 43 3 2 2 2 3 2" xfId="30359" xr:uid="{00000000-0005-0000-0000-00004C4A0000}"/>
    <cellStyle name="Normal 43 3 2 2 2 4" xfId="22316" xr:uid="{00000000-0005-0000-0000-00004D4A0000}"/>
    <cellStyle name="Normal 43 3 2 2 3" xfId="8470" xr:uid="{00000000-0005-0000-0000-00004E4A0000}"/>
    <cellStyle name="Normal 43 3 2 2 3 2" xfId="17646" xr:uid="{00000000-0005-0000-0000-00004F4A0000}"/>
    <cellStyle name="Normal 43 3 2 2 3 2 2" xfId="34220" xr:uid="{00000000-0005-0000-0000-0000504A0000}"/>
    <cellStyle name="Normal 43 3 2 2 3 3" xfId="26173" xr:uid="{00000000-0005-0000-0000-0000514A0000}"/>
    <cellStyle name="Normal 43 3 2 2 4" xfId="13814" xr:uid="{00000000-0005-0000-0000-0000524A0000}"/>
    <cellStyle name="Normal 43 3 2 2 4 2" xfId="30358" xr:uid="{00000000-0005-0000-0000-0000534A0000}"/>
    <cellStyle name="Normal 43 3 2 2 5" xfId="22315" xr:uid="{00000000-0005-0000-0000-0000544A0000}"/>
    <cellStyle name="Normal 43 3 2 3" xfId="4450" xr:uid="{00000000-0005-0000-0000-0000554A0000}"/>
    <cellStyle name="Normal 43 3 2 3 2" xfId="8471" xr:uid="{00000000-0005-0000-0000-0000564A0000}"/>
    <cellStyle name="Normal 43 3 2 3 2 2" xfId="17647" xr:uid="{00000000-0005-0000-0000-0000574A0000}"/>
    <cellStyle name="Normal 43 3 2 3 2 2 2" xfId="34221" xr:uid="{00000000-0005-0000-0000-0000584A0000}"/>
    <cellStyle name="Normal 43 3 2 3 2 3" xfId="26174" xr:uid="{00000000-0005-0000-0000-0000594A0000}"/>
    <cellStyle name="Normal 43 3 2 3 3" xfId="13816" xr:uid="{00000000-0005-0000-0000-00005A4A0000}"/>
    <cellStyle name="Normal 43 3 2 3 3 2" xfId="30360" xr:uid="{00000000-0005-0000-0000-00005B4A0000}"/>
    <cellStyle name="Normal 43 3 2 3 4" xfId="22317" xr:uid="{00000000-0005-0000-0000-00005C4A0000}"/>
    <cellStyle name="Normal 43 3 2 4" xfId="8472" xr:uid="{00000000-0005-0000-0000-00005D4A0000}"/>
    <cellStyle name="Normal 43 3 2 4 2" xfId="17648" xr:uid="{00000000-0005-0000-0000-00005E4A0000}"/>
    <cellStyle name="Normal 43 3 2 4 2 2" xfId="34222" xr:uid="{00000000-0005-0000-0000-00005F4A0000}"/>
    <cellStyle name="Normal 43 3 2 4 3" xfId="26175" xr:uid="{00000000-0005-0000-0000-0000604A0000}"/>
    <cellStyle name="Normal 43 3 2 5" xfId="13813" xr:uid="{00000000-0005-0000-0000-0000614A0000}"/>
    <cellStyle name="Normal 43 3 2 5 2" xfId="30357" xr:uid="{00000000-0005-0000-0000-0000624A0000}"/>
    <cellStyle name="Normal 43 3 2 6" xfId="22314" xr:uid="{00000000-0005-0000-0000-0000634A0000}"/>
    <cellStyle name="Normal 43 3 3" xfId="4451" xr:uid="{00000000-0005-0000-0000-0000644A0000}"/>
    <cellStyle name="Normal 43 3 3 2" xfId="4452" xr:uid="{00000000-0005-0000-0000-0000654A0000}"/>
    <cellStyle name="Normal 43 3 3 2 2" xfId="8473" xr:uid="{00000000-0005-0000-0000-0000664A0000}"/>
    <cellStyle name="Normal 43 3 3 2 2 2" xfId="17649" xr:uid="{00000000-0005-0000-0000-0000674A0000}"/>
    <cellStyle name="Normal 43 3 3 2 2 2 2" xfId="34223" xr:uid="{00000000-0005-0000-0000-0000684A0000}"/>
    <cellStyle name="Normal 43 3 3 2 2 3" xfId="26176" xr:uid="{00000000-0005-0000-0000-0000694A0000}"/>
    <cellStyle name="Normal 43 3 3 2 3" xfId="13818" xr:uid="{00000000-0005-0000-0000-00006A4A0000}"/>
    <cellStyle name="Normal 43 3 3 2 3 2" xfId="30362" xr:uid="{00000000-0005-0000-0000-00006B4A0000}"/>
    <cellStyle name="Normal 43 3 3 2 4" xfId="22319" xr:uid="{00000000-0005-0000-0000-00006C4A0000}"/>
    <cellStyle name="Normal 43 3 3 3" xfId="8474" xr:uid="{00000000-0005-0000-0000-00006D4A0000}"/>
    <cellStyle name="Normal 43 3 3 3 2" xfId="17650" xr:uid="{00000000-0005-0000-0000-00006E4A0000}"/>
    <cellStyle name="Normal 43 3 3 3 2 2" xfId="34224" xr:uid="{00000000-0005-0000-0000-00006F4A0000}"/>
    <cellStyle name="Normal 43 3 3 3 3" xfId="26177" xr:uid="{00000000-0005-0000-0000-0000704A0000}"/>
    <cellStyle name="Normal 43 3 3 4" xfId="13817" xr:uid="{00000000-0005-0000-0000-0000714A0000}"/>
    <cellStyle name="Normal 43 3 3 4 2" xfId="30361" xr:uid="{00000000-0005-0000-0000-0000724A0000}"/>
    <cellStyle name="Normal 43 3 3 5" xfId="22318" xr:uid="{00000000-0005-0000-0000-0000734A0000}"/>
    <cellStyle name="Normal 43 3 4" xfId="4453" xr:uid="{00000000-0005-0000-0000-0000744A0000}"/>
    <cellStyle name="Normal 43 3 4 2" xfId="8475" xr:uid="{00000000-0005-0000-0000-0000754A0000}"/>
    <cellStyle name="Normal 43 3 4 2 2" xfId="17651" xr:uid="{00000000-0005-0000-0000-0000764A0000}"/>
    <cellStyle name="Normal 43 3 4 2 2 2" xfId="34225" xr:uid="{00000000-0005-0000-0000-0000774A0000}"/>
    <cellStyle name="Normal 43 3 4 2 3" xfId="26178" xr:uid="{00000000-0005-0000-0000-0000784A0000}"/>
    <cellStyle name="Normal 43 3 4 3" xfId="13819" xr:uid="{00000000-0005-0000-0000-0000794A0000}"/>
    <cellStyle name="Normal 43 3 4 3 2" xfId="30363" xr:uid="{00000000-0005-0000-0000-00007A4A0000}"/>
    <cellStyle name="Normal 43 3 4 4" xfId="22320" xr:uid="{00000000-0005-0000-0000-00007B4A0000}"/>
    <cellStyle name="Normal 43 3 5" xfId="4454" xr:uid="{00000000-0005-0000-0000-00007C4A0000}"/>
    <cellStyle name="Normal 43 3 5 2" xfId="13820" xr:uid="{00000000-0005-0000-0000-00007D4A0000}"/>
    <cellStyle name="Normal 43 3 5 2 2" xfId="30364" xr:uid="{00000000-0005-0000-0000-00007E4A0000}"/>
    <cellStyle name="Normal 43 3 5 3" xfId="22321" xr:uid="{00000000-0005-0000-0000-00007F4A0000}"/>
    <cellStyle name="Normal 43 4" xfId="4455" xr:uid="{00000000-0005-0000-0000-0000804A0000}"/>
    <cellStyle name="Normal 43 4 2" xfId="4456" xr:uid="{00000000-0005-0000-0000-0000814A0000}"/>
    <cellStyle name="Normal 43 4 2 2" xfId="4457" xr:uid="{00000000-0005-0000-0000-0000824A0000}"/>
    <cellStyle name="Normal 43 4 2 2 2" xfId="4458" xr:uid="{00000000-0005-0000-0000-0000834A0000}"/>
    <cellStyle name="Normal 43 4 2 2 2 2" xfId="8476" xr:uid="{00000000-0005-0000-0000-0000844A0000}"/>
    <cellStyle name="Normal 43 4 2 2 2 2 2" xfId="17652" xr:uid="{00000000-0005-0000-0000-0000854A0000}"/>
    <cellStyle name="Normal 43 4 2 2 2 2 2 2" xfId="34226" xr:uid="{00000000-0005-0000-0000-0000864A0000}"/>
    <cellStyle name="Normal 43 4 2 2 2 2 3" xfId="26179" xr:uid="{00000000-0005-0000-0000-0000874A0000}"/>
    <cellStyle name="Normal 43 4 2 2 2 3" xfId="13824" xr:uid="{00000000-0005-0000-0000-0000884A0000}"/>
    <cellStyle name="Normal 43 4 2 2 2 3 2" xfId="30368" xr:uid="{00000000-0005-0000-0000-0000894A0000}"/>
    <cellStyle name="Normal 43 4 2 2 2 4" xfId="22325" xr:uid="{00000000-0005-0000-0000-00008A4A0000}"/>
    <cellStyle name="Normal 43 4 2 2 3" xfId="8477" xr:uid="{00000000-0005-0000-0000-00008B4A0000}"/>
    <cellStyle name="Normal 43 4 2 2 3 2" xfId="17653" xr:uid="{00000000-0005-0000-0000-00008C4A0000}"/>
    <cellStyle name="Normal 43 4 2 2 3 2 2" xfId="34227" xr:uid="{00000000-0005-0000-0000-00008D4A0000}"/>
    <cellStyle name="Normal 43 4 2 2 3 3" xfId="26180" xr:uid="{00000000-0005-0000-0000-00008E4A0000}"/>
    <cellStyle name="Normal 43 4 2 2 4" xfId="13823" xr:uid="{00000000-0005-0000-0000-00008F4A0000}"/>
    <cellStyle name="Normal 43 4 2 2 4 2" xfId="30367" xr:uid="{00000000-0005-0000-0000-0000904A0000}"/>
    <cellStyle name="Normal 43 4 2 2 5" xfId="22324" xr:uid="{00000000-0005-0000-0000-0000914A0000}"/>
    <cellStyle name="Normal 43 4 2 3" xfId="4459" xr:uid="{00000000-0005-0000-0000-0000924A0000}"/>
    <cellStyle name="Normal 43 4 2 3 2" xfId="8478" xr:uid="{00000000-0005-0000-0000-0000934A0000}"/>
    <cellStyle name="Normal 43 4 2 3 2 2" xfId="17654" xr:uid="{00000000-0005-0000-0000-0000944A0000}"/>
    <cellStyle name="Normal 43 4 2 3 2 2 2" xfId="34228" xr:uid="{00000000-0005-0000-0000-0000954A0000}"/>
    <cellStyle name="Normal 43 4 2 3 2 3" xfId="26181" xr:uid="{00000000-0005-0000-0000-0000964A0000}"/>
    <cellStyle name="Normal 43 4 2 3 3" xfId="13825" xr:uid="{00000000-0005-0000-0000-0000974A0000}"/>
    <cellStyle name="Normal 43 4 2 3 3 2" xfId="30369" xr:uid="{00000000-0005-0000-0000-0000984A0000}"/>
    <cellStyle name="Normal 43 4 2 3 4" xfId="22326" xr:uid="{00000000-0005-0000-0000-0000994A0000}"/>
    <cellStyle name="Normal 43 4 2 4" xfId="8479" xr:uid="{00000000-0005-0000-0000-00009A4A0000}"/>
    <cellStyle name="Normal 43 4 2 4 2" xfId="17655" xr:uid="{00000000-0005-0000-0000-00009B4A0000}"/>
    <cellStyle name="Normal 43 4 2 4 2 2" xfId="34229" xr:uid="{00000000-0005-0000-0000-00009C4A0000}"/>
    <cellStyle name="Normal 43 4 2 4 3" xfId="26182" xr:uid="{00000000-0005-0000-0000-00009D4A0000}"/>
    <cellStyle name="Normal 43 4 2 5" xfId="13822" xr:uid="{00000000-0005-0000-0000-00009E4A0000}"/>
    <cellStyle name="Normal 43 4 2 5 2" xfId="30366" xr:uid="{00000000-0005-0000-0000-00009F4A0000}"/>
    <cellStyle name="Normal 43 4 2 6" xfId="22323" xr:uid="{00000000-0005-0000-0000-0000A04A0000}"/>
    <cellStyle name="Normal 43 4 3" xfId="4460" xr:uid="{00000000-0005-0000-0000-0000A14A0000}"/>
    <cellStyle name="Normal 43 4 3 2" xfId="4461" xr:uid="{00000000-0005-0000-0000-0000A24A0000}"/>
    <cellStyle name="Normal 43 4 3 2 2" xfId="8480" xr:uid="{00000000-0005-0000-0000-0000A34A0000}"/>
    <cellStyle name="Normal 43 4 3 2 2 2" xfId="17656" xr:uid="{00000000-0005-0000-0000-0000A44A0000}"/>
    <cellStyle name="Normal 43 4 3 2 2 2 2" xfId="34230" xr:uid="{00000000-0005-0000-0000-0000A54A0000}"/>
    <cellStyle name="Normal 43 4 3 2 2 3" xfId="26183" xr:uid="{00000000-0005-0000-0000-0000A64A0000}"/>
    <cellStyle name="Normal 43 4 3 2 3" xfId="13827" xr:uid="{00000000-0005-0000-0000-0000A74A0000}"/>
    <cellStyle name="Normal 43 4 3 2 3 2" xfId="30371" xr:uid="{00000000-0005-0000-0000-0000A84A0000}"/>
    <cellStyle name="Normal 43 4 3 2 4" xfId="22328" xr:uid="{00000000-0005-0000-0000-0000A94A0000}"/>
    <cellStyle name="Normal 43 4 3 3" xfId="8481" xr:uid="{00000000-0005-0000-0000-0000AA4A0000}"/>
    <cellStyle name="Normal 43 4 3 3 2" xfId="17657" xr:uid="{00000000-0005-0000-0000-0000AB4A0000}"/>
    <cellStyle name="Normal 43 4 3 3 2 2" xfId="34231" xr:uid="{00000000-0005-0000-0000-0000AC4A0000}"/>
    <cellStyle name="Normal 43 4 3 3 3" xfId="26184" xr:uid="{00000000-0005-0000-0000-0000AD4A0000}"/>
    <cellStyle name="Normal 43 4 3 4" xfId="13826" xr:uid="{00000000-0005-0000-0000-0000AE4A0000}"/>
    <cellStyle name="Normal 43 4 3 4 2" xfId="30370" xr:uid="{00000000-0005-0000-0000-0000AF4A0000}"/>
    <cellStyle name="Normal 43 4 3 5" xfId="22327" xr:uid="{00000000-0005-0000-0000-0000B04A0000}"/>
    <cellStyle name="Normal 43 4 4" xfId="4462" xr:uid="{00000000-0005-0000-0000-0000B14A0000}"/>
    <cellStyle name="Normal 43 4 4 2" xfId="8482" xr:uid="{00000000-0005-0000-0000-0000B24A0000}"/>
    <cellStyle name="Normal 43 4 4 2 2" xfId="17658" xr:uid="{00000000-0005-0000-0000-0000B34A0000}"/>
    <cellStyle name="Normal 43 4 4 2 2 2" xfId="34232" xr:uid="{00000000-0005-0000-0000-0000B44A0000}"/>
    <cellStyle name="Normal 43 4 4 2 3" xfId="26185" xr:uid="{00000000-0005-0000-0000-0000B54A0000}"/>
    <cellStyle name="Normal 43 4 4 3" xfId="13828" xr:uid="{00000000-0005-0000-0000-0000B64A0000}"/>
    <cellStyle name="Normal 43 4 4 3 2" xfId="30372" xr:uid="{00000000-0005-0000-0000-0000B74A0000}"/>
    <cellStyle name="Normal 43 4 4 4" xfId="22329" xr:uid="{00000000-0005-0000-0000-0000B84A0000}"/>
    <cellStyle name="Normal 43 4 5" xfId="8483" xr:uid="{00000000-0005-0000-0000-0000B94A0000}"/>
    <cellStyle name="Normal 43 4 5 2" xfId="17659" xr:uid="{00000000-0005-0000-0000-0000BA4A0000}"/>
    <cellStyle name="Normal 43 4 5 2 2" xfId="34233" xr:uid="{00000000-0005-0000-0000-0000BB4A0000}"/>
    <cellStyle name="Normal 43 4 5 3" xfId="26186" xr:uid="{00000000-0005-0000-0000-0000BC4A0000}"/>
    <cellStyle name="Normal 43 4 6" xfId="13821" xr:uid="{00000000-0005-0000-0000-0000BD4A0000}"/>
    <cellStyle name="Normal 43 4 6 2" xfId="30365" xr:uid="{00000000-0005-0000-0000-0000BE4A0000}"/>
    <cellStyle name="Normal 43 4 7" xfId="22322" xr:uid="{00000000-0005-0000-0000-0000BF4A0000}"/>
    <cellStyle name="Normal 43 5" xfId="4463" xr:uid="{00000000-0005-0000-0000-0000C04A0000}"/>
    <cellStyle name="Normal 43 5 2" xfId="4464" xr:uid="{00000000-0005-0000-0000-0000C14A0000}"/>
    <cellStyle name="Normal 43 5 2 2" xfId="4465" xr:uid="{00000000-0005-0000-0000-0000C24A0000}"/>
    <cellStyle name="Normal 43 5 2 2 2" xfId="4466" xr:uid="{00000000-0005-0000-0000-0000C34A0000}"/>
    <cellStyle name="Normal 43 5 2 2 2 2" xfId="8484" xr:uid="{00000000-0005-0000-0000-0000C44A0000}"/>
    <cellStyle name="Normal 43 5 2 2 2 2 2" xfId="17660" xr:uid="{00000000-0005-0000-0000-0000C54A0000}"/>
    <cellStyle name="Normal 43 5 2 2 2 2 2 2" xfId="34234" xr:uid="{00000000-0005-0000-0000-0000C64A0000}"/>
    <cellStyle name="Normal 43 5 2 2 2 2 3" xfId="26187" xr:uid="{00000000-0005-0000-0000-0000C74A0000}"/>
    <cellStyle name="Normal 43 5 2 2 2 3" xfId="13832" xr:uid="{00000000-0005-0000-0000-0000C84A0000}"/>
    <cellStyle name="Normal 43 5 2 2 2 3 2" xfId="30376" xr:uid="{00000000-0005-0000-0000-0000C94A0000}"/>
    <cellStyle name="Normal 43 5 2 2 2 4" xfId="22333" xr:uid="{00000000-0005-0000-0000-0000CA4A0000}"/>
    <cellStyle name="Normal 43 5 2 2 3" xfId="8485" xr:uid="{00000000-0005-0000-0000-0000CB4A0000}"/>
    <cellStyle name="Normal 43 5 2 2 3 2" xfId="17661" xr:uid="{00000000-0005-0000-0000-0000CC4A0000}"/>
    <cellStyle name="Normal 43 5 2 2 3 2 2" xfId="34235" xr:uid="{00000000-0005-0000-0000-0000CD4A0000}"/>
    <cellStyle name="Normal 43 5 2 2 3 3" xfId="26188" xr:uid="{00000000-0005-0000-0000-0000CE4A0000}"/>
    <cellStyle name="Normal 43 5 2 2 4" xfId="13831" xr:uid="{00000000-0005-0000-0000-0000CF4A0000}"/>
    <cellStyle name="Normal 43 5 2 2 4 2" xfId="30375" xr:uid="{00000000-0005-0000-0000-0000D04A0000}"/>
    <cellStyle name="Normal 43 5 2 2 5" xfId="22332" xr:uid="{00000000-0005-0000-0000-0000D14A0000}"/>
    <cellStyle name="Normal 43 5 2 3" xfId="4467" xr:uid="{00000000-0005-0000-0000-0000D24A0000}"/>
    <cellStyle name="Normal 43 5 2 3 2" xfId="8486" xr:uid="{00000000-0005-0000-0000-0000D34A0000}"/>
    <cellStyle name="Normal 43 5 2 3 2 2" xfId="17662" xr:uid="{00000000-0005-0000-0000-0000D44A0000}"/>
    <cellStyle name="Normal 43 5 2 3 2 2 2" xfId="34236" xr:uid="{00000000-0005-0000-0000-0000D54A0000}"/>
    <cellStyle name="Normal 43 5 2 3 2 3" xfId="26189" xr:uid="{00000000-0005-0000-0000-0000D64A0000}"/>
    <cellStyle name="Normal 43 5 2 3 3" xfId="13833" xr:uid="{00000000-0005-0000-0000-0000D74A0000}"/>
    <cellStyle name="Normal 43 5 2 3 3 2" xfId="30377" xr:uid="{00000000-0005-0000-0000-0000D84A0000}"/>
    <cellStyle name="Normal 43 5 2 3 4" xfId="22334" xr:uid="{00000000-0005-0000-0000-0000D94A0000}"/>
    <cellStyle name="Normal 43 5 2 4" xfId="8487" xr:uid="{00000000-0005-0000-0000-0000DA4A0000}"/>
    <cellStyle name="Normal 43 5 2 4 2" xfId="17663" xr:uid="{00000000-0005-0000-0000-0000DB4A0000}"/>
    <cellStyle name="Normal 43 5 2 4 2 2" xfId="34237" xr:uid="{00000000-0005-0000-0000-0000DC4A0000}"/>
    <cellStyle name="Normal 43 5 2 4 3" xfId="26190" xr:uid="{00000000-0005-0000-0000-0000DD4A0000}"/>
    <cellStyle name="Normal 43 5 2 5" xfId="13830" xr:uid="{00000000-0005-0000-0000-0000DE4A0000}"/>
    <cellStyle name="Normal 43 5 2 5 2" xfId="30374" xr:uid="{00000000-0005-0000-0000-0000DF4A0000}"/>
    <cellStyle name="Normal 43 5 2 6" xfId="22331" xr:uid="{00000000-0005-0000-0000-0000E04A0000}"/>
    <cellStyle name="Normal 43 5 3" xfId="4468" xr:uid="{00000000-0005-0000-0000-0000E14A0000}"/>
    <cellStyle name="Normal 43 5 3 2" xfId="4469" xr:uid="{00000000-0005-0000-0000-0000E24A0000}"/>
    <cellStyle name="Normal 43 5 3 2 2" xfId="8488" xr:uid="{00000000-0005-0000-0000-0000E34A0000}"/>
    <cellStyle name="Normal 43 5 3 2 2 2" xfId="17664" xr:uid="{00000000-0005-0000-0000-0000E44A0000}"/>
    <cellStyle name="Normal 43 5 3 2 2 2 2" xfId="34238" xr:uid="{00000000-0005-0000-0000-0000E54A0000}"/>
    <cellStyle name="Normal 43 5 3 2 2 3" xfId="26191" xr:uid="{00000000-0005-0000-0000-0000E64A0000}"/>
    <cellStyle name="Normal 43 5 3 2 3" xfId="13835" xr:uid="{00000000-0005-0000-0000-0000E74A0000}"/>
    <cellStyle name="Normal 43 5 3 2 3 2" xfId="30379" xr:uid="{00000000-0005-0000-0000-0000E84A0000}"/>
    <cellStyle name="Normal 43 5 3 2 4" xfId="22336" xr:uid="{00000000-0005-0000-0000-0000E94A0000}"/>
    <cellStyle name="Normal 43 5 3 3" xfId="8489" xr:uid="{00000000-0005-0000-0000-0000EA4A0000}"/>
    <cellStyle name="Normal 43 5 3 3 2" xfId="17665" xr:uid="{00000000-0005-0000-0000-0000EB4A0000}"/>
    <cellStyle name="Normal 43 5 3 3 2 2" xfId="34239" xr:uid="{00000000-0005-0000-0000-0000EC4A0000}"/>
    <cellStyle name="Normal 43 5 3 3 3" xfId="26192" xr:uid="{00000000-0005-0000-0000-0000ED4A0000}"/>
    <cellStyle name="Normal 43 5 3 4" xfId="13834" xr:uid="{00000000-0005-0000-0000-0000EE4A0000}"/>
    <cellStyle name="Normal 43 5 3 4 2" xfId="30378" xr:uid="{00000000-0005-0000-0000-0000EF4A0000}"/>
    <cellStyle name="Normal 43 5 3 5" xfId="22335" xr:uid="{00000000-0005-0000-0000-0000F04A0000}"/>
    <cellStyle name="Normal 43 5 4" xfId="4470" xr:uid="{00000000-0005-0000-0000-0000F14A0000}"/>
    <cellStyle name="Normal 43 5 4 2" xfId="8490" xr:uid="{00000000-0005-0000-0000-0000F24A0000}"/>
    <cellStyle name="Normal 43 5 4 2 2" xfId="17666" xr:uid="{00000000-0005-0000-0000-0000F34A0000}"/>
    <cellStyle name="Normal 43 5 4 2 2 2" xfId="34240" xr:uid="{00000000-0005-0000-0000-0000F44A0000}"/>
    <cellStyle name="Normal 43 5 4 2 3" xfId="26193" xr:uid="{00000000-0005-0000-0000-0000F54A0000}"/>
    <cellStyle name="Normal 43 5 4 3" xfId="13836" xr:uid="{00000000-0005-0000-0000-0000F64A0000}"/>
    <cellStyle name="Normal 43 5 4 3 2" xfId="30380" xr:uid="{00000000-0005-0000-0000-0000F74A0000}"/>
    <cellStyle name="Normal 43 5 4 4" xfId="22337" xr:uid="{00000000-0005-0000-0000-0000F84A0000}"/>
    <cellStyle name="Normal 43 5 5" xfId="8491" xr:uid="{00000000-0005-0000-0000-0000F94A0000}"/>
    <cellStyle name="Normal 43 5 5 2" xfId="17667" xr:uid="{00000000-0005-0000-0000-0000FA4A0000}"/>
    <cellStyle name="Normal 43 5 5 2 2" xfId="34241" xr:uid="{00000000-0005-0000-0000-0000FB4A0000}"/>
    <cellStyle name="Normal 43 5 5 3" xfId="26194" xr:uid="{00000000-0005-0000-0000-0000FC4A0000}"/>
    <cellStyle name="Normal 43 5 6" xfId="13829" xr:uid="{00000000-0005-0000-0000-0000FD4A0000}"/>
    <cellStyle name="Normal 43 5 6 2" xfId="30373" xr:uid="{00000000-0005-0000-0000-0000FE4A0000}"/>
    <cellStyle name="Normal 43 5 7" xfId="22330" xr:uid="{00000000-0005-0000-0000-0000FF4A0000}"/>
    <cellStyle name="Normal 43 6" xfId="4471" xr:uid="{00000000-0005-0000-0000-0000004B0000}"/>
    <cellStyle name="Normal 43 6 2" xfId="4472" xr:uid="{00000000-0005-0000-0000-0000014B0000}"/>
    <cellStyle name="Normal 43 6 2 2" xfId="4473" xr:uid="{00000000-0005-0000-0000-0000024B0000}"/>
    <cellStyle name="Normal 43 6 2 2 2" xfId="8492" xr:uid="{00000000-0005-0000-0000-0000034B0000}"/>
    <cellStyle name="Normal 43 6 2 2 2 2" xfId="17668" xr:uid="{00000000-0005-0000-0000-0000044B0000}"/>
    <cellStyle name="Normal 43 6 2 2 2 2 2" xfId="34242" xr:uid="{00000000-0005-0000-0000-0000054B0000}"/>
    <cellStyle name="Normal 43 6 2 2 2 3" xfId="26195" xr:uid="{00000000-0005-0000-0000-0000064B0000}"/>
    <cellStyle name="Normal 43 6 2 2 3" xfId="13839" xr:uid="{00000000-0005-0000-0000-0000074B0000}"/>
    <cellStyle name="Normal 43 6 2 2 3 2" xfId="30383" xr:uid="{00000000-0005-0000-0000-0000084B0000}"/>
    <cellStyle name="Normal 43 6 2 2 4" xfId="22340" xr:uid="{00000000-0005-0000-0000-0000094B0000}"/>
    <cellStyle name="Normal 43 6 2 3" xfId="8493" xr:uid="{00000000-0005-0000-0000-00000A4B0000}"/>
    <cellStyle name="Normal 43 6 2 3 2" xfId="17669" xr:uid="{00000000-0005-0000-0000-00000B4B0000}"/>
    <cellStyle name="Normal 43 6 2 3 2 2" xfId="34243" xr:uid="{00000000-0005-0000-0000-00000C4B0000}"/>
    <cellStyle name="Normal 43 6 2 3 3" xfId="26196" xr:uid="{00000000-0005-0000-0000-00000D4B0000}"/>
    <cellStyle name="Normal 43 6 2 4" xfId="13838" xr:uid="{00000000-0005-0000-0000-00000E4B0000}"/>
    <cellStyle name="Normal 43 6 2 4 2" xfId="30382" xr:uid="{00000000-0005-0000-0000-00000F4B0000}"/>
    <cellStyle name="Normal 43 6 2 5" xfId="22339" xr:uid="{00000000-0005-0000-0000-0000104B0000}"/>
    <cellStyle name="Normal 43 6 3" xfId="4474" xr:uid="{00000000-0005-0000-0000-0000114B0000}"/>
    <cellStyle name="Normal 43 6 3 2" xfId="8494" xr:uid="{00000000-0005-0000-0000-0000124B0000}"/>
    <cellStyle name="Normal 43 6 3 2 2" xfId="17670" xr:uid="{00000000-0005-0000-0000-0000134B0000}"/>
    <cellStyle name="Normal 43 6 3 2 2 2" xfId="34244" xr:uid="{00000000-0005-0000-0000-0000144B0000}"/>
    <cellStyle name="Normal 43 6 3 2 3" xfId="26197" xr:uid="{00000000-0005-0000-0000-0000154B0000}"/>
    <cellStyle name="Normal 43 6 3 3" xfId="13840" xr:uid="{00000000-0005-0000-0000-0000164B0000}"/>
    <cellStyle name="Normal 43 6 3 3 2" xfId="30384" xr:uid="{00000000-0005-0000-0000-0000174B0000}"/>
    <cellStyle name="Normal 43 6 3 4" xfId="22341" xr:uid="{00000000-0005-0000-0000-0000184B0000}"/>
    <cellStyle name="Normal 43 6 4" xfId="8495" xr:uid="{00000000-0005-0000-0000-0000194B0000}"/>
    <cellStyle name="Normal 43 6 4 2" xfId="17671" xr:uid="{00000000-0005-0000-0000-00001A4B0000}"/>
    <cellStyle name="Normal 43 6 4 2 2" xfId="34245" xr:uid="{00000000-0005-0000-0000-00001B4B0000}"/>
    <cellStyle name="Normal 43 6 4 3" xfId="26198" xr:uid="{00000000-0005-0000-0000-00001C4B0000}"/>
    <cellStyle name="Normal 43 6 5" xfId="13837" xr:uid="{00000000-0005-0000-0000-00001D4B0000}"/>
    <cellStyle name="Normal 43 6 5 2" xfId="30381" xr:uid="{00000000-0005-0000-0000-00001E4B0000}"/>
    <cellStyle name="Normal 43 6 6" xfId="22338" xr:uid="{00000000-0005-0000-0000-00001F4B0000}"/>
    <cellStyle name="Normal 43 7" xfId="4475" xr:uid="{00000000-0005-0000-0000-0000204B0000}"/>
    <cellStyle name="Normal 43 7 2" xfId="4476" xr:uid="{00000000-0005-0000-0000-0000214B0000}"/>
    <cellStyle name="Normal 43 7 2 2" xfId="8496" xr:uid="{00000000-0005-0000-0000-0000224B0000}"/>
    <cellStyle name="Normal 43 7 2 2 2" xfId="17672" xr:uid="{00000000-0005-0000-0000-0000234B0000}"/>
    <cellStyle name="Normal 43 7 2 2 2 2" xfId="34246" xr:uid="{00000000-0005-0000-0000-0000244B0000}"/>
    <cellStyle name="Normal 43 7 2 2 3" xfId="26199" xr:uid="{00000000-0005-0000-0000-0000254B0000}"/>
    <cellStyle name="Normal 43 7 2 3" xfId="13842" xr:uid="{00000000-0005-0000-0000-0000264B0000}"/>
    <cellStyle name="Normal 43 7 2 3 2" xfId="30386" xr:uid="{00000000-0005-0000-0000-0000274B0000}"/>
    <cellStyle name="Normal 43 7 2 4" xfId="22343" xr:uid="{00000000-0005-0000-0000-0000284B0000}"/>
    <cellStyle name="Normal 43 7 3" xfId="8497" xr:uid="{00000000-0005-0000-0000-0000294B0000}"/>
    <cellStyle name="Normal 43 7 3 2" xfId="17673" xr:uid="{00000000-0005-0000-0000-00002A4B0000}"/>
    <cellStyle name="Normal 43 7 3 2 2" xfId="34247" xr:uid="{00000000-0005-0000-0000-00002B4B0000}"/>
    <cellStyle name="Normal 43 7 3 3" xfId="26200" xr:uid="{00000000-0005-0000-0000-00002C4B0000}"/>
    <cellStyle name="Normal 43 7 4" xfId="13841" xr:uid="{00000000-0005-0000-0000-00002D4B0000}"/>
    <cellStyle name="Normal 43 7 4 2" xfId="30385" xr:uid="{00000000-0005-0000-0000-00002E4B0000}"/>
    <cellStyle name="Normal 43 7 5" xfId="22342" xr:uid="{00000000-0005-0000-0000-00002F4B0000}"/>
    <cellStyle name="Normal 43 8" xfId="4477" xr:uid="{00000000-0005-0000-0000-0000304B0000}"/>
    <cellStyle name="Normal 43 8 2" xfId="8498" xr:uid="{00000000-0005-0000-0000-0000314B0000}"/>
    <cellStyle name="Normal 43 8 2 2" xfId="17674" xr:uid="{00000000-0005-0000-0000-0000324B0000}"/>
    <cellStyle name="Normal 43 8 2 2 2" xfId="34248" xr:uid="{00000000-0005-0000-0000-0000334B0000}"/>
    <cellStyle name="Normal 43 8 2 3" xfId="26201" xr:uid="{00000000-0005-0000-0000-0000344B0000}"/>
    <cellStyle name="Normal 43 8 3" xfId="13843" xr:uid="{00000000-0005-0000-0000-0000354B0000}"/>
    <cellStyle name="Normal 43 8 3 2" xfId="30387" xr:uid="{00000000-0005-0000-0000-0000364B0000}"/>
    <cellStyle name="Normal 43 8 4" xfId="22344" xr:uid="{00000000-0005-0000-0000-0000374B0000}"/>
    <cellStyle name="Normal 43 9" xfId="8499" xr:uid="{00000000-0005-0000-0000-0000384B0000}"/>
    <cellStyle name="Normal 43 9 2" xfId="17675" xr:uid="{00000000-0005-0000-0000-0000394B0000}"/>
    <cellStyle name="Normal 43 9 2 2" xfId="34249" xr:uid="{00000000-0005-0000-0000-00003A4B0000}"/>
    <cellStyle name="Normal 43 9 3" xfId="26202" xr:uid="{00000000-0005-0000-0000-00003B4B0000}"/>
    <cellStyle name="Normal 44" xfId="4478" xr:uid="{00000000-0005-0000-0000-00003C4B0000}"/>
    <cellStyle name="Normal 44 10" xfId="13844" xr:uid="{00000000-0005-0000-0000-00003D4B0000}"/>
    <cellStyle name="Normal 44 10 2" xfId="30388" xr:uid="{00000000-0005-0000-0000-00003E4B0000}"/>
    <cellStyle name="Normal 44 11" xfId="22345" xr:uid="{00000000-0005-0000-0000-00003F4B0000}"/>
    <cellStyle name="Normal 44 2" xfId="4479" xr:uid="{00000000-0005-0000-0000-0000404B0000}"/>
    <cellStyle name="Normal 44 2 2" xfId="4480" xr:uid="{00000000-0005-0000-0000-0000414B0000}"/>
    <cellStyle name="Normal 44 2 3" xfId="13845" xr:uid="{00000000-0005-0000-0000-0000424B0000}"/>
    <cellStyle name="Normal 44 2 3 2" xfId="30389" xr:uid="{00000000-0005-0000-0000-0000434B0000}"/>
    <cellStyle name="Normal 44 2 4" xfId="22346" xr:uid="{00000000-0005-0000-0000-0000444B0000}"/>
    <cellStyle name="Normal 44 3" xfId="4481" xr:uid="{00000000-0005-0000-0000-0000454B0000}"/>
    <cellStyle name="Normal 44 3 2" xfId="4482" xr:uid="{00000000-0005-0000-0000-0000464B0000}"/>
    <cellStyle name="Normal 44 3 2 2" xfId="4483" xr:uid="{00000000-0005-0000-0000-0000474B0000}"/>
    <cellStyle name="Normal 44 3 2 2 2" xfId="4484" xr:uid="{00000000-0005-0000-0000-0000484B0000}"/>
    <cellStyle name="Normal 44 3 2 2 2 2" xfId="8500" xr:uid="{00000000-0005-0000-0000-0000494B0000}"/>
    <cellStyle name="Normal 44 3 2 2 2 2 2" xfId="17676" xr:uid="{00000000-0005-0000-0000-00004A4B0000}"/>
    <cellStyle name="Normal 44 3 2 2 2 2 2 2" xfId="34250" xr:uid="{00000000-0005-0000-0000-00004B4B0000}"/>
    <cellStyle name="Normal 44 3 2 2 2 2 3" xfId="26203" xr:uid="{00000000-0005-0000-0000-00004C4B0000}"/>
    <cellStyle name="Normal 44 3 2 2 2 3" xfId="13848" xr:uid="{00000000-0005-0000-0000-00004D4B0000}"/>
    <cellStyle name="Normal 44 3 2 2 2 3 2" xfId="30392" xr:uid="{00000000-0005-0000-0000-00004E4B0000}"/>
    <cellStyle name="Normal 44 3 2 2 2 4" xfId="22349" xr:uid="{00000000-0005-0000-0000-00004F4B0000}"/>
    <cellStyle name="Normal 44 3 2 2 3" xfId="8501" xr:uid="{00000000-0005-0000-0000-0000504B0000}"/>
    <cellStyle name="Normal 44 3 2 2 3 2" xfId="17677" xr:uid="{00000000-0005-0000-0000-0000514B0000}"/>
    <cellStyle name="Normal 44 3 2 2 3 2 2" xfId="34251" xr:uid="{00000000-0005-0000-0000-0000524B0000}"/>
    <cellStyle name="Normal 44 3 2 2 3 3" xfId="26204" xr:uid="{00000000-0005-0000-0000-0000534B0000}"/>
    <cellStyle name="Normal 44 3 2 2 4" xfId="13847" xr:uid="{00000000-0005-0000-0000-0000544B0000}"/>
    <cellStyle name="Normal 44 3 2 2 4 2" xfId="30391" xr:uid="{00000000-0005-0000-0000-0000554B0000}"/>
    <cellStyle name="Normal 44 3 2 2 5" xfId="22348" xr:uid="{00000000-0005-0000-0000-0000564B0000}"/>
    <cellStyle name="Normal 44 3 2 3" xfId="4485" xr:uid="{00000000-0005-0000-0000-0000574B0000}"/>
    <cellStyle name="Normal 44 3 2 3 2" xfId="8502" xr:uid="{00000000-0005-0000-0000-0000584B0000}"/>
    <cellStyle name="Normal 44 3 2 3 2 2" xfId="17678" xr:uid="{00000000-0005-0000-0000-0000594B0000}"/>
    <cellStyle name="Normal 44 3 2 3 2 2 2" xfId="34252" xr:uid="{00000000-0005-0000-0000-00005A4B0000}"/>
    <cellStyle name="Normal 44 3 2 3 2 3" xfId="26205" xr:uid="{00000000-0005-0000-0000-00005B4B0000}"/>
    <cellStyle name="Normal 44 3 2 3 3" xfId="13849" xr:uid="{00000000-0005-0000-0000-00005C4B0000}"/>
    <cellStyle name="Normal 44 3 2 3 3 2" xfId="30393" xr:uid="{00000000-0005-0000-0000-00005D4B0000}"/>
    <cellStyle name="Normal 44 3 2 3 4" xfId="22350" xr:uid="{00000000-0005-0000-0000-00005E4B0000}"/>
    <cellStyle name="Normal 44 3 2 4" xfId="8503" xr:uid="{00000000-0005-0000-0000-00005F4B0000}"/>
    <cellStyle name="Normal 44 3 2 4 2" xfId="17679" xr:uid="{00000000-0005-0000-0000-0000604B0000}"/>
    <cellStyle name="Normal 44 3 2 4 2 2" xfId="34253" xr:uid="{00000000-0005-0000-0000-0000614B0000}"/>
    <cellStyle name="Normal 44 3 2 4 3" xfId="26206" xr:uid="{00000000-0005-0000-0000-0000624B0000}"/>
    <cellStyle name="Normal 44 3 2 5" xfId="13846" xr:uid="{00000000-0005-0000-0000-0000634B0000}"/>
    <cellStyle name="Normal 44 3 2 5 2" xfId="30390" xr:uid="{00000000-0005-0000-0000-0000644B0000}"/>
    <cellStyle name="Normal 44 3 2 6" xfId="22347" xr:uid="{00000000-0005-0000-0000-0000654B0000}"/>
    <cellStyle name="Normal 44 3 3" xfId="4486" xr:uid="{00000000-0005-0000-0000-0000664B0000}"/>
    <cellStyle name="Normal 44 3 3 2" xfId="4487" xr:uid="{00000000-0005-0000-0000-0000674B0000}"/>
    <cellStyle name="Normal 44 3 3 2 2" xfId="8504" xr:uid="{00000000-0005-0000-0000-0000684B0000}"/>
    <cellStyle name="Normal 44 3 3 2 2 2" xfId="17680" xr:uid="{00000000-0005-0000-0000-0000694B0000}"/>
    <cellStyle name="Normal 44 3 3 2 2 2 2" xfId="34254" xr:uid="{00000000-0005-0000-0000-00006A4B0000}"/>
    <cellStyle name="Normal 44 3 3 2 2 3" xfId="26207" xr:uid="{00000000-0005-0000-0000-00006B4B0000}"/>
    <cellStyle name="Normal 44 3 3 2 3" xfId="13851" xr:uid="{00000000-0005-0000-0000-00006C4B0000}"/>
    <cellStyle name="Normal 44 3 3 2 3 2" xfId="30395" xr:uid="{00000000-0005-0000-0000-00006D4B0000}"/>
    <cellStyle name="Normal 44 3 3 2 4" xfId="22352" xr:uid="{00000000-0005-0000-0000-00006E4B0000}"/>
    <cellStyle name="Normal 44 3 3 3" xfId="8505" xr:uid="{00000000-0005-0000-0000-00006F4B0000}"/>
    <cellStyle name="Normal 44 3 3 3 2" xfId="17681" xr:uid="{00000000-0005-0000-0000-0000704B0000}"/>
    <cellStyle name="Normal 44 3 3 3 2 2" xfId="34255" xr:uid="{00000000-0005-0000-0000-0000714B0000}"/>
    <cellStyle name="Normal 44 3 3 3 3" xfId="26208" xr:uid="{00000000-0005-0000-0000-0000724B0000}"/>
    <cellStyle name="Normal 44 3 3 4" xfId="13850" xr:uid="{00000000-0005-0000-0000-0000734B0000}"/>
    <cellStyle name="Normal 44 3 3 4 2" xfId="30394" xr:uid="{00000000-0005-0000-0000-0000744B0000}"/>
    <cellStyle name="Normal 44 3 3 5" xfId="22351" xr:uid="{00000000-0005-0000-0000-0000754B0000}"/>
    <cellStyle name="Normal 44 3 4" xfId="4488" xr:uid="{00000000-0005-0000-0000-0000764B0000}"/>
    <cellStyle name="Normal 44 3 4 2" xfId="8506" xr:uid="{00000000-0005-0000-0000-0000774B0000}"/>
    <cellStyle name="Normal 44 3 4 2 2" xfId="17682" xr:uid="{00000000-0005-0000-0000-0000784B0000}"/>
    <cellStyle name="Normal 44 3 4 2 2 2" xfId="34256" xr:uid="{00000000-0005-0000-0000-0000794B0000}"/>
    <cellStyle name="Normal 44 3 4 2 3" xfId="26209" xr:uid="{00000000-0005-0000-0000-00007A4B0000}"/>
    <cellStyle name="Normal 44 3 4 3" xfId="13852" xr:uid="{00000000-0005-0000-0000-00007B4B0000}"/>
    <cellStyle name="Normal 44 3 4 3 2" xfId="30396" xr:uid="{00000000-0005-0000-0000-00007C4B0000}"/>
    <cellStyle name="Normal 44 3 4 4" xfId="22353" xr:uid="{00000000-0005-0000-0000-00007D4B0000}"/>
    <cellStyle name="Normal 44 3 5" xfId="4489" xr:uid="{00000000-0005-0000-0000-00007E4B0000}"/>
    <cellStyle name="Normal 44 3 5 2" xfId="13853" xr:uid="{00000000-0005-0000-0000-00007F4B0000}"/>
    <cellStyle name="Normal 44 3 5 2 2" xfId="30397" xr:uid="{00000000-0005-0000-0000-0000804B0000}"/>
    <cellStyle name="Normal 44 3 5 3" xfId="22354" xr:uid="{00000000-0005-0000-0000-0000814B0000}"/>
    <cellStyle name="Normal 44 4" xfId="4490" xr:uid="{00000000-0005-0000-0000-0000824B0000}"/>
    <cellStyle name="Normal 44 4 2" xfId="4491" xr:uid="{00000000-0005-0000-0000-0000834B0000}"/>
    <cellStyle name="Normal 44 4 2 2" xfId="4492" xr:uid="{00000000-0005-0000-0000-0000844B0000}"/>
    <cellStyle name="Normal 44 4 2 2 2" xfId="4493" xr:uid="{00000000-0005-0000-0000-0000854B0000}"/>
    <cellStyle name="Normal 44 4 2 2 2 2" xfId="8507" xr:uid="{00000000-0005-0000-0000-0000864B0000}"/>
    <cellStyle name="Normal 44 4 2 2 2 2 2" xfId="17683" xr:uid="{00000000-0005-0000-0000-0000874B0000}"/>
    <cellStyle name="Normal 44 4 2 2 2 2 2 2" xfId="34257" xr:uid="{00000000-0005-0000-0000-0000884B0000}"/>
    <cellStyle name="Normal 44 4 2 2 2 2 3" xfId="26210" xr:uid="{00000000-0005-0000-0000-0000894B0000}"/>
    <cellStyle name="Normal 44 4 2 2 2 3" xfId="13857" xr:uid="{00000000-0005-0000-0000-00008A4B0000}"/>
    <cellStyle name="Normal 44 4 2 2 2 3 2" xfId="30401" xr:uid="{00000000-0005-0000-0000-00008B4B0000}"/>
    <cellStyle name="Normal 44 4 2 2 2 4" xfId="22358" xr:uid="{00000000-0005-0000-0000-00008C4B0000}"/>
    <cellStyle name="Normal 44 4 2 2 3" xfId="8508" xr:uid="{00000000-0005-0000-0000-00008D4B0000}"/>
    <cellStyle name="Normal 44 4 2 2 3 2" xfId="17684" xr:uid="{00000000-0005-0000-0000-00008E4B0000}"/>
    <cellStyle name="Normal 44 4 2 2 3 2 2" xfId="34258" xr:uid="{00000000-0005-0000-0000-00008F4B0000}"/>
    <cellStyle name="Normal 44 4 2 2 3 3" xfId="26211" xr:uid="{00000000-0005-0000-0000-0000904B0000}"/>
    <cellStyle name="Normal 44 4 2 2 4" xfId="13856" xr:uid="{00000000-0005-0000-0000-0000914B0000}"/>
    <cellStyle name="Normal 44 4 2 2 4 2" xfId="30400" xr:uid="{00000000-0005-0000-0000-0000924B0000}"/>
    <cellStyle name="Normal 44 4 2 2 5" xfId="22357" xr:uid="{00000000-0005-0000-0000-0000934B0000}"/>
    <cellStyle name="Normal 44 4 2 3" xfId="4494" xr:uid="{00000000-0005-0000-0000-0000944B0000}"/>
    <cellStyle name="Normal 44 4 2 3 2" xfId="8509" xr:uid="{00000000-0005-0000-0000-0000954B0000}"/>
    <cellStyle name="Normal 44 4 2 3 2 2" xfId="17685" xr:uid="{00000000-0005-0000-0000-0000964B0000}"/>
    <cellStyle name="Normal 44 4 2 3 2 2 2" xfId="34259" xr:uid="{00000000-0005-0000-0000-0000974B0000}"/>
    <cellStyle name="Normal 44 4 2 3 2 3" xfId="26212" xr:uid="{00000000-0005-0000-0000-0000984B0000}"/>
    <cellStyle name="Normal 44 4 2 3 3" xfId="13858" xr:uid="{00000000-0005-0000-0000-0000994B0000}"/>
    <cellStyle name="Normal 44 4 2 3 3 2" xfId="30402" xr:uid="{00000000-0005-0000-0000-00009A4B0000}"/>
    <cellStyle name="Normal 44 4 2 3 4" xfId="22359" xr:uid="{00000000-0005-0000-0000-00009B4B0000}"/>
    <cellStyle name="Normal 44 4 2 4" xfId="8510" xr:uid="{00000000-0005-0000-0000-00009C4B0000}"/>
    <cellStyle name="Normal 44 4 2 4 2" xfId="17686" xr:uid="{00000000-0005-0000-0000-00009D4B0000}"/>
    <cellStyle name="Normal 44 4 2 4 2 2" xfId="34260" xr:uid="{00000000-0005-0000-0000-00009E4B0000}"/>
    <cellStyle name="Normal 44 4 2 4 3" xfId="26213" xr:uid="{00000000-0005-0000-0000-00009F4B0000}"/>
    <cellStyle name="Normal 44 4 2 5" xfId="13855" xr:uid="{00000000-0005-0000-0000-0000A04B0000}"/>
    <cellStyle name="Normal 44 4 2 5 2" xfId="30399" xr:uid="{00000000-0005-0000-0000-0000A14B0000}"/>
    <cellStyle name="Normal 44 4 2 6" xfId="22356" xr:uid="{00000000-0005-0000-0000-0000A24B0000}"/>
    <cellStyle name="Normal 44 4 3" xfId="4495" xr:uid="{00000000-0005-0000-0000-0000A34B0000}"/>
    <cellStyle name="Normal 44 4 3 2" xfId="4496" xr:uid="{00000000-0005-0000-0000-0000A44B0000}"/>
    <cellStyle name="Normal 44 4 3 2 2" xfId="8511" xr:uid="{00000000-0005-0000-0000-0000A54B0000}"/>
    <cellStyle name="Normal 44 4 3 2 2 2" xfId="17687" xr:uid="{00000000-0005-0000-0000-0000A64B0000}"/>
    <cellStyle name="Normal 44 4 3 2 2 2 2" xfId="34261" xr:uid="{00000000-0005-0000-0000-0000A74B0000}"/>
    <cellStyle name="Normal 44 4 3 2 2 3" xfId="26214" xr:uid="{00000000-0005-0000-0000-0000A84B0000}"/>
    <cellStyle name="Normal 44 4 3 2 3" xfId="13860" xr:uid="{00000000-0005-0000-0000-0000A94B0000}"/>
    <cellStyle name="Normal 44 4 3 2 3 2" xfId="30404" xr:uid="{00000000-0005-0000-0000-0000AA4B0000}"/>
    <cellStyle name="Normal 44 4 3 2 4" xfId="22361" xr:uid="{00000000-0005-0000-0000-0000AB4B0000}"/>
    <cellStyle name="Normal 44 4 3 3" xfId="8512" xr:uid="{00000000-0005-0000-0000-0000AC4B0000}"/>
    <cellStyle name="Normal 44 4 3 3 2" xfId="17688" xr:uid="{00000000-0005-0000-0000-0000AD4B0000}"/>
    <cellStyle name="Normal 44 4 3 3 2 2" xfId="34262" xr:uid="{00000000-0005-0000-0000-0000AE4B0000}"/>
    <cellStyle name="Normal 44 4 3 3 3" xfId="26215" xr:uid="{00000000-0005-0000-0000-0000AF4B0000}"/>
    <cellStyle name="Normal 44 4 3 4" xfId="13859" xr:uid="{00000000-0005-0000-0000-0000B04B0000}"/>
    <cellStyle name="Normal 44 4 3 4 2" xfId="30403" xr:uid="{00000000-0005-0000-0000-0000B14B0000}"/>
    <cellStyle name="Normal 44 4 3 5" xfId="22360" xr:uid="{00000000-0005-0000-0000-0000B24B0000}"/>
    <cellStyle name="Normal 44 4 4" xfId="4497" xr:uid="{00000000-0005-0000-0000-0000B34B0000}"/>
    <cellStyle name="Normal 44 4 4 2" xfId="8513" xr:uid="{00000000-0005-0000-0000-0000B44B0000}"/>
    <cellStyle name="Normal 44 4 4 2 2" xfId="17689" xr:uid="{00000000-0005-0000-0000-0000B54B0000}"/>
    <cellStyle name="Normal 44 4 4 2 2 2" xfId="34263" xr:uid="{00000000-0005-0000-0000-0000B64B0000}"/>
    <cellStyle name="Normal 44 4 4 2 3" xfId="26216" xr:uid="{00000000-0005-0000-0000-0000B74B0000}"/>
    <cellStyle name="Normal 44 4 4 3" xfId="13861" xr:uid="{00000000-0005-0000-0000-0000B84B0000}"/>
    <cellStyle name="Normal 44 4 4 3 2" xfId="30405" xr:uid="{00000000-0005-0000-0000-0000B94B0000}"/>
    <cellStyle name="Normal 44 4 4 4" xfId="22362" xr:uid="{00000000-0005-0000-0000-0000BA4B0000}"/>
    <cellStyle name="Normal 44 4 5" xfId="8514" xr:uid="{00000000-0005-0000-0000-0000BB4B0000}"/>
    <cellStyle name="Normal 44 4 5 2" xfId="17690" xr:uid="{00000000-0005-0000-0000-0000BC4B0000}"/>
    <cellStyle name="Normal 44 4 5 2 2" xfId="34264" xr:uid="{00000000-0005-0000-0000-0000BD4B0000}"/>
    <cellStyle name="Normal 44 4 5 3" xfId="26217" xr:uid="{00000000-0005-0000-0000-0000BE4B0000}"/>
    <cellStyle name="Normal 44 4 6" xfId="13854" xr:uid="{00000000-0005-0000-0000-0000BF4B0000}"/>
    <cellStyle name="Normal 44 4 6 2" xfId="30398" xr:uid="{00000000-0005-0000-0000-0000C04B0000}"/>
    <cellStyle name="Normal 44 4 7" xfId="22355" xr:uid="{00000000-0005-0000-0000-0000C14B0000}"/>
    <cellStyle name="Normal 44 5" xfId="4498" xr:uid="{00000000-0005-0000-0000-0000C24B0000}"/>
    <cellStyle name="Normal 44 5 2" xfId="4499" xr:uid="{00000000-0005-0000-0000-0000C34B0000}"/>
    <cellStyle name="Normal 44 5 2 2" xfId="4500" xr:uid="{00000000-0005-0000-0000-0000C44B0000}"/>
    <cellStyle name="Normal 44 5 2 2 2" xfId="4501" xr:uid="{00000000-0005-0000-0000-0000C54B0000}"/>
    <cellStyle name="Normal 44 5 2 2 2 2" xfId="8515" xr:uid="{00000000-0005-0000-0000-0000C64B0000}"/>
    <cellStyle name="Normal 44 5 2 2 2 2 2" xfId="17691" xr:uid="{00000000-0005-0000-0000-0000C74B0000}"/>
    <cellStyle name="Normal 44 5 2 2 2 2 2 2" xfId="34265" xr:uid="{00000000-0005-0000-0000-0000C84B0000}"/>
    <cellStyle name="Normal 44 5 2 2 2 2 3" xfId="26218" xr:uid="{00000000-0005-0000-0000-0000C94B0000}"/>
    <cellStyle name="Normal 44 5 2 2 2 3" xfId="13865" xr:uid="{00000000-0005-0000-0000-0000CA4B0000}"/>
    <cellStyle name="Normal 44 5 2 2 2 3 2" xfId="30409" xr:uid="{00000000-0005-0000-0000-0000CB4B0000}"/>
    <cellStyle name="Normal 44 5 2 2 2 4" xfId="22366" xr:uid="{00000000-0005-0000-0000-0000CC4B0000}"/>
    <cellStyle name="Normal 44 5 2 2 3" xfId="8516" xr:uid="{00000000-0005-0000-0000-0000CD4B0000}"/>
    <cellStyle name="Normal 44 5 2 2 3 2" xfId="17692" xr:uid="{00000000-0005-0000-0000-0000CE4B0000}"/>
    <cellStyle name="Normal 44 5 2 2 3 2 2" xfId="34266" xr:uid="{00000000-0005-0000-0000-0000CF4B0000}"/>
    <cellStyle name="Normal 44 5 2 2 3 3" xfId="26219" xr:uid="{00000000-0005-0000-0000-0000D04B0000}"/>
    <cellStyle name="Normal 44 5 2 2 4" xfId="13864" xr:uid="{00000000-0005-0000-0000-0000D14B0000}"/>
    <cellStyle name="Normal 44 5 2 2 4 2" xfId="30408" xr:uid="{00000000-0005-0000-0000-0000D24B0000}"/>
    <cellStyle name="Normal 44 5 2 2 5" xfId="22365" xr:uid="{00000000-0005-0000-0000-0000D34B0000}"/>
    <cellStyle name="Normal 44 5 2 3" xfId="4502" xr:uid="{00000000-0005-0000-0000-0000D44B0000}"/>
    <cellStyle name="Normal 44 5 2 3 2" xfId="8517" xr:uid="{00000000-0005-0000-0000-0000D54B0000}"/>
    <cellStyle name="Normal 44 5 2 3 2 2" xfId="17693" xr:uid="{00000000-0005-0000-0000-0000D64B0000}"/>
    <cellStyle name="Normal 44 5 2 3 2 2 2" xfId="34267" xr:uid="{00000000-0005-0000-0000-0000D74B0000}"/>
    <cellStyle name="Normal 44 5 2 3 2 3" xfId="26220" xr:uid="{00000000-0005-0000-0000-0000D84B0000}"/>
    <cellStyle name="Normal 44 5 2 3 3" xfId="13866" xr:uid="{00000000-0005-0000-0000-0000D94B0000}"/>
    <cellStyle name="Normal 44 5 2 3 3 2" xfId="30410" xr:uid="{00000000-0005-0000-0000-0000DA4B0000}"/>
    <cellStyle name="Normal 44 5 2 3 4" xfId="22367" xr:uid="{00000000-0005-0000-0000-0000DB4B0000}"/>
    <cellStyle name="Normal 44 5 2 4" xfId="8518" xr:uid="{00000000-0005-0000-0000-0000DC4B0000}"/>
    <cellStyle name="Normal 44 5 2 4 2" xfId="17694" xr:uid="{00000000-0005-0000-0000-0000DD4B0000}"/>
    <cellStyle name="Normal 44 5 2 4 2 2" xfId="34268" xr:uid="{00000000-0005-0000-0000-0000DE4B0000}"/>
    <cellStyle name="Normal 44 5 2 4 3" xfId="26221" xr:uid="{00000000-0005-0000-0000-0000DF4B0000}"/>
    <cellStyle name="Normal 44 5 2 5" xfId="13863" xr:uid="{00000000-0005-0000-0000-0000E04B0000}"/>
    <cellStyle name="Normal 44 5 2 5 2" xfId="30407" xr:uid="{00000000-0005-0000-0000-0000E14B0000}"/>
    <cellStyle name="Normal 44 5 2 6" xfId="22364" xr:uid="{00000000-0005-0000-0000-0000E24B0000}"/>
    <cellStyle name="Normal 44 5 3" xfId="4503" xr:uid="{00000000-0005-0000-0000-0000E34B0000}"/>
    <cellStyle name="Normal 44 5 3 2" xfId="4504" xr:uid="{00000000-0005-0000-0000-0000E44B0000}"/>
    <cellStyle name="Normal 44 5 3 2 2" xfId="8519" xr:uid="{00000000-0005-0000-0000-0000E54B0000}"/>
    <cellStyle name="Normal 44 5 3 2 2 2" xfId="17695" xr:uid="{00000000-0005-0000-0000-0000E64B0000}"/>
    <cellStyle name="Normal 44 5 3 2 2 2 2" xfId="34269" xr:uid="{00000000-0005-0000-0000-0000E74B0000}"/>
    <cellStyle name="Normal 44 5 3 2 2 3" xfId="26222" xr:uid="{00000000-0005-0000-0000-0000E84B0000}"/>
    <cellStyle name="Normal 44 5 3 2 3" xfId="13868" xr:uid="{00000000-0005-0000-0000-0000E94B0000}"/>
    <cellStyle name="Normal 44 5 3 2 3 2" xfId="30412" xr:uid="{00000000-0005-0000-0000-0000EA4B0000}"/>
    <cellStyle name="Normal 44 5 3 2 4" xfId="22369" xr:uid="{00000000-0005-0000-0000-0000EB4B0000}"/>
    <cellStyle name="Normal 44 5 3 3" xfId="8520" xr:uid="{00000000-0005-0000-0000-0000EC4B0000}"/>
    <cellStyle name="Normal 44 5 3 3 2" xfId="17696" xr:uid="{00000000-0005-0000-0000-0000ED4B0000}"/>
    <cellStyle name="Normal 44 5 3 3 2 2" xfId="34270" xr:uid="{00000000-0005-0000-0000-0000EE4B0000}"/>
    <cellStyle name="Normal 44 5 3 3 3" xfId="26223" xr:uid="{00000000-0005-0000-0000-0000EF4B0000}"/>
    <cellStyle name="Normal 44 5 3 4" xfId="13867" xr:uid="{00000000-0005-0000-0000-0000F04B0000}"/>
    <cellStyle name="Normal 44 5 3 4 2" xfId="30411" xr:uid="{00000000-0005-0000-0000-0000F14B0000}"/>
    <cellStyle name="Normal 44 5 3 5" xfId="22368" xr:uid="{00000000-0005-0000-0000-0000F24B0000}"/>
    <cellStyle name="Normal 44 5 4" xfId="4505" xr:uid="{00000000-0005-0000-0000-0000F34B0000}"/>
    <cellStyle name="Normal 44 5 4 2" xfId="8521" xr:uid="{00000000-0005-0000-0000-0000F44B0000}"/>
    <cellStyle name="Normal 44 5 4 2 2" xfId="17697" xr:uid="{00000000-0005-0000-0000-0000F54B0000}"/>
    <cellStyle name="Normal 44 5 4 2 2 2" xfId="34271" xr:uid="{00000000-0005-0000-0000-0000F64B0000}"/>
    <cellStyle name="Normal 44 5 4 2 3" xfId="26224" xr:uid="{00000000-0005-0000-0000-0000F74B0000}"/>
    <cellStyle name="Normal 44 5 4 3" xfId="13869" xr:uid="{00000000-0005-0000-0000-0000F84B0000}"/>
    <cellStyle name="Normal 44 5 4 3 2" xfId="30413" xr:uid="{00000000-0005-0000-0000-0000F94B0000}"/>
    <cellStyle name="Normal 44 5 4 4" xfId="22370" xr:uid="{00000000-0005-0000-0000-0000FA4B0000}"/>
    <cellStyle name="Normal 44 5 5" xfId="8522" xr:uid="{00000000-0005-0000-0000-0000FB4B0000}"/>
    <cellStyle name="Normal 44 5 5 2" xfId="17698" xr:uid="{00000000-0005-0000-0000-0000FC4B0000}"/>
    <cellStyle name="Normal 44 5 5 2 2" xfId="34272" xr:uid="{00000000-0005-0000-0000-0000FD4B0000}"/>
    <cellStyle name="Normal 44 5 5 3" xfId="26225" xr:uid="{00000000-0005-0000-0000-0000FE4B0000}"/>
    <cellStyle name="Normal 44 5 6" xfId="13862" xr:uid="{00000000-0005-0000-0000-0000FF4B0000}"/>
    <cellStyle name="Normal 44 5 6 2" xfId="30406" xr:uid="{00000000-0005-0000-0000-0000004C0000}"/>
    <cellStyle name="Normal 44 5 7" xfId="22363" xr:uid="{00000000-0005-0000-0000-0000014C0000}"/>
    <cellStyle name="Normal 44 6" xfId="4506" xr:uid="{00000000-0005-0000-0000-0000024C0000}"/>
    <cellStyle name="Normal 44 6 2" xfId="4507" xr:uid="{00000000-0005-0000-0000-0000034C0000}"/>
    <cellStyle name="Normal 44 6 2 2" xfId="4508" xr:uid="{00000000-0005-0000-0000-0000044C0000}"/>
    <cellStyle name="Normal 44 6 2 2 2" xfId="8523" xr:uid="{00000000-0005-0000-0000-0000054C0000}"/>
    <cellStyle name="Normal 44 6 2 2 2 2" xfId="17699" xr:uid="{00000000-0005-0000-0000-0000064C0000}"/>
    <cellStyle name="Normal 44 6 2 2 2 2 2" xfId="34273" xr:uid="{00000000-0005-0000-0000-0000074C0000}"/>
    <cellStyle name="Normal 44 6 2 2 2 3" xfId="26226" xr:uid="{00000000-0005-0000-0000-0000084C0000}"/>
    <cellStyle name="Normal 44 6 2 2 3" xfId="13872" xr:uid="{00000000-0005-0000-0000-0000094C0000}"/>
    <cellStyle name="Normal 44 6 2 2 3 2" xfId="30416" xr:uid="{00000000-0005-0000-0000-00000A4C0000}"/>
    <cellStyle name="Normal 44 6 2 2 4" xfId="22373" xr:uid="{00000000-0005-0000-0000-00000B4C0000}"/>
    <cellStyle name="Normal 44 6 2 3" xfId="8524" xr:uid="{00000000-0005-0000-0000-00000C4C0000}"/>
    <cellStyle name="Normal 44 6 2 3 2" xfId="17700" xr:uid="{00000000-0005-0000-0000-00000D4C0000}"/>
    <cellStyle name="Normal 44 6 2 3 2 2" xfId="34274" xr:uid="{00000000-0005-0000-0000-00000E4C0000}"/>
    <cellStyle name="Normal 44 6 2 3 3" xfId="26227" xr:uid="{00000000-0005-0000-0000-00000F4C0000}"/>
    <cellStyle name="Normal 44 6 2 4" xfId="13871" xr:uid="{00000000-0005-0000-0000-0000104C0000}"/>
    <cellStyle name="Normal 44 6 2 4 2" xfId="30415" xr:uid="{00000000-0005-0000-0000-0000114C0000}"/>
    <cellStyle name="Normal 44 6 2 5" xfId="22372" xr:uid="{00000000-0005-0000-0000-0000124C0000}"/>
    <cellStyle name="Normal 44 6 3" xfId="4509" xr:uid="{00000000-0005-0000-0000-0000134C0000}"/>
    <cellStyle name="Normal 44 6 3 2" xfId="8525" xr:uid="{00000000-0005-0000-0000-0000144C0000}"/>
    <cellStyle name="Normal 44 6 3 2 2" xfId="17701" xr:uid="{00000000-0005-0000-0000-0000154C0000}"/>
    <cellStyle name="Normal 44 6 3 2 2 2" xfId="34275" xr:uid="{00000000-0005-0000-0000-0000164C0000}"/>
    <cellStyle name="Normal 44 6 3 2 3" xfId="26228" xr:uid="{00000000-0005-0000-0000-0000174C0000}"/>
    <cellStyle name="Normal 44 6 3 3" xfId="13873" xr:uid="{00000000-0005-0000-0000-0000184C0000}"/>
    <cellStyle name="Normal 44 6 3 3 2" xfId="30417" xr:uid="{00000000-0005-0000-0000-0000194C0000}"/>
    <cellStyle name="Normal 44 6 3 4" xfId="22374" xr:uid="{00000000-0005-0000-0000-00001A4C0000}"/>
    <cellStyle name="Normal 44 6 4" xfId="8526" xr:uid="{00000000-0005-0000-0000-00001B4C0000}"/>
    <cellStyle name="Normal 44 6 4 2" xfId="17702" xr:uid="{00000000-0005-0000-0000-00001C4C0000}"/>
    <cellStyle name="Normal 44 6 4 2 2" xfId="34276" xr:uid="{00000000-0005-0000-0000-00001D4C0000}"/>
    <cellStyle name="Normal 44 6 4 3" xfId="26229" xr:uid="{00000000-0005-0000-0000-00001E4C0000}"/>
    <cellStyle name="Normal 44 6 5" xfId="13870" xr:uid="{00000000-0005-0000-0000-00001F4C0000}"/>
    <cellStyle name="Normal 44 6 5 2" xfId="30414" xr:uid="{00000000-0005-0000-0000-0000204C0000}"/>
    <cellStyle name="Normal 44 6 6" xfId="22371" xr:uid="{00000000-0005-0000-0000-0000214C0000}"/>
    <cellStyle name="Normal 44 7" xfId="4510" xr:uid="{00000000-0005-0000-0000-0000224C0000}"/>
    <cellStyle name="Normal 44 7 2" xfId="4511" xr:uid="{00000000-0005-0000-0000-0000234C0000}"/>
    <cellStyle name="Normal 44 7 2 2" xfId="8527" xr:uid="{00000000-0005-0000-0000-0000244C0000}"/>
    <cellStyle name="Normal 44 7 2 2 2" xfId="17703" xr:uid="{00000000-0005-0000-0000-0000254C0000}"/>
    <cellStyle name="Normal 44 7 2 2 2 2" xfId="34277" xr:uid="{00000000-0005-0000-0000-0000264C0000}"/>
    <cellStyle name="Normal 44 7 2 2 3" xfId="26230" xr:uid="{00000000-0005-0000-0000-0000274C0000}"/>
    <cellStyle name="Normal 44 7 2 3" xfId="13875" xr:uid="{00000000-0005-0000-0000-0000284C0000}"/>
    <cellStyle name="Normal 44 7 2 3 2" xfId="30419" xr:uid="{00000000-0005-0000-0000-0000294C0000}"/>
    <cellStyle name="Normal 44 7 2 4" xfId="22376" xr:uid="{00000000-0005-0000-0000-00002A4C0000}"/>
    <cellStyle name="Normal 44 7 3" xfId="8528" xr:uid="{00000000-0005-0000-0000-00002B4C0000}"/>
    <cellStyle name="Normal 44 7 3 2" xfId="17704" xr:uid="{00000000-0005-0000-0000-00002C4C0000}"/>
    <cellStyle name="Normal 44 7 3 2 2" xfId="34278" xr:uid="{00000000-0005-0000-0000-00002D4C0000}"/>
    <cellStyle name="Normal 44 7 3 3" xfId="26231" xr:uid="{00000000-0005-0000-0000-00002E4C0000}"/>
    <cellStyle name="Normal 44 7 4" xfId="13874" xr:uid="{00000000-0005-0000-0000-00002F4C0000}"/>
    <cellStyle name="Normal 44 7 4 2" xfId="30418" xr:uid="{00000000-0005-0000-0000-0000304C0000}"/>
    <cellStyle name="Normal 44 7 5" xfId="22375" xr:uid="{00000000-0005-0000-0000-0000314C0000}"/>
    <cellStyle name="Normal 44 8" xfId="4512" xr:uid="{00000000-0005-0000-0000-0000324C0000}"/>
    <cellStyle name="Normal 44 8 2" xfId="8529" xr:uid="{00000000-0005-0000-0000-0000334C0000}"/>
    <cellStyle name="Normal 44 8 2 2" xfId="17705" xr:uid="{00000000-0005-0000-0000-0000344C0000}"/>
    <cellStyle name="Normal 44 8 2 2 2" xfId="34279" xr:uid="{00000000-0005-0000-0000-0000354C0000}"/>
    <cellStyle name="Normal 44 8 2 3" xfId="26232" xr:uid="{00000000-0005-0000-0000-0000364C0000}"/>
    <cellStyle name="Normal 44 8 3" xfId="13876" xr:uid="{00000000-0005-0000-0000-0000374C0000}"/>
    <cellStyle name="Normal 44 8 3 2" xfId="30420" xr:uid="{00000000-0005-0000-0000-0000384C0000}"/>
    <cellStyle name="Normal 44 8 4" xfId="22377" xr:uid="{00000000-0005-0000-0000-0000394C0000}"/>
    <cellStyle name="Normal 44 9" xfId="8530" xr:uid="{00000000-0005-0000-0000-00003A4C0000}"/>
    <cellStyle name="Normal 44 9 2" xfId="17706" xr:uid="{00000000-0005-0000-0000-00003B4C0000}"/>
    <cellStyle name="Normal 44 9 2 2" xfId="34280" xr:uid="{00000000-0005-0000-0000-00003C4C0000}"/>
    <cellStyle name="Normal 44 9 3" xfId="26233" xr:uid="{00000000-0005-0000-0000-00003D4C0000}"/>
    <cellStyle name="Normal 45" xfId="4513" xr:uid="{00000000-0005-0000-0000-00003E4C0000}"/>
    <cellStyle name="Normal 45 10" xfId="13877" xr:uid="{00000000-0005-0000-0000-00003F4C0000}"/>
    <cellStyle name="Normal 45 10 2" xfId="30421" xr:uid="{00000000-0005-0000-0000-0000404C0000}"/>
    <cellStyle name="Normal 45 11" xfId="22378" xr:uid="{00000000-0005-0000-0000-0000414C0000}"/>
    <cellStyle name="Normal 45 2" xfId="4514" xr:uid="{00000000-0005-0000-0000-0000424C0000}"/>
    <cellStyle name="Normal 45 2 2" xfId="4515" xr:uid="{00000000-0005-0000-0000-0000434C0000}"/>
    <cellStyle name="Normal 45 2 3" xfId="13878" xr:uid="{00000000-0005-0000-0000-0000444C0000}"/>
    <cellStyle name="Normal 45 2 3 2" xfId="30422" xr:uid="{00000000-0005-0000-0000-0000454C0000}"/>
    <cellStyle name="Normal 45 2 4" xfId="22379" xr:uid="{00000000-0005-0000-0000-0000464C0000}"/>
    <cellStyle name="Normal 45 3" xfId="4516" xr:uid="{00000000-0005-0000-0000-0000474C0000}"/>
    <cellStyle name="Normal 45 3 2" xfId="4517" xr:uid="{00000000-0005-0000-0000-0000484C0000}"/>
    <cellStyle name="Normal 45 3 2 2" xfId="4518" xr:uid="{00000000-0005-0000-0000-0000494C0000}"/>
    <cellStyle name="Normal 45 3 2 2 2" xfId="4519" xr:uid="{00000000-0005-0000-0000-00004A4C0000}"/>
    <cellStyle name="Normal 45 3 2 2 2 2" xfId="8531" xr:uid="{00000000-0005-0000-0000-00004B4C0000}"/>
    <cellStyle name="Normal 45 3 2 2 2 2 2" xfId="17707" xr:uid="{00000000-0005-0000-0000-00004C4C0000}"/>
    <cellStyle name="Normal 45 3 2 2 2 2 2 2" xfId="34281" xr:uid="{00000000-0005-0000-0000-00004D4C0000}"/>
    <cellStyle name="Normal 45 3 2 2 2 2 3" xfId="26234" xr:uid="{00000000-0005-0000-0000-00004E4C0000}"/>
    <cellStyle name="Normal 45 3 2 2 2 3" xfId="13881" xr:uid="{00000000-0005-0000-0000-00004F4C0000}"/>
    <cellStyle name="Normal 45 3 2 2 2 3 2" xfId="30425" xr:uid="{00000000-0005-0000-0000-0000504C0000}"/>
    <cellStyle name="Normal 45 3 2 2 2 4" xfId="22382" xr:uid="{00000000-0005-0000-0000-0000514C0000}"/>
    <cellStyle name="Normal 45 3 2 2 3" xfId="8532" xr:uid="{00000000-0005-0000-0000-0000524C0000}"/>
    <cellStyle name="Normal 45 3 2 2 3 2" xfId="17708" xr:uid="{00000000-0005-0000-0000-0000534C0000}"/>
    <cellStyle name="Normal 45 3 2 2 3 2 2" xfId="34282" xr:uid="{00000000-0005-0000-0000-0000544C0000}"/>
    <cellStyle name="Normal 45 3 2 2 3 3" xfId="26235" xr:uid="{00000000-0005-0000-0000-0000554C0000}"/>
    <cellStyle name="Normal 45 3 2 2 4" xfId="13880" xr:uid="{00000000-0005-0000-0000-0000564C0000}"/>
    <cellStyle name="Normal 45 3 2 2 4 2" xfId="30424" xr:uid="{00000000-0005-0000-0000-0000574C0000}"/>
    <cellStyle name="Normal 45 3 2 2 5" xfId="22381" xr:uid="{00000000-0005-0000-0000-0000584C0000}"/>
    <cellStyle name="Normal 45 3 2 3" xfId="4520" xr:uid="{00000000-0005-0000-0000-0000594C0000}"/>
    <cellStyle name="Normal 45 3 2 3 2" xfId="8533" xr:uid="{00000000-0005-0000-0000-00005A4C0000}"/>
    <cellStyle name="Normal 45 3 2 3 2 2" xfId="17709" xr:uid="{00000000-0005-0000-0000-00005B4C0000}"/>
    <cellStyle name="Normal 45 3 2 3 2 2 2" xfId="34283" xr:uid="{00000000-0005-0000-0000-00005C4C0000}"/>
    <cellStyle name="Normal 45 3 2 3 2 3" xfId="26236" xr:uid="{00000000-0005-0000-0000-00005D4C0000}"/>
    <cellStyle name="Normal 45 3 2 3 3" xfId="13882" xr:uid="{00000000-0005-0000-0000-00005E4C0000}"/>
    <cellStyle name="Normal 45 3 2 3 3 2" xfId="30426" xr:uid="{00000000-0005-0000-0000-00005F4C0000}"/>
    <cellStyle name="Normal 45 3 2 3 4" xfId="22383" xr:uid="{00000000-0005-0000-0000-0000604C0000}"/>
    <cellStyle name="Normal 45 3 2 4" xfId="8534" xr:uid="{00000000-0005-0000-0000-0000614C0000}"/>
    <cellStyle name="Normal 45 3 2 4 2" xfId="17710" xr:uid="{00000000-0005-0000-0000-0000624C0000}"/>
    <cellStyle name="Normal 45 3 2 4 2 2" xfId="34284" xr:uid="{00000000-0005-0000-0000-0000634C0000}"/>
    <cellStyle name="Normal 45 3 2 4 3" xfId="26237" xr:uid="{00000000-0005-0000-0000-0000644C0000}"/>
    <cellStyle name="Normal 45 3 2 5" xfId="13879" xr:uid="{00000000-0005-0000-0000-0000654C0000}"/>
    <cellStyle name="Normal 45 3 2 5 2" xfId="30423" xr:uid="{00000000-0005-0000-0000-0000664C0000}"/>
    <cellStyle name="Normal 45 3 2 6" xfId="22380" xr:uid="{00000000-0005-0000-0000-0000674C0000}"/>
    <cellStyle name="Normal 45 3 3" xfId="4521" xr:uid="{00000000-0005-0000-0000-0000684C0000}"/>
    <cellStyle name="Normal 45 3 3 2" xfId="4522" xr:uid="{00000000-0005-0000-0000-0000694C0000}"/>
    <cellStyle name="Normal 45 3 3 2 2" xfId="8535" xr:uid="{00000000-0005-0000-0000-00006A4C0000}"/>
    <cellStyle name="Normal 45 3 3 2 2 2" xfId="17711" xr:uid="{00000000-0005-0000-0000-00006B4C0000}"/>
    <cellStyle name="Normal 45 3 3 2 2 2 2" xfId="34285" xr:uid="{00000000-0005-0000-0000-00006C4C0000}"/>
    <cellStyle name="Normal 45 3 3 2 2 3" xfId="26238" xr:uid="{00000000-0005-0000-0000-00006D4C0000}"/>
    <cellStyle name="Normal 45 3 3 2 3" xfId="13884" xr:uid="{00000000-0005-0000-0000-00006E4C0000}"/>
    <cellStyle name="Normal 45 3 3 2 3 2" xfId="30428" xr:uid="{00000000-0005-0000-0000-00006F4C0000}"/>
    <cellStyle name="Normal 45 3 3 2 4" xfId="22385" xr:uid="{00000000-0005-0000-0000-0000704C0000}"/>
    <cellStyle name="Normal 45 3 3 3" xfId="8536" xr:uid="{00000000-0005-0000-0000-0000714C0000}"/>
    <cellStyle name="Normal 45 3 3 3 2" xfId="17712" xr:uid="{00000000-0005-0000-0000-0000724C0000}"/>
    <cellStyle name="Normal 45 3 3 3 2 2" xfId="34286" xr:uid="{00000000-0005-0000-0000-0000734C0000}"/>
    <cellStyle name="Normal 45 3 3 3 3" xfId="26239" xr:uid="{00000000-0005-0000-0000-0000744C0000}"/>
    <cellStyle name="Normal 45 3 3 4" xfId="13883" xr:uid="{00000000-0005-0000-0000-0000754C0000}"/>
    <cellStyle name="Normal 45 3 3 4 2" xfId="30427" xr:uid="{00000000-0005-0000-0000-0000764C0000}"/>
    <cellStyle name="Normal 45 3 3 5" xfId="22384" xr:uid="{00000000-0005-0000-0000-0000774C0000}"/>
    <cellStyle name="Normal 45 3 4" xfId="4523" xr:uid="{00000000-0005-0000-0000-0000784C0000}"/>
    <cellStyle name="Normal 45 3 4 2" xfId="8537" xr:uid="{00000000-0005-0000-0000-0000794C0000}"/>
    <cellStyle name="Normal 45 3 4 2 2" xfId="17713" xr:uid="{00000000-0005-0000-0000-00007A4C0000}"/>
    <cellStyle name="Normal 45 3 4 2 2 2" xfId="34287" xr:uid="{00000000-0005-0000-0000-00007B4C0000}"/>
    <cellStyle name="Normal 45 3 4 2 3" xfId="26240" xr:uid="{00000000-0005-0000-0000-00007C4C0000}"/>
    <cellStyle name="Normal 45 3 4 3" xfId="13885" xr:uid="{00000000-0005-0000-0000-00007D4C0000}"/>
    <cellStyle name="Normal 45 3 4 3 2" xfId="30429" xr:uid="{00000000-0005-0000-0000-00007E4C0000}"/>
    <cellStyle name="Normal 45 3 4 4" xfId="22386" xr:uid="{00000000-0005-0000-0000-00007F4C0000}"/>
    <cellStyle name="Normal 45 3 5" xfId="4524" xr:uid="{00000000-0005-0000-0000-0000804C0000}"/>
    <cellStyle name="Normal 45 3 5 2" xfId="13886" xr:uid="{00000000-0005-0000-0000-0000814C0000}"/>
    <cellStyle name="Normal 45 3 5 2 2" xfId="30430" xr:uid="{00000000-0005-0000-0000-0000824C0000}"/>
    <cellStyle name="Normal 45 3 5 3" xfId="22387" xr:uid="{00000000-0005-0000-0000-0000834C0000}"/>
    <cellStyle name="Normal 45 4" xfId="4525" xr:uid="{00000000-0005-0000-0000-0000844C0000}"/>
    <cellStyle name="Normal 45 4 2" xfId="4526" xr:uid="{00000000-0005-0000-0000-0000854C0000}"/>
    <cellStyle name="Normal 45 4 2 2" xfId="4527" xr:uid="{00000000-0005-0000-0000-0000864C0000}"/>
    <cellStyle name="Normal 45 4 2 2 2" xfId="4528" xr:uid="{00000000-0005-0000-0000-0000874C0000}"/>
    <cellStyle name="Normal 45 4 2 2 2 2" xfId="8538" xr:uid="{00000000-0005-0000-0000-0000884C0000}"/>
    <cellStyle name="Normal 45 4 2 2 2 2 2" xfId="17714" xr:uid="{00000000-0005-0000-0000-0000894C0000}"/>
    <cellStyle name="Normal 45 4 2 2 2 2 2 2" xfId="34288" xr:uid="{00000000-0005-0000-0000-00008A4C0000}"/>
    <cellStyle name="Normal 45 4 2 2 2 2 3" xfId="26241" xr:uid="{00000000-0005-0000-0000-00008B4C0000}"/>
    <cellStyle name="Normal 45 4 2 2 2 3" xfId="13890" xr:uid="{00000000-0005-0000-0000-00008C4C0000}"/>
    <cellStyle name="Normal 45 4 2 2 2 3 2" xfId="30434" xr:uid="{00000000-0005-0000-0000-00008D4C0000}"/>
    <cellStyle name="Normal 45 4 2 2 2 4" xfId="22391" xr:uid="{00000000-0005-0000-0000-00008E4C0000}"/>
    <cellStyle name="Normal 45 4 2 2 3" xfId="8539" xr:uid="{00000000-0005-0000-0000-00008F4C0000}"/>
    <cellStyle name="Normal 45 4 2 2 3 2" xfId="17715" xr:uid="{00000000-0005-0000-0000-0000904C0000}"/>
    <cellStyle name="Normal 45 4 2 2 3 2 2" xfId="34289" xr:uid="{00000000-0005-0000-0000-0000914C0000}"/>
    <cellStyle name="Normal 45 4 2 2 3 3" xfId="26242" xr:uid="{00000000-0005-0000-0000-0000924C0000}"/>
    <cellStyle name="Normal 45 4 2 2 4" xfId="13889" xr:uid="{00000000-0005-0000-0000-0000934C0000}"/>
    <cellStyle name="Normal 45 4 2 2 4 2" xfId="30433" xr:uid="{00000000-0005-0000-0000-0000944C0000}"/>
    <cellStyle name="Normal 45 4 2 2 5" xfId="22390" xr:uid="{00000000-0005-0000-0000-0000954C0000}"/>
    <cellStyle name="Normal 45 4 2 3" xfId="4529" xr:uid="{00000000-0005-0000-0000-0000964C0000}"/>
    <cellStyle name="Normal 45 4 2 3 2" xfId="8540" xr:uid="{00000000-0005-0000-0000-0000974C0000}"/>
    <cellStyle name="Normal 45 4 2 3 2 2" xfId="17716" xr:uid="{00000000-0005-0000-0000-0000984C0000}"/>
    <cellStyle name="Normal 45 4 2 3 2 2 2" xfId="34290" xr:uid="{00000000-0005-0000-0000-0000994C0000}"/>
    <cellStyle name="Normal 45 4 2 3 2 3" xfId="26243" xr:uid="{00000000-0005-0000-0000-00009A4C0000}"/>
    <cellStyle name="Normal 45 4 2 3 3" xfId="13891" xr:uid="{00000000-0005-0000-0000-00009B4C0000}"/>
    <cellStyle name="Normal 45 4 2 3 3 2" xfId="30435" xr:uid="{00000000-0005-0000-0000-00009C4C0000}"/>
    <cellStyle name="Normal 45 4 2 3 4" xfId="22392" xr:uid="{00000000-0005-0000-0000-00009D4C0000}"/>
    <cellStyle name="Normal 45 4 2 4" xfId="8541" xr:uid="{00000000-0005-0000-0000-00009E4C0000}"/>
    <cellStyle name="Normal 45 4 2 4 2" xfId="17717" xr:uid="{00000000-0005-0000-0000-00009F4C0000}"/>
    <cellStyle name="Normal 45 4 2 4 2 2" xfId="34291" xr:uid="{00000000-0005-0000-0000-0000A04C0000}"/>
    <cellStyle name="Normal 45 4 2 4 3" xfId="26244" xr:uid="{00000000-0005-0000-0000-0000A14C0000}"/>
    <cellStyle name="Normal 45 4 2 5" xfId="13888" xr:uid="{00000000-0005-0000-0000-0000A24C0000}"/>
    <cellStyle name="Normal 45 4 2 5 2" xfId="30432" xr:uid="{00000000-0005-0000-0000-0000A34C0000}"/>
    <cellStyle name="Normal 45 4 2 6" xfId="22389" xr:uid="{00000000-0005-0000-0000-0000A44C0000}"/>
    <cellStyle name="Normal 45 4 3" xfId="4530" xr:uid="{00000000-0005-0000-0000-0000A54C0000}"/>
    <cellStyle name="Normal 45 4 3 2" xfId="4531" xr:uid="{00000000-0005-0000-0000-0000A64C0000}"/>
    <cellStyle name="Normal 45 4 3 2 2" xfId="8542" xr:uid="{00000000-0005-0000-0000-0000A74C0000}"/>
    <cellStyle name="Normal 45 4 3 2 2 2" xfId="17718" xr:uid="{00000000-0005-0000-0000-0000A84C0000}"/>
    <cellStyle name="Normal 45 4 3 2 2 2 2" xfId="34292" xr:uid="{00000000-0005-0000-0000-0000A94C0000}"/>
    <cellStyle name="Normal 45 4 3 2 2 3" xfId="26245" xr:uid="{00000000-0005-0000-0000-0000AA4C0000}"/>
    <cellStyle name="Normal 45 4 3 2 3" xfId="13893" xr:uid="{00000000-0005-0000-0000-0000AB4C0000}"/>
    <cellStyle name="Normal 45 4 3 2 3 2" xfId="30437" xr:uid="{00000000-0005-0000-0000-0000AC4C0000}"/>
    <cellStyle name="Normal 45 4 3 2 4" xfId="22394" xr:uid="{00000000-0005-0000-0000-0000AD4C0000}"/>
    <cellStyle name="Normal 45 4 3 3" xfId="8543" xr:uid="{00000000-0005-0000-0000-0000AE4C0000}"/>
    <cellStyle name="Normal 45 4 3 3 2" xfId="17719" xr:uid="{00000000-0005-0000-0000-0000AF4C0000}"/>
    <cellStyle name="Normal 45 4 3 3 2 2" xfId="34293" xr:uid="{00000000-0005-0000-0000-0000B04C0000}"/>
    <cellStyle name="Normal 45 4 3 3 3" xfId="26246" xr:uid="{00000000-0005-0000-0000-0000B14C0000}"/>
    <cellStyle name="Normal 45 4 3 4" xfId="13892" xr:uid="{00000000-0005-0000-0000-0000B24C0000}"/>
    <cellStyle name="Normal 45 4 3 4 2" xfId="30436" xr:uid="{00000000-0005-0000-0000-0000B34C0000}"/>
    <cellStyle name="Normal 45 4 3 5" xfId="22393" xr:uid="{00000000-0005-0000-0000-0000B44C0000}"/>
    <cellStyle name="Normal 45 4 4" xfId="4532" xr:uid="{00000000-0005-0000-0000-0000B54C0000}"/>
    <cellStyle name="Normal 45 4 4 2" xfId="8544" xr:uid="{00000000-0005-0000-0000-0000B64C0000}"/>
    <cellStyle name="Normal 45 4 4 2 2" xfId="17720" xr:uid="{00000000-0005-0000-0000-0000B74C0000}"/>
    <cellStyle name="Normal 45 4 4 2 2 2" xfId="34294" xr:uid="{00000000-0005-0000-0000-0000B84C0000}"/>
    <cellStyle name="Normal 45 4 4 2 3" xfId="26247" xr:uid="{00000000-0005-0000-0000-0000B94C0000}"/>
    <cellStyle name="Normal 45 4 4 3" xfId="13894" xr:uid="{00000000-0005-0000-0000-0000BA4C0000}"/>
    <cellStyle name="Normal 45 4 4 3 2" xfId="30438" xr:uid="{00000000-0005-0000-0000-0000BB4C0000}"/>
    <cellStyle name="Normal 45 4 4 4" xfId="22395" xr:uid="{00000000-0005-0000-0000-0000BC4C0000}"/>
    <cellStyle name="Normal 45 4 5" xfId="8545" xr:uid="{00000000-0005-0000-0000-0000BD4C0000}"/>
    <cellStyle name="Normal 45 4 5 2" xfId="17721" xr:uid="{00000000-0005-0000-0000-0000BE4C0000}"/>
    <cellStyle name="Normal 45 4 5 2 2" xfId="34295" xr:uid="{00000000-0005-0000-0000-0000BF4C0000}"/>
    <cellStyle name="Normal 45 4 5 3" xfId="26248" xr:uid="{00000000-0005-0000-0000-0000C04C0000}"/>
    <cellStyle name="Normal 45 4 6" xfId="13887" xr:uid="{00000000-0005-0000-0000-0000C14C0000}"/>
    <cellStyle name="Normal 45 4 6 2" xfId="30431" xr:uid="{00000000-0005-0000-0000-0000C24C0000}"/>
    <cellStyle name="Normal 45 4 7" xfId="22388" xr:uid="{00000000-0005-0000-0000-0000C34C0000}"/>
    <cellStyle name="Normal 45 5" xfId="4533" xr:uid="{00000000-0005-0000-0000-0000C44C0000}"/>
    <cellStyle name="Normal 45 5 2" xfId="4534" xr:uid="{00000000-0005-0000-0000-0000C54C0000}"/>
    <cellStyle name="Normal 45 5 2 2" xfId="4535" xr:uid="{00000000-0005-0000-0000-0000C64C0000}"/>
    <cellStyle name="Normal 45 5 2 2 2" xfId="4536" xr:uid="{00000000-0005-0000-0000-0000C74C0000}"/>
    <cellStyle name="Normal 45 5 2 2 2 2" xfId="8546" xr:uid="{00000000-0005-0000-0000-0000C84C0000}"/>
    <cellStyle name="Normal 45 5 2 2 2 2 2" xfId="17722" xr:uid="{00000000-0005-0000-0000-0000C94C0000}"/>
    <cellStyle name="Normal 45 5 2 2 2 2 2 2" xfId="34296" xr:uid="{00000000-0005-0000-0000-0000CA4C0000}"/>
    <cellStyle name="Normal 45 5 2 2 2 2 3" xfId="26249" xr:uid="{00000000-0005-0000-0000-0000CB4C0000}"/>
    <cellStyle name="Normal 45 5 2 2 2 3" xfId="13898" xr:uid="{00000000-0005-0000-0000-0000CC4C0000}"/>
    <cellStyle name="Normal 45 5 2 2 2 3 2" xfId="30442" xr:uid="{00000000-0005-0000-0000-0000CD4C0000}"/>
    <cellStyle name="Normal 45 5 2 2 2 4" xfId="22399" xr:uid="{00000000-0005-0000-0000-0000CE4C0000}"/>
    <cellStyle name="Normal 45 5 2 2 3" xfId="8547" xr:uid="{00000000-0005-0000-0000-0000CF4C0000}"/>
    <cellStyle name="Normal 45 5 2 2 3 2" xfId="17723" xr:uid="{00000000-0005-0000-0000-0000D04C0000}"/>
    <cellStyle name="Normal 45 5 2 2 3 2 2" xfId="34297" xr:uid="{00000000-0005-0000-0000-0000D14C0000}"/>
    <cellStyle name="Normal 45 5 2 2 3 3" xfId="26250" xr:uid="{00000000-0005-0000-0000-0000D24C0000}"/>
    <cellStyle name="Normal 45 5 2 2 4" xfId="13897" xr:uid="{00000000-0005-0000-0000-0000D34C0000}"/>
    <cellStyle name="Normal 45 5 2 2 4 2" xfId="30441" xr:uid="{00000000-0005-0000-0000-0000D44C0000}"/>
    <cellStyle name="Normal 45 5 2 2 5" xfId="22398" xr:uid="{00000000-0005-0000-0000-0000D54C0000}"/>
    <cellStyle name="Normal 45 5 2 3" xfId="4537" xr:uid="{00000000-0005-0000-0000-0000D64C0000}"/>
    <cellStyle name="Normal 45 5 2 3 2" xfId="8548" xr:uid="{00000000-0005-0000-0000-0000D74C0000}"/>
    <cellStyle name="Normal 45 5 2 3 2 2" xfId="17724" xr:uid="{00000000-0005-0000-0000-0000D84C0000}"/>
    <cellStyle name="Normal 45 5 2 3 2 2 2" xfId="34298" xr:uid="{00000000-0005-0000-0000-0000D94C0000}"/>
    <cellStyle name="Normal 45 5 2 3 2 3" xfId="26251" xr:uid="{00000000-0005-0000-0000-0000DA4C0000}"/>
    <cellStyle name="Normal 45 5 2 3 3" xfId="13899" xr:uid="{00000000-0005-0000-0000-0000DB4C0000}"/>
    <cellStyle name="Normal 45 5 2 3 3 2" xfId="30443" xr:uid="{00000000-0005-0000-0000-0000DC4C0000}"/>
    <cellStyle name="Normal 45 5 2 3 4" xfId="22400" xr:uid="{00000000-0005-0000-0000-0000DD4C0000}"/>
    <cellStyle name="Normal 45 5 2 4" xfId="8549" xr:uid="{00000000-0005-0000-0000-0000DE4C0000}"/>
    <cellStyle name="Normal 45 5 2 4 2" xfId="17725" xr:uid="{00000000-0005-0000-0000-0000DF4C0000}"/>
    <cellStyle name="Normal 45 5 2 4 2 2" xfId="34299" xr:uid="{00000000-0005-0000-0000-0000E04C0000}"/>
    <cellStyle name="Normal 45 5 2 4 3" xfId="26252" xr:uid="{00000000-0005-0000-0000-0000E14C0000}"/>
    <cellStyle name="Normal 45 5 2 5" xfId="13896" xr:uid="{00000000-0005-0000-0000-0000E24C0000}"/>
    <cellStyle name="Normal 45 5 2 5 2" xfId="30440" xr:uid="{00000000-0005-0000-0000-0000E34C0000}"/>
    <cellStyle name="Normal 45 5 2 6" xfId="22397" xr:uid="{00000000-0005-0000-0000-0000E44C0000}"/>
    <cellStyle name="Normal 45 5 3" xfId="4538" xr:uid="{00000000-0005-0000-0000-0000E54C0000}"/>
    <cellStyle name="Normal 45 5 3 2" xfId="4539" xr:uid="{00000000-0005-0000-0000-0000E64C0000}"/>
    <cellStyle name="Normal 45 5 3 2 2" xfId="8550" xr:uid="{00000000-0005-0000-0000-0000E74C0000}"/>
    <cellStyle name="Normal 45 5 3 2 2 2" xfId="17726" xr:uid="{00000000-0005-0000-0000-0000E84C0000}"/>
    <cellStyle name="Normal 45 5 3 2 2 2 2" xfId="34300" xr:uid="{00000000-0005-0000-0000-0000E94C0000}"/>
    <cellStyle name="Normal 45 5 3 2 2 3" xfId="26253" xr:uid="{00000000-0005-0000-0000-0000EA4C0000}"/>
    <cellStyle name="Normal 45 5 3 2 3" xfId="13901" xr:uid="{00000000-0005-0000-0000-0000EB4C0000}"/>
    <cellStyle name="Normal 45 5 3 2 3 2" xfId="30445" xr:uid="{00000000-0005-0000-0000-0000EC4C0000}"/>
    <cellStyle name="Normal 45 5 3 2 4" xfId="22402" xr:uid="{00000000-0005-0000-0000-0000ED4C0000}"/>
    <cellStyle name="Normal 45 5 3 3" xfId="8551" xr:uid="{00000000-0005-0000-0000-0000EE4C0000}"/>
    <cellStyle name="Normal 45 5 3 3 2" xfId="17727" xr:uid="{00000000-0005-0000-0000-0000EF4C0000}"/>
    <cellStyle name="Normal 45 5 3 3 2 2" xfId="34301" xr:uid="{00000000-0005-0000-0000-0000F04C0000}"/>
    <cellStyle name="Normal 45 5 3 3 3" xfId="26254" xr:uid="{00000000-0005-0000-0000-0000F14C0000}"/>
    <cellStyle name="Normal 45 5 3 4" xfId="13900" xr:uid="{00000000-0005-0000-0000-0000F24C0000}"/>
    <cellStyle name="Normal 45 5 3 4 2" xfId="30444" xr:uid="{00000000-0005-0000-0000-0000F34C0000}"/>
    <cellStyle name="Normal 45 5 3 5" xfId="22401" xr:uid="{00000000-0005-0000-0000-0000F44C0000}"/>
    <cellStyle name="Normal 45 5 4" xfId="4540" xr:uid="{00000000-0005-0000-0000-0000F54C0000}"/>
    <cellStyle name="Normal 45 5 4 2" xfId="8552" xr:uid="{00000000-0005-0000-0000-0000F64C0000}"/>
    <cellStyle name="Normal 45 5 4 2 2" xfId="17728" xr:uid="{00000000-0005-0000-0000-0000F74C0000}"/>
    <cellStyle name="Normal 45 5 4 2 2 2" xfId="34302" xr:uid="{00000000-0005-0000-0000-0000F84C0000}"/>
    <cellStyle name="Normal 45 5 4 2 3" xfId="26255" xr:uid="{00000000-0005-0000-0000-0000F94C0000}"/>
    <cellStyle name="Normal 45 5 4 3" xfId="13902" xr:uid="{00000000-0005-0000-0000-0000FA4C0000}"/>
    <cellStyle name="Normal 45 5 4 3 2" xfId="30446" xr:uid="{00000000-0005-0000-0000-0000FB4C0000}"/>
    <cellStyle name="Normal 45 5 4 4" xfId="22403" xr:uid="{00000000-0005-0000-0000-0000FC4C0000}"/>
    <cellStyle name="Normal 45 5 5" xfId="8553" xr:uid="{00000000-0005-0000-0000-0000FD4C0000}"/>
    <cellStyle name="Normal 45 5 5 2" xfId="17729" xr:uid="{00000000-0005-0000-0000-0000FE4C0000}"/>
    <cellStyle name="Normal 45 5 5 2 2" xfId="34303" xr:uid="{00000000-0005-0000-0000-0000FF4C0000}"/>
    <cellStyle name="Normal 45 5 5 3" xfId="26256" xr:uid="{00000000-0005-0000-0000-0000004D0000}"/>
    <cellStyle name="Normal 45 5 6" xfId="13895" xr:uid="{00000000-0005-0000-0000-0000014D0000}"/>
    <cellStyle name="Normal 45 5 6 2" xfId="30439" xr:uid="{00000000-0005-0000-0000-0000024D0000}"/>
    <cellStyle name="Normal 45 5 7" xfId="22396" xr:uid="{00000000-0005-0000-0000-0000034D0000}"/>
    <cellStyle name="Normal 45 6" xfId="4541" xr:uid="{00000000-0005-0000-0000-0000044D0000}"/>
    <cellStyle name="Normal 45 6 2" xfId="4542" xr:uid="{00000000-0005-0000-0000-0000054D0000}"/>
    <cellStyle name="Normal 45 6 2 2" xfId="4543" xr:uid="{00000000-0005-0000-0000-0000064D0000}"/>
    <cellStyle name="Normal 45 6 2 2 2" xfId="8554" xr:uid="{00000000-0005-0000-0000-0000074D0000}"/>
    <cellStyle name="Normal 45 6 2 2 2 2" xfId="17730" xr:uid="{00000000-0005-0000-0000-0000084D0000}"/>
    <cellStyle name="Normal 45 6 2 2 2 2 2" xfId="34304" xr:uid="{00000000-0005-0000-0000-0000094D0000}"/>
    <cellStyle name="Normal 45 6 2 2 2 3" xfId="26257" xr:uid="{00000000-0005-0000-0000-00000A4D0000}"/>
    <cellStyle name="Normal 45 6 2 2 3" xfId="13905" xr:uid="{00000000-0005-0000-0000-00000B4D0000}"/>
    <cellStyle name="Normal 45 6 2 2 3 2" xfId="30449" xr:uid="{00000000-0005-0000-0000-00000C4D0000}"/>
    <cellStyle name="Normal 45 6 2 2 4" xfId="22406" xr:uid="{00000000-0005-0000-0000-00000D4D0000}"/>
    <cellStyle name="Normal 45 6 2 3" xfId="8555" xr:uid="{00000000-0005-0000-0000-00000E4D0000}"/>
    <cellStyle name="Normal 45 6 2 3 2" xfId="17731" xr:uid="{00000000-0005-0000-0000-00000F4D0000}"/>
    <cellStyle name="Normal 45 6 2 3 2 2" xfId="34305" xr:uid="{00000000-0005-0000-0000-0000104D0000}"/>
    <cellStyle name="Normal 45 6 2 3 3" xfId="26258" xr:uid="{00000000-0005-0000-0000-0000114D0000}"/>
    <cellStyle name="Normal 45 6 2 4" xfId="13904" xr:uid="{00000000-0005-0000-0000-0000124D0000}"/>
    <cellStyle name="Normal 45 6 2 4 2" xfId="30448" xr:uid="{00000000-0005-0000-0000-0000134D0000}"/>
    <cellStyle name="Normal 45 6 2 5" xfId="22405" xr:uid="{00000000-0005-0000-0000-0000144D0000}"/>
    <cellStyle name="Normal 45 6 3" xfId="4544" xr:uid="{00000000-0005-0000-0000-0000154D0000}"/>
    <cellStyle name="Normal 45 6 3 2" xfId="8556" xr:uid="{00000000-0005-0000-0000-0000164D0000}"/>
    <cellStyle name="Normal 45 6 3 2 2" xfId="17732" xr:uid="{00000000-0005-0000-0000-0000174D0000}"/>
    <cellStyle name="Normal 45 6 3 2 2 2" xfId="34306" xr:uid="{00000000-0005-0000-0000-0000184D0000}"/>
    <cellStyle name="Normal 45 6 3 2 3" xfId="26259" xr:uid="{00000000-0005-0000-0000-0000194D0000}"/>
    <cellStyle name="Normal 45 6 3 3" xfId="13906" xr:uid="{00000000-0005-0000-0000-00001A4D0000}"/>
    <cellStyle name="Normal 45 6 3 3 2" xfId="30450" xr:uid="{00000000-0005-0000-0000-00001B4D0000}"/>
    <cellStyle name="Normal 45 6 3 4" xfId="22407" xr:uid="{00000000-0005-0000-0000-00001C4D0000}"/>
    <cellStyle name="Normal 45 6 4" xfId="8557" xr:uid="{00000000-0005-0000-0000-00001D4D0000}"/>
    <cellStyle name="Normal 45 6 4 2" xfId="17733" xr:uid="{00000000-0005-0000-0000-00001E4D0000}"/>
    <cellStyle name="Normal 45 6 4 2 2" xfId="34307" xr:uid="{00000000-0005-0000-0000-00001F4D0000}"/>
    <cellStyle name="Normal 45 6 4 3" xfId="26260" xr:uid="{00000000-0005-0000-0000-0000204D0000}"/>
    <cellStyle name="Normal 45 6 5" xfId="13903" xr:uid="{00000000-0005-0000-0000-0000214D0000}"/>
    <cellStyle name="Normal 45 6 5 2" xfId="30447" xr:uid="{00000000-0005-0000-0000-0000224D0000}"/>
    <cellStyle name="Normal 45 6 6" xfId="22404" xr:uid="{00000000-0005-0000-0000-0000234D0000}"/>
    <cellStyle name="Normal 45 7" xfId="4545" xr:uid="{00000000-0005-0000-0000-0000244D0000}"/>
    <cellStyle name="Normal 45 7 2" xfId="4546" xr:uid="{00000000-0005-0000-0000-0000254D0000}"/>
    <cellStyle name="Normal 45 7 2 2" xfId="8558" xr:uid="{00000000-0005-0000-0000-0000264D0000}"/>
    <cellStyle name="Normal 45 7 2 2 2" xfId="17734" xr:uid="{00000000-0005-0000-0000-0000274D0000}"/>
    <cellStyle name="Normal 45 7 2 2 2 2" xfId="34308" xr:uid="{00000000-0005-0000-0000-0000284D0000}"/>
    <cellStyle name="Normal 45 7 2 2 3" xfId="26261" xr:uid="{00000000-0005-0000-0000-0000294D0000}"/>
    <cellStyle name="Normal 45 7 2 3" xfId="13908" xr:uid="{00000000-0005-0000-0000-00002A4D0000}"/>
    <cellStyle name="Normal 45 7 2 3 2" xfId="30452" xr:uid="{00000000-0005-0000-0000-00002B4D0000}"/>
    <cellStyle name="Normal 45 7 2 4" xfId="22409" xr:uid="{00000000-0005-0000-0000-00002C4D0000}"/>
    <cellStyle name="Normal 45 7 3" xfId="8559" xr:uid="{00000000-0005-0000-0000-00002D4D0000}"/>
    <cellStyle name="Normal 45 7 3 2" xfId="17735" xr:uid="{00000000-0005-0000-0000-00002E4D0000}"/>
    <cellStyle name="Normal 45 7 3 2 2" xfId="34309" xr:uid="{00000000-0005-0000-0000-00002F4D0000}"/>
    <cellStyle name="Normal 45 7 3 3" xfId="26262" xr:uid="{00000000-0005-0000-0000-0000304D0000}"/>
    <cellStyle name="Normal 45 7 4" xfId="13907" xr:uid="{00000000-0005-0000-0000-0000314D0000}"/>
    <cellStyle name="Normal 45 7 4 2" xfId="30451" xr:uid="{00000000-0005-0000-0000-0000324D0000}"/>
    <cellStyle name="Normal 45 7 5" xfId="22408" xr:uid="{00000000-0005-0000-0000-0000334D0000}"/>
    <cellStyle name="Normal 45 8" xfId="4547" xr:uid="{00000000-0005-0000-0000-0000344D0000}"/>
    <cellStyle name="Normal 45 8 2" xfId="8560" xr:uid="{00000000-0005-0000-0000-0000354D0000}"/>
    <cellStyle name="Normal 45 8 2 2" xfId="17736" xr:uid="{00000000-0005-0000-0000-0000364D0000}"/>
    <cellStyle name="Normal 45 8 2 2 2" xfId="34310" xr:uid="{00000000-0005-0000-0000-0000374D0000}"/>
    <cellStyle name="Normal 45 8 2 3" xfId="26263" xr:uid="{00000000-0005-0000-0000-0000384D0000}"/>
    <cellStyle name="Normal 45 8 3" xfId="13909" xr:uid="{00000000-0005-0000-0000-0000394D0000}"/>
    <cellStyle name="Normal 45 8 3 2" xfId="30453" xr:uid="{00000000-0005-0000-0000-00003A4D0000}"/>
    <cellStyle name="Normal 45 8 4" xfId="22410" xr:uid="{00000000-0005-0000-0000-00003B4D0000}"/>
    <cellStyle name="Normal 45 9" xfId="8561" xr:uid="{00000000-0005-0000-0000-00003C4D0000}"/>
    <cellStyle name="Normal 45 9 2" xfId="17737" xr:uid="{00000000-0005-0000-0000-00003D4D0000}"/>
    <cellStyle name="Normal 45 9 2 2" xfId="34311" xr:uid="{00000000-0005-0000-0000-00003E4D0000}"/>
    <cellStyle name="Normal 45 9 3" xfId="26264" xr:uid="{00000000-0005-0000-0000-00003F4D0000}"/>
    <cellStyle name="Normal 46" xfId="4548" xr:uid="{00000000-0005-0000-0000-0000404D0000}"/>
    <cellStyle name="Normal 46 10" xfId="13910" xr:uid="{00000000-0005-0000-0000-0000414D0000}"/>
    <cellStyle name="Normal 46 10 2" xfId="30454" xr:uid="{00000000-0005-0000-0000-0000424D0000}"/>
    <cellStyle name="Normal 46 11" xfId="22411" xr:uid="{00000000-0005-0000-0000-0000434D0000}"/>
    <cellStyle name="Normal 46 2" xfId="4549" xr:uid="{00000000-0005-0000-0000-0000444D0000}"/>
    <cellStyle name="Normal 46 2 2" xfId="4550" xr:uid="{00000000-0005-0000-0000-0000454D0000}"/>
    <cellStyle name="Normal 46 2 3" xfId="13911" xr:uid="{00000000-0005-0000-0000-0000464D0000}"/>
    <cellStyle name="Normal 46 2 3 2" xfId="30455" xr:uid="{00000000-0005-0000-0000-0000474D0000}"/>
    <cellStyle name="Normal 46 2 4" xfId="22412" xr:uid="{00000000-0005-0000-0000-0000484D0000}"/>
    <cellStyle name="Normal 46 3" xfId="4551" xr:uid="{00000000-0005-0000-0000-0000494D0000}"/>
    <cellStyle name="Normal 46 3 2" xfId="4552" xr:uid="{00000000-0005-0000-0000-00004A4D0000}"/>
    <cellStyle name="Normal 46 3 2 2" xfId="4553" xr:uid="{00000000-0005-0000-0000-00004B4D0000}"/>
    <cellStyle name="Normal 46 3 2 2 2" xfId="4554" xr:uid="{00000000-0005-0000-0000-00004C4D0000}"/>
    <cellStyle name="Normal 46 3 2 2 2 2" xfId="8562" xr:uid="{00000000-0005-0000-0000-00004D4D0000}"/>
    <cellStyle name="Normal 46 3 2 2 2 2 2" xfId="17738" xr:uid="{00000000-0005-0000-0000-00004E4D0000}"/>
    <cellStyle name="Normal 46 3 2 2 2 2 2 2" xfId="34312" xr:uid="{00000000-0005-0000-0000-00004F4D0000}"/>
    <cellStyle name="Normal 46 3 2 2 2 2 3" xfId="26265" xr:uid="{00000000-0005-0000-0000-0000504D0000}"/>
    <cellStyle name="Normal 46 3 2 2 2 3" xfId="13914" xr:uid="{00000000-0005-0000-0000-0000514D0000}"/>
    <cellStyle name="Normal 46 3 2 2 2 3 2" xfId="30458" xr:uid="{00000000-0005-0000-0000-0000524D0000}"/>
    <cellStyle name="Normal 46 3 2 2 2 4" xfId="22415" xr:uid="{00000000-0005-0000-0000-0000534D0000}"/>
    <cellStyle name="Normal 46 3 2 2 3" xfId="8563" xr:uid="{00000000-0005-0000-0000-0000544D0000}"/>
    <cellStyle name="Normal 46 3 2 2 3 2" xfId="17739" xr:uid="{00000000-0005-0000-0000-0000554D0000}"/>
    <cellStyle name="Normal 46 3 2 2 3 2 2" xfId="34313" xr:uid="{00000000-0005-0000-0000-0000564D0000}"/>
    <cellStyle name="Normal 46 3 2 2 3 3" xfId="26266" xr:uid="{00000000-0005-0000-0000-0000574D0000}"/>
    <cellStyle name="Normal 46 3 2 2 4" xfId="13913" xr:uid="{00000000-0005-0000-0000-0000584D0000}"/>
    <cellStyle name="Normal 46 3 2 2 4 2" xfId="30457" xr:uid="{00000000-0005-0000-0000-0000594D0000}"/>
    <cellStyle name="Normal 46 3 2 2 5" xfId="22414" xr:uid="{00000000-0005-0000-0000-00005A4D0000}"/>
    <cellStyle name="Normal 46 3 2 3" xfId="4555" xr:uid="{00000000-0005-0000-0000-00005B4D0000}"/>
    <cellStyle name="Normal 46 3 2 3 2" xfId="8564" xr:uid="{00000000-0005-0000-0000-00005C4D0000}"/>
    <cellStyle name="Normal 46 3 2 3 2 2" xfId="17740" xr:uid="{00000000-0005-0000-0000-00005D4D0000}"/>
    <cellStyle name="Normal 46 3 2 3 2 2 2" xfId="34314" xr:uid="{00000000-0005-0000-0000-00005E4D0000}"/>
    <cellStyle name="Normal 46 3 2 3 2 3" xfId="26267" xr:uid="{00000000-0005-0000-0000-00005F4D0000}"/>
    <cellStyle name="Normal 46 3 2 3 3" xfId="13915" xr:uid="{00000000-0005-0000-0000-0000604D0000}"/>
    <cellStyle name="Normal 46 3 2 3 3 2" xfId="30459" xr:uid="{00000000-0005-0000-0000-0000614D0000}"/>
    <cellStyle name="Normal 46 3 2 3 4" xfId="22416" xr:uid="{00000000-0005-0000-0000-0000624D0000}"/>
    <cellStyle name="Normal 46 3 2 4" xfId="8565" xr:uid="{00000000-0005-0000-0000-0000634D0000}"/>
    <cellStyle name="Normal 46 3 2 4 2" xfId="17741" xr:uid="{00000000-0005-0000-0000-0000644D0000}"/>
    <cellStyle name="Normal 46 3 2 4 2 2" xfId="34315" xr:uid="{00000000-0005-0000-0000-0000654D0000}"/>
    <cellStyle name="Normal 46 3 2 4 3" xfId="26268" xr:uid="{00000000-0005-0000-0000-0000664D0000}"/>
    <cellStyle name="Normal 46 3 2 5" xfId="13912" xr:uid="{00000000-0005-0000-0000-0000674D0000}"/>
    <cellStyle name="Normal 46 3 2 5 2" xfId="30456" xr:uid="{00000000-0005-0000-0000-0000684D0000}"/>
    <cellStyle name="Normal 46 3 2 6" xfId="22413" xr:uid="{00000000-0005-0000-0000-0000694D0000}"/>
    <cellStyle name="Normal 46 3 3" xfId="4556" xr:uid="{00000000-0005-0000-0000-00006A4D0000}"/>
    <cellStyle name="Normal 46 3 3 2" xfId="4557" xr:uid="{00000000-0005-0000-0000-00006B4D0000}"/>
    <cellStyle name="Normal 46 3 3 2 2" xfId="8566" xr:uid="{00000000-0005-0000-0000-00006C4D0000}"/>
    <cellStyle name="Normal 46 3 3 2 2 2" xfId="17742" xr:uid="{00000000-0005-0000-0000-00006D4D0000}"/>
    <cellStyle name="Normal 46 3 3 2 2 2 2" xfId="34316" xr:uid="{00000000-0005-0000-0000-00006E4D0000}"/>
    <cellStyle name="Normal 46 3 3 2 2 3" xfId="26269" xr:uid="{00000000-0005-0000-0000-00006F4D0000}"/>
    <cellStyle name="Normal 46 3 3 2 3" xfId="13917" xr:uid="{00000000-0005-0000-0000-0000704D0000}"/>
    <cellStyle name="Normal 46 3 3 2 3 2" xfId="30461" xr:uid="{00000000-0005-0000-0000-0000714D0000}"/>
    <cellStyle name="Normal 46 3 3 2 4" xfId="22418" xr:uid="{00000000-0005-0000-0000-0000724D0000}"/>
    <cellStyle name="Normal 46 3 3 3" xfId="8567" xr:uid="{00000000-0005-0000-0000-0000734D0000}"/>
    <cellStyle name="Normal 46 3 3 3 2" xfId="17743" xr:uid="{00000000-0005-0000-0000-0000744D0000}"/>
    <cellStyle name="Normal 46 3 3 3 2 2" xfId="34317" xr:uid="{00000000-0005-0000-0000-0000754D0000}"/>
    <cellStyle name="Normal 46 3 3 3 3" xfId="26270" xr:uid="{00000000-0005-0000-0000-0000764D0000}"/>
    <cellStyle name="Normal 46 3 3 4" xfId="13916" xr:uid="{00000000-0005-0000-0000-0000774D0000}"/>
    <cellStyle name="Normal 46 3 3 4 2" xfId="30460" xr:uid="{00000000-0005-0000-0000-0000784D0000}"/>
    <cellStyle name="Normal 46 3 3 5" xfId="22417" xr:uid="{00000000-0005-0000-0000-0000794D0000}"/>
    <cellStyle name="Normal 46 3 4" xfId="4558" xr:uid="{00000000-0005-0000-0000-00007A4D0000}"/>
    <cellStyle name="Normal 46 3 4 2" xfId="8568" xr:uid="{00000000-0005-0000-0000-00007B4D0000}"/>
    <cellStyle name="Normal 46 3 4 2 2" xfId="17744" xr:uid="{00000000-0005-0000-0000-00007C4D0000}"/>
    <cellStyle name="Normal 46 3 4 2 2 2" xfId="34318" xr:uid="{00000000-0005-0000-0000-00007D4D0000}"/>
    <cellStyle name="Normal 46 3 4 2 3" xfId="26271" xr:uid="{00000000-0005-0000-0000-00007E4D0000}"/>
    <cellStyle name="Normal 46 3 4 3" xfId="13918" xr:uid="{00000000-0005-0000-0000-00007F4D0000}"/>
    <cellStyle name="Normal 46 3 4 3 2" xfId="30462" xr:uid="{00000000-0005-0000-0000-0000804D0000}"/>
    <cellStyle name="Normal 46 3 4 4" xfId="22419" xr:uid="{00000000-0005-0000-0000-0000814D0000}"/>
    <cellStyle name="Normal 46 3 5" xfId="4559" xr:uid="{00000000-0005-0000-0000-0000824D0000}"/>
    <cellStyle name="Normal 46 3 5 2" xfId="13919" xr:uid="{00000000-0005-0000-0000-0000834D0000}"/>
    <cellStyle name="Normal 46 3 5 2 2" xfId="30463" xr:uid="{00000000-0005-0000-0000-0000844D0000}"/>
    <cellStyle name="Normal 46 3 5 3" xfId="22420" xr:uid="{00000000-0005-0000-0000-0000854D0000}"/>
    <cellStyle name="Normal 46 4" xfId="4560" xr:uid="{00000000-0005-0000-0000-0000864D0000}"/>
    <cellStyle name="Normal 46 4 2" xfId="4561" xr:uid="{00000000-0005-0000-0000-0000874D0000}"/>
    <cellStyle name="Normal 46 4 2 2" xfId="4562" xr:uid="{00000000-0005-0000-0000-0000884D0000}"/>
    <cellStyle name="Normal 46 4 2 2 2" xfId="4563" xr:uid="{00000000-0005-0000-0000-0000894D0000}"/>
    <cellStyle name="Normal 46 4 2 2 2 2" xfId="8569" xr:uid="{00000000-0005-0000-0000-00008A4D0000}"/>
    <cellStyle name="Normal 46 4 2 2 2 2 2" xfId="17745" xr:uid="{00000000-0005-0000-0000-00008B4D0000}"/>
    <cellStyle name="Normal 46 4 2 2 2 2 2 2" xfId="34319" xr:uid="{00000000-0005-0000-0000-00008C4D0000}"/>
    <cellStyle name="Normal 46 4 2 2 2 2 3" xfId="26272" xr:uid="{00000000-0005-0000-0000-00008D4D0000}"/>
    <cellStyle name="Normal 46 4 2 2 2 3" xfId="13923" xr:uid="{00000000-0005-0000-0000-00008E4D0000}"/>
    <cellStyle name="Normal 46 4 2 2 2 3 2" xfId="30467" xr:uid="{00000000-0005-0000-0000-00008F4D0000}"/>
    <cellStyle name="Normal 46 4 2 2 2 4" xfId="22424" xr:uid="{00000000-0005-0000-0000-0000904D0000}"/>
    <cellStyle name="Normal 46 4 2 2 3" xfId="8570" xr:uid="{00000000-0005-0000-0000-0000914D0000}"/>
    <cellStyle name="Normal 46 4 2 2 3 2" xfId="17746" xr:uid="{00000000-0005-0000-0000-0000924D0000}"/>
    <cellStyle name="Normal 46 4 2 2 3 2 2" xfId="34320" xr:uid="{00000000-0005-0000-0000-0000934D0000}"/>
    <cellStyle name="Normal 46 4 2 2 3 3" xfId="26273" xr:uid="{00000000-0005-0000-0000-0000944D0000}"/>
    <cellStyle name="Normal 46 4 2 2 4" xfId="13922" xr:uid="{00000000-0005-0000-0000-0000954D0000}"/>
    <cellStyle name="Normal 46 4 2 2 4 2" xfId="30466" xr:uid="{00000000-0005-0000-0000-0000964D0000}"/>
    <cellStyle name="Normal 46 4 2 2 5" xfId="22423" xr:uid="{00000000-0005-0000-0000-0000974D0000}"/>
    <cellStyle name="Normal 46 4 2 3" xfId="4564" xr:uid="{00000000-0005-0000-0000-0000984D0000}"/>
    <cellStyle name="Normal 46 4 2 3 2" xfId="8571" xr:uid="{00000000-0005-0000-0000-0000994D0000}"/>
    <cellStyle name="Normal 46 4 2 3 2 2" xfId="17747" xr:uid="{00000000-0005-0000-0000-00009A4D0000}"/>
    <cellStyle name="Normal 46 4 2 3 2 2 2" xfId="34321" xr:uid="{00000000-0005-0000-0000-00009B4D0000}"/>
    <cellStyle name="Normal 46 4 2 3 2 3" xfId="26274" xr:uid="{00000000-0005-0000-0000-00009C4D0000}"/>
    <cellStyle name="Normal 46 4 2 3 3" xfId="13924" xr:uid="{00000000-0005-0000-0000-00009D4D0000}"/>
    <cellStyle name="Normal 46 4 2 3 3 2" xfId="30468" xr:uid="{00000000-0005-0000-0000-00009E4D0000}"/>
    <cellStyle name="Normal 46 4 2 3 4" xfId="22425" xr:uid="{00000000-0005-0000-0000-00009F4D0000}"/>
    <cellStyle name="Normal 46 4 2 4" xfId="8572" xr:uid="{00000000-0005-0000-0000-0000A04D0000}"/>
    <cellStyle name="Normal 46 4 2 4 2" xfId="17748" xr:uid="{00000000-0005-0000-0000-0000A14D0000}"/>
    <cellStyle name="Normal 46 4 2 4 2 2" xfId="34322" xr:uid="{00000000-0005-0000-0000-0000A24D0000}"/>
    <cellStyle name="Normal 46 4 2 4 3" xfId="26275" xr:uid="{00000000-0005-0000-0000-0000A34D0000}"/>
    <cellStyle name="Normal 46 4 2 5" xfId="13921" xr:uid="{00000000-0005-0000-0000-0000A44D0000}"/>
    <cellStyle name="Normal 46 4 2 5 2" xfId="30465" xr:uid="{00000000-0005-0000-0000-0000A54D0000}"/>
    <cellStyle name="Normal 46 4 2 6" xfId="22422" xr:uid="{00000000-0005-0000-0000-0000A64D0000}"/>
    <cellStyle name="Normal 46 4 3" xfId="4565" xr:uid="{00000000-0005-0000-0000-0000A74D0000}"/>
    <cellStyle name="Normal 46 4 3 2" xfId="4566" xr:uid="{00000000-0005-0000-0000-0000A84D0000}"/>
    <cellStyle name="Normal 46 4 3 2 2" xfId="8573" xr:uid="{00000000-0005-0000-0000-0000A94D0000}"/>
    <cellStyle name="Normal 46 4 3 2 2 2" xfId="17749" xr:uid="{00000000-0005-0000-0000-0000AA4D0000}"/>
    <cellStyle name="Normal 46 4 3 2 2 2 2" xfId="34323" xr:uid="{00000000-0005-0000-0000-0000AB4D0000}"/>
    <cellStyle name="Normal 46 4 3 2 2 3" xfId="26276" xr:uid="{00000000-0005-0000-0000-0000AC4D0000}"/>
    <cellStyle name="Normal 46 4 3 2 3" xfId="13926" xr:uid="{00000000-0005-0000-0000-0000AD4D0000}"/>
    <cellStyle name="Normal 46 4 3 2 3 2" xfId="30470" xr:uid="{00000000-0005-0000-0000-0000AE4D0000}"/>
    <cellStyle name="Normal 46 4 3 2 4" xfId="22427" xr:uid="{00000000-0005-0000-0000-0000AF4D0000}"/>
    <cellStyle name="Normal 46 4 3 3" xfId="8574" xr:uid="{00000000-0005-0000-0000-0000B04D0000}"/>
    <cellStyle name="Normal 46 4 3 3 2" xfId="17750" xr:uid="{00000000-0005-0000-0000-0000B14D0000}"/>
    <cellStyle name="Normal 46 4 3 3 2 2" xfId="34324" xr:uid="{00000000-0005-0000-0000-0000B24D0000}"/>
    <cellStyle name="Normal 46 4 3 3 3" xfId="26277" xr:uid="{00000000-0005-0000-0000-0000B34D0000}"/>
    <cellStyle name="Normal 46 4 3 4" xfId="13925" xr:uid="{00000000-0005-0000-0000-0000B44D0000}"/>
    <cellStyle name="Normal 46 4 3 4 2" xfId="30469" xr:uid="{00000000-0005-0000-0000-0000B54D0000}"/>
    <cellStyle name="Normal 46 4 3 5" xfId="22426" xr:uid="{00000000-0005-0000-0000-0000B64D0000}"/>
    <cellStyle name="Normal 46 4 4" xfId="4567" xr:uid="{00000000-0005-0000-0000-0000B74D0000}"/>
    <cellStyle name="Normal 46 4 4 2" xfId="8575" xr:uid="{00000000-0005-0000-0000-0000B84D0000}"/>
    <cellStyle name="Normal 46 4 4 2 2" xfId="17751" xr:uid="{00000000-0005-0000-0000-0000B94D0000}"/>
    <cellStyle name="Normal 46 4 4 2 2 2" xfId="34325" xr:uid="{00000000-0005-0000-0000-0000BA4D0000}"/>
    <cellStyle name="Normal 46 4 4 2 3" xfId="26278" xr:uid="{00000000-0005-0000-0000-0000BB4D0000}"/>
    <cellStyle name="Normal 46 4 4 3" xfId="13927" xr:uid="{00000000-0005-0000-0000-0000BC4D0000}"/>
    <cellStyle name="Normal 46 4 4 3 2" xfId="30471" xr:uid="{00000000-0005-0000-0000-0000BD4D0000}"/>
    <cellStyle name="Normal 46 4 4 4" xfId="22428" xr:uid="{00000000-0005-0000-0000-0000BE4D0000}"/>
    <cellStyle name="Normal 46 4 5" xfId="8576" xr:uid="{00000000-0005-0000-0000-0000BF4D0000}"/>
    <cellStyle name="Normal 46 4 5 2" xfId="17752" xr:uid="{00000000-0005-0000-0000-0000C04D0000}"/>
    <cellStyle name="Normal 46 4 5 2 2" xfId="34326" xr:uid="{00000000-0005-0000-0000-0000C14D0000}"/>
    <cellStyle name="Normal 46 4 5 3" xfId="26279" xr:uid="{00000000-0005-0000-0000-0000C24D0000}"/>
    <cellStyle name="Normal 46 4 6" xfId="13920" xr:uid="{00000000-0005-0000-0000-0000C34D0000}"/>
    <cellStyle name="Normal 46 4 6 2" xfId="30464" xr:uid="{00000000-0005-0000-0000-0000C44D0000}"/>
    <cellStyle name="Normal 46 4 7" xfId="22421" xr:uid="{00000000-0005-0000-0000-0000C54D0000}"/>
    <cellStyle name="Normal 46 5" xfId="4568" xr:uid="{00000000-0005-0000-0000-0000C64D0000}"/>
    <cellStyle name="Normal 46 5 2" xfId="4569" xr:uid="{00000000-0005-0000-0000-0000C74D0000}"/>
    <cellStyle name="Normal 46 5 2 2" xfId="4570" xr:uid="{00000000-0005-0000-0000-0000C84D0000}"/>
    <cellStyle name="Normal 46 5 2 2 2" xfId="4571" xr:uid="{00000000-0005-0000-0000-0000C94D0000}"/>
    <cellStyle name="Normal 46 5 2 2 2 2" xfId="8577" xr:uid="{00000000-0005-0000-0000-0000CA4D0000}"/>
    <cellStyle name="Normal 46 5 2 2 2 2 2" xfId="17753" xr:uid="{00000000-0005-0000-0000-0000CB4D0000}"/>
    <cellStyle name="Normal 46 5 2 2 2 2 2 2" xfId="34327" xr:uid="{00000000-0005-0000-0000-0000CC4D0000}"/>
    <cellStyle name="Normal 46 5 2 2 2 2 3" xfId="26280" xr:uid="{00000000-0005-0000-0000-0000CD4D0000}"/>
    <cellStyle name="Normal 46 5 2 2 2 3" xfId="13931" xr:uid="{00000000-0005-0000-0000-0000CE4D0000}"/>
    <cellStyle name="Normal 46 5 2 2 2 3 2" xfId="30475" xr:uid="{00000000-0005-0000-0000-0000CF4D0000}"/>
    <cellStyle name="Normal 46 5 2 2 2 4" xfId="22432" xr:uid="{00000000-0005-0000-0000-0000D04D0000}"/>
    <cellStyle name="Normal 46 5 2 2 3" xfId="8578" xr:uid="{00000000-0005-0000-0000-0000D14D0000}"/>
    <cellStyle name="Normal 46 5 2 2 3 2" xfId="17754" xr:uid="{00000000-0005-0000-0000-0000D24D0000}"/>
    <cellStyle name="Normal 46 5 2 2 3 2 2" xfId="34328" xr:uid="{00000000-0005-0000-0000-0000D34D0000}"/>
    <cellStyle name="Normal 46 5 2 2 3 3" xfId="26281" xr:uid="{00000000-0005-0000-0000-0000D44D0000}"/>
    <cellStyle name="Normal 46 5 2 2 4" xfId="13930" xr:uid="{00000000-0005-0000-0000-0000D54D0000}"/>
    <cellStyle name="Normal 46 5 2 2 4 2" xfId="30474" xr:uid="{00000000-0005-0000-0000-0000D64D0000}"/>
    <cellStyle name="Normal 46 5 2 2 5" xfId="22431" xr:uid="{00000000-0005-0000-0000-0000D74D0000}"/>
    <cellStyle name="Normal 46 5 2 3" xfId="4572" xr:uid="{00000000-0005-0000-0000-0000D84D0000}"/>
    <cellStyle name="Normal 46 5 2 3 2" xfId="8579" xr:uid="{00000000-0005-0000-0000-0000D94D0000}"/>
    <cellStyle name="Normal 46 5 2 3 2 2" xfId="17755" xr:uid="{00000000-0005-0000-0000-0000DA4D0000}"/>
    <cellStyle name="Normal 46 5 2 3 2 2 2" xfId="34329" xr:uid="{00000000-0005-0000-0000-0000DB4D0000}"/>
    <cellStyle name="Normal 46 5 2 3 2 3" xfId="26282" xr:uid="{00000000-0005-0000-0000-0000DC4D0000}"/>
    <cellStyle name="Normal 46 5 2 3 3" xfId="13932" xr:uid="{00000000-0005-0000-0000-0000DD4D0000}"/>
    <cellStyle name="Normal 46 5 2 3 3 2" xfId="30476" xr:uid="{00000000-0005-0000-0000-0000DE4D0000}"/>
    <cellStyle name="Normal 46 5 2 3 4" xfId="22433" xr:uid="{00000000-0005-0000-0000-0000DF4D0000}"/>
    <cellStyle name="Normal 46 5 2 4" xfId="8580" xr:uid="{00000000-0005-0000-0000-0000E04D0000}"/>
    <cellStyle name="Normal 46 5 2 4 2" xfId="17756" xr:uid="{00000000-0005-0000-0000-0000E14D0000}"/>
    <cellStyle name="Normal 46 5 2 4 2 2" xfId="34330" xr:uid="{00000000-0005-0000-0000-0000E24D0000}"/>
    <cellStyle name="Normal 46 5 2 4 3" xfId="26283" xr:uid="{00000000-0005-0000-0000-0000E34D0000}"/>
    <cellStyle name="Normal 46 5 2 5" xfId="13929" xr:uid="{00000000-0005-0000-0000-0000E44D0000}"/>
    <cellStyle name="Normal 46 5 2 5 2" xfId="30473" xr:uid="{00000000-0005-0000-0000-0000E54D0000}"/>
    <cellStyle name="Normal 46 5 2 6" xfId="22430" xr:uid="{00000000-0005-0000-0000-0000E64D0000}"/>
    <cellStyle name="Normal 46 5 3" xfId="4573" xr:uid="{00000000-0005-0000-0000-0000E74D0000}"/>
    <cellStyle name="Normal 46 5 3 2" xfId="4574" xr:uid="{00000000-0005-0000-0000-0000E84D0000}"/>
    <cellStyle name="Normal 46 5 3 2 2" xfId="8581" xr:uid="{00000000-0005-0000-0000-0000E94D0000}"/>
    <cellStyle name="Normal 46 5 3 2 2 2" xfId="17757" xr:uid="{00000000-0005-0000-0000-0000EA4D0000}"/>
    <cellStyle name="Normal 46 5 3 2 2 2 2" xfId="34331" xr:uid="{00000000-0005-0000-0000-0000EB4D0000}"/>
    <cellStyle name="Normal 46 5 3 2 2 3" xfId="26284" xr:uid="{00000000-0005-0000-0000-0000EC4D0000}"/>
    <cellStyle name="Normal 46 5 3 2 3" xfId="13934" xr:uid="{00000000-0005-0000-0000-0000ED4D0000}"/>
    <cellStyle name="Normal 46 5 3 2 3 2" xfId="30478" xr:uid="{00000000-0005-0000-0000-0000EE4D0000}"/>
    <cellStyle name="Normal 46 5 3 2 4" xfId="22435" xr:uid="{00000000-0005-0000-0000-0000EF4D0000}"/>
    <cellStyle name="Normal 46 5 3 3" xfId="8582" xr:uid="{00000000-0005-0000-0000-0000F04D0000}"/>
    <cellStyle name="Normal 46 5 3 3 2" xfId="17758" xr:uid="{00000000-0005-0000-0000-0000F14D0000}"/>
    <cellStyle name="Normal 46 5 3 3 2 2" xfId="34332" xr:uid="{00000000-0005-0000-0000-0000F24D0000}"/>
    <cellStyle name="Normal 46 5 3 3 3" xfId="26285" xr:uid="{00000000-0005-0000-0000-0000F34D0000}"/>
    <cellStyle name="Normal 46 5 3 4" xfId="13933" xr:uid="{00000000-0005-0000-0000-0000F44D0000}"/>
    <cellStyle name="Normal 46 5 3 4 2" xfId="30477" xr:uid="{00000000-0005-0000-0000-0000F54D0000}"/>
    <cellStyle name="Normal 46 5 3 5" xfId="22434" xr:uid="{00000000-0005-0000-0000-0000F64D0000}"/>
    <cellStyle name="Normal 46 5 4" xfId="4575" xr:uid="{00000000-0005-0000-0000-0000F74D0000}"/>
    <cellStyle name="Normal 46 5 4 2" xfId="8583" xr:uid="{00000000-0005-0000-0000-0000F84D0000}"/>
    <cellStyle name="Normal 46 5 4 2 2" xfId="17759" xr:uid="{00000000-0005-0000-0000-0000F94D0000}"/>
    <cellStyle name="Normal 46 5 4 2 2 2" xfId="34333" xr:uid="{00000000-0005-0000-0000-0000FA4D0000}"/>
    <cellStyle name="Normal 46 5 4 2 3" xfId="26286" xr:uid="{00000000-0005-0000-0000-0000FB4D0000}"/>
    <cellStyle name="Normal 46 5 4 3" xfId="13935" xr:uid="{00000000-0005-0000-0000-0000FC4D0000}"/>
    <cellStyle name="Normal 46 5 4 3 2" xfId="30479" xr:uid="{00000000-0005-0000-0000-0000FD4D0000}"/>
    <cellStyle name="Normal 46 5 4 4" xfId="22436" xr:uid="{00000000-0005-0000-0000-0000FE4D0000}"/>
    <cellStyle name="Normal 46 5 5" xfId="8584" xr:uid="{00000000-0005-0000-0000-0000FF4D0000}"/>
    <cellStyle name="Normal 46 5 5 2" xfId="17760" xr:uid="{00000000-0005-0000-0000-0000004E0000}"/>
    <cellStyle name="Normal 46 5 5 2 2" xfId="34334" xr:uid="{00000000-0005-0000-0000-0000014E0000}"/>
    <cellStyle name="Normal 46 5 5 3" xfId="26287" xr:uid="{00000000-0005-0000-0000-0000024E0000}"/>
    <cellStyle name="Normal 46 5 6" xfId="13928" xr:uid="{00000000-0005-0000-0000-0000034E0000}"/>
    <cellStyle name="Normal 46 5 6 2" xfId="30472" xr:uid="{00000000-0005-0000-0000-0000044E0000}"/>
    <cellStyle name="Normal 46 5 7" xfId="22429" xr:uid="{00000000-0005-0000-0000-0000054E0000}"/>
    <cellStyle name="Normal 46 6" xfId="4576" xr:uid="{00000000-0005-0000-0000-0000064E0000}"/>
    <cellStyle name="Normal 46 6 2" xfId="4577" xr:uid="{00000000-0005-0000-0000-0000074E0000}"/>
    <cellStyle name="Normal 46 6 2 2" xfId="4578" xr:uid="{00000000-0005-0000-0000-0000084E0000}"/>
    <cellStyle name="Normal 46 6 2 2 2" xfId="8585" xr:uid="{00000000-0005-0000-0000-0000094E0000}"/>
    <cellStyle name="Normal 46 6 2 2 2 2" xfId="17761" xr:uid="{00000000-0005-0000-0000-00000A4E0000}"/>
    <cellStyle name="Normal 46 6 2 2 2 2 2" xfId="34335" xr:uid="{00000000-0005-0000-0000-00000B4E0000}"/>
    <cellStyle name="Normal 46 6 2 2 2 3" xfId="26288" xr:uid="{00000000-0005-0000-0000-00000C4E0000}"/>
    <cellStyle name="Normal 46 6 2 2 3" xfId="13938" xr:uid="{00000000-0005-0000-0000-00000D4E0000}"/>
    <cellStyle name="Normal 46 6 2 2 3 2" xfId="30482" xr:uid="{00000000-0005-0000-0000-00000E4E0000}"/>
    <cellStyle name="Normal 46 6 2 2 4" xfId="22439" xr:uid="{00000000-0005-0000-0000-00000F4E0000}"/>
    <cellStyle name="Normal 46 6 2 3" xfId="8586" xr:uid="{00000000-0005-0000-0000-0000104E0000}"/>
    <cellStyle name="Normal 46 6 2 3 2" xfId="17762" xr:uid="{00000000-0005-0000-0000-0000114E0000}"/>
    <cellStyle name="Normal 46 6 2 3 2 2" xfId="34336" xr:uid="{00000000-0005-0000-0000-0000124E0000}"/>
    <cellStyle name="Normal 46 6 2 3 3" xfId="26289" xr:uid="{00000000-0005-0000-0000-0000134E0000}"/>
    <cellStyle name="Normal 46 6 2 4" xfId="13937" xr:uid="{00000000-0005-0000-0000-0000144E0000}"/>
    <cellStyle name="Normal 46 6 2 4 2" xfId="30481" xr:uid="{00000000-0005-0000-0000-0000154E0000}"/>
    <cellStyle name="Normal 46 6 2 5" xfId="22438" xr:uid="{00000000-0005-0000-0000-0000164E0000}"/>
    <cellStyle name="Normal 46 6 3" xfId="4579" xr:uid="{00000000-0005-0000-0000-0000174E0000}"/>
    <cellStyle name="Normal 46 6 3 2" xfId="8587" xr:uid="{00000000-0005-0000-0000-0000184E0000}"/>
    <cellStyle name="Normal 46 6 3 2 2" xfId="17763" xr:uid="{00000000-0005-0000-0000-0000194E0000}"/>
    <cellStyle name="Normal 46 6 3 2 2 2" xfId="34337" xr:uid="{00000000-0005-0000-0000-00001A4E0000}"/>
    <cellStyle name="Normal 46 6 3 2 3" xfId="26290" xr:uid="{00000000-0005-0000-0000-00001B4E0000}"/>
    <cellStyle name="Normal 46 6 3 3" xfId="13939" xr:uid="{00000000-0005-0000-0000-00001C4E0000}"/>
    <cellStyle name="Normal 46 6 3 3 2" xfId="30483" xr:uid="{00000000-0005-0000-0000-00001D4E0000}"/>
    <cellStyle name="Normal 46 6 3 4" xfId="22440" xr:uid="{00000000-0005-0000-0000-00001E4E0000}"/>
    <cellStyle name="Normal 46 6 4" xfId="8588" xr:uid="{00000000-0005-0000-0000-00001F4E0000}"/>
    <cellStyle name="Normal 46 6 4 2" xfId="17764" xr:uid="{00000000-0005-0000-0000-0000204E0000}"/>
    <cellStyle name="Normal 46 6 4 2 2" xfId="34338" xr:uid="{00000000-0005-0000-0000-0000214E0000}"/>
    <cellStyle name="Normal 46 6 4 3" xfId="26291" xr:uid="{00000000-0005-0000-0000-0000224E0000}"/>
    <cellStyle name="Normal 46 6 5" xfId="13936" xr:uid="{00000000-0005-0000-0000-0000234E0000}"/>
    <cellStyle name="Normal 46 6 5 2" xfId="30480" xr:uid="{00000000-0005-0000-0000-0000244E0000}"/>
    <cellStyle name="Normal 46 6 6" xfId="22437" xr:uid="{00000000-0005-0000-0000-0000254E0000}"/>
    <cellStyle name="Normal 46 7" xfId="4580" xr:uid="{00000000-0005-0000-0000-0000264E0000}"/>
    <cellStyle name="Normal 46 7 2" xfId="4581" xr:uid="{00000000-0005-0000-0000-0000274E0000}"/>
    <cellStyle name="Normal 46 7 2 2" xfId="8589" xr:uid="{00000000-0005-0000-0000-0000284E0000}"/>
    <cellStyle name="Normal 46 7 2 2 2" xfId="17765" xr:uid="{00000000-0005-0000-0000-0000294E0000}"/>
    <cellStyle name="Normal 46 7 2 2 2 2" xfId="34339" xr:uid="{00000000-0005-0000-0000-00002A4E0000}"/>
    <cellStyle name="Normal 46 7 2 2 3" xfId="26292" xr:uid="{00000000-0005-0000-0000-00002B4E0000}"/>
    <cellStyle name="Normal 46 7 2 3" xfId="13941" xr:uid="{00000000-0005-0000-0000-00002C4E0000}"/>
    <cellStyle name="Normal 46 7 2 3 2" xfId="30485" xr:uid="{00000000-0005-0000-0000-00002D4E0000}"/>
    <cellStyle name="Normal 46 7 2 4" xfId="22442" xr:uid="{00000000-0005-0000-0000-00002E4E0000}"/>
    <cellStyle name="Normal 46 7 3" xfId="8590" xr:uid="{00000000-0005-0000-0000-00002F4E0000}"/>
    <cellStyle name="Normal 46 7 3 2" xfId="17766" xr:uid="{00000000-0005-0000-0000-0000304E0000}"/>
    <cellStyle name="Normal 46 7 3 2 2" xfId="34340" xr:uid="{00000000-0005-0000-0000-0000314E0000}"/>
    <cellStyle name="Normal 46 7 3 3" xfId="26293" xr:uid="{00000000-0005-0000-0000-0000324E0000}"/>
    <cellStyle name="Normal 46 7 4" xfId="13940" xr:uid="{00000000-0005-0000-0000-0000334E0000}"/>
    <cellStyle name="Normal 46 7 4 2" xfId="30484" xr:uid="{00000000-0005-0000-0000-0000344E0000}"/>
    <cellStyle name="Normal 46 7 5" xfId="22441" xr:uid="{00000000-0005-0000-0000-0000354E0000}"/>
    <cellStyle name="Normal 46 8" xfId="4582" xr:uid="{00000000-0005-0000-0000-0000364E0000}"/>
    <cellStyle name="Normal 46 8 2" xfId="8591" xr:uid="{00000000-0005-0000-0000-0000374E0000}"/>
    <cellStyle name="Normal 46 8 2 2" xfId="17767" xr:uid="{00000000-0005-0000-0000-0000384E0000}"/>
    <cellStyle name="Normal 46 8 2 2 2" xfId="34341" xr:uid="{00000000-0005-0000-0000-0000394E0000}"/>
    <cellStyle name="Normal 46 8 2 3" xfId="26294" xr:uid="{00000000-0005-0000-0000-00003A4E0000}"/>
    <cellStyle name="Normal 46 8 3" xfId="13942" xr:uid="{00000000-0005-0000-0000-00003B4E0000}"/>
    <cellStyle name="Normal 46 8 3 2" xfId="30486" xr:uid="{00000000-0005-0000-0000-00003C4E0000}"/>
    <cellStyle name="Normal 46 8 4" xfId="22443" xr:uid="{00000000-0005-0000-0000-00003D4E0000}"/>
    <cellStyle name="Normal 46 9" xfId="8592" xr:uid="{00000000-0005-0000-0000-00003E4E0000}"/>
    <cellStyle name="Normal 46 9 2" xfId="17768" xr:uid="{00000000-0005-0000-0000-00003F4E0000}"/>
    <cellStyle name="Normal 46 9 2 2" xfId="34342" xr:uid="{00000000-0005-0000-0000-0000404E0000}"/>
    <cellStyle name="Normal 46 9 3" xfId="26295" xr:uid="{00000000-0005-0000-0000-0000414E0000}"/>
    <cellStyle name="Normal 47" xfId="4583" xr:uid="{00000000-0005-0000-0000-0000424E0000}"/>
    <cellStyle name="Normal 47 10" xfId="13943" xr:uid="{00000000-0005-0000-0000-0000434E0000}"/>
    <cellStyle name="Normal 47 10 2" xfId="30487" xr:uid="{00000000-0005-0000-0000-0000444E0000}"/>
    <cellStyle name="Normal 47 11" xfId="22444" xr:uid="{00000000-0005-0000-0000-0000454E0000}"/>
    <cellStyle name="Normal 47 2" xfId="4584" xr:uid="{00000000-0005-0000-0000-0000464E0000}"/>
    <cellStyle name="Normal 47 2 2" xfId="4585" xr:uid="{00000000-0005-0000-0000-0000474E0000}"/>
    <cellStyle name="Normal 47 2 3" xfId="13944" xr:uid="{00000000-0005-0000-0000-0000484E0000}"/>
    <cellStyle name="Normal 47 2 3 2" xfId="30488" xr:uid="{00000000-0005-0000-0000-0000494E0000}"/>
    <cellStyle name="Normal 47 2 4" xfId="22445" xr:uid="{00000000-0005-0000-0000-00004A4E0000}"/>
    <cellStyle name="Normal 47 3" xfId="4586" xr:uid="{00000000-0005-0000-0000-00004B4E0000}"/>
    <cellStyle name="Normal 47 3 2" xfId="4587" xr:uid="{00000000-0005-0000-0000-00004C4E0000}"/>
    <cellStyle name="Normal 47 3 2 2" xfId="4588" xr:uid="{00000000-0005-0000-0000-00004D4E0000}"/>
    <cellStyle name="Normal 47 3 2 2 2" xfId="4589" xr:uid="{00000000-0005-0000-0000-00004E4E0000}"/>
    <cellStyle name="Normal 47 3 2 2 2 2" xfId="8593" xr:uid="{00000000-0005-0000-0000-00004F4E0000}"/>
    <cellStyle name="Normal 47 3 2 2 2 2 2" xfId="17769" xr:uid="{00000000-0005-0000-0000-0000504E0000}"/>
    <cellStyle name="Normal 47 3 2 2 2 2 2 2" xfId="34343" xr:uid="{00000000-0005-0000-0000-0000514E0000}"/>
    <cellStyle name="Normal 47 3 2 2 2 2 3" xfId="26296" xr:uid="{00000000-0005-0000-0000-0000524E0000}"/>
    <cellStyle name="Normal 47 3 2 2 2 3" xfId="13947" xr:uid="{00000000-0005-0000-0000-0000534E0000}"/>
    <cellStyle name="Normal 47 3 2 2 2 3 2" xfId="30491" xr:uid="{00000000-0005-0000-0000-0000544E0000}"/>
    <cellStyle name="Normal 47 3 2 2 2 4" xfId="22448" xr:uid="{00000000-0005-0000-0000-0000554E0000}"/>
    <cellStyle name="Normal 47 3 2 2 3" xfId="8594" xr:uid="{00000000-0005-0000-0000-0000564E0000}"/>
    <cellStyle name="Normal 47 3 2 2 3 2" xfId="17770" xr:uid="{00000000-0005-0000-0000-0000574E0000}"/>
    <cellStyle name="Normal 47 3 2 2 3 2 2" xfId="34344" xr:uid="{00000000-0005-0000-0000-0000584E0000}"/>
    <cellStyle name="Normal 47 3 2 2 3 3" xfId="26297" xr:uid="{00000000-0005-0000-0000-0000594E0000}"/>
    <cellStyle name="Normal 47 3 2 2 4" xfId="13946" xr:uid="{00000000-0005-0000-0000-00005A4E0000}"/>
    <cellStyle name="Normal 47 3 2 2 4 2" xfId="30490" xr:uid="{00000000-0005-0000-0000-00005B4E0000}"/>
    <cellStyle name="Normal 47 3 2 2 5" xfId="22447" xr:uid="{00000000-0005-0000-0000-00005C4E0000}"/>
    <cellStyle name="Normal 47 3 2 3" xfId="4590" xr:uid="{00000000-0005-0000-0000-00005D4E0000}"/>
    <cellStyle name="Normal 47 3 2 3 2" xfId="8595" xr:uid="{00000000-0005-0000-0000-00005E4E0000}"/>
    <cellStyle name="Normal 47 3 2 3 2 2" xfId="17771" xr:uid="{00000000-0005-0000-0000-00005F4E0000}"/>
    <cellStyle name="Normal 47 3 2 3 2 2 2" xfId="34345" xr:uid="{00000000-0005-0000-0000-0000604E0000}"/>
    <cellStyle name="Normal 47 3 2 3 2 3" xfId="26298" xr:uid="{00000000-0005-0000-0000-0000614E0000}"/>
    <cellStyle name="Normal 47 3 2 3 3" xfId="13948" xr:uid="{00000000-0005-0000-0000-0000624E0000}"/>
    <cellStyle name="Normal 47 3 2 3 3 2" xfId="30492" xr:uid="{00000000-0005-0000-0000-0000634E0000}"/>
    <cellStyle name="Normal 47 3 2 3 4" xfId="22449" xr:uid="{00000000-0005-0000-0000-0000644E0000}"/>
    <cellStyle name="Normal 47 3 2 4" xfId="8596" xr:uid="{00000000-0005-0000-0000-0000654E0000}"/>
    <cellStyle name="Normal 47 3 2 4 2" xfId="17772" xr:uid="{00000000-0005-0000-0000-0000664E0000}"/>
    <cellStyle name="Normal 47 3 2 4 2 2" xfId="34346" xr:uid="{00000000-0005-0000-0000-0000674E0000}"/>
    <cellStyle name="Normal 47 3 2 4 3" xfId="26299" xr:uid="{00000000-0005-0000-0000-0000684E0000}"/>
    <cellStyle name="Normal 47 3 2 5" xfId="13945" xr:uid="{00000000-0005-0000-0000-0000694E0000}"/>
    <cellStyle name="Normal 47 3 2 5 2" xfId="30489" xr:uid="{00000000-0005-0000-0000-00006A4E0000}"/>
    <cellStyle name="Normal 47 3 2 6" xfId="22446" xr:uid="{00000000-0005-0000-0000-00006B4E0000}"/>
    <cellStyle name="Normal 47 3 3" xfId="4591" xr:uid="{00000000-0005-0000-0000-00006C4E0000}"/>
    <cellStyle name="Normal 47 3 3 2" xfId="4592" xr:uid="{00000000-0005-0000-0000-00006D4E0000}"/>
    <cellStyle name="Normal 47 3 3 2 2" xfId="8597" xr:uid="{00000000-0005-0000-0000-00006E4E0000}"/>
    <cellStyle name="Normal 47 3 3 2 2 2" xfId="17773" xr:uid="{00000000-0005-0000-0000-00006F4E0000}"/>
    <cellStyle name="Normal 47 3 3 2 2 2 2" xfId="34347" xr:uid="{00000000-0005-0000-0000-0000704E0000}"/>
    <cellStyle name="Normal 47 3 3 2 2 3" xfId="26300" xr:uid="{00000000-0005-0000-0000-0000714E0000}"/>
    <cellStyle name="Normal 47 3 3 2 3" xfId="13950" xr:uid="{00000000-0005-0000-0000-0000724E0000}"/>
    <cellStyle name="Normal 47 3 3 2 3 2" xfId="30494" xr:uid="{00000000-0005-0000-0000-0000734E0000}"/>
    <cellStyle name="Normal 47 3 3 2 4" xfId="22451" xr:uid="{00000000-0005-0000-0000-0000744E0000}"/>
    <cellStyle name="Normal 47 3 3 3" xfId="8598" xr:uid="{00000000-0005-0000-0000-0000754E0000}"/>
    <cellStyle name="Normal 47 3 3 3 2" xfId="17774" xr:uid="{00000000-0005-0000-0000-0000764E0000}"/>
    <cellStyle name="Normal 47 3 3 3 2 2" xfId="34348" xr:uid="{00000000-0005-0000-0000-0000774E0000}"/>
    <cellStyle name="Normal 47 3 3 3 3" xfId="26301" xr:uid="{00000000-0005-0000-0000-0000784E0000}"/>
    <cellStyle name="Normal 47 3 3 4" xfId="13949" xr:uid="{00000000-0005-0000-0000-0000794E0000}"/>
    <cellStyle name="Normal 47 3 3 4 2" xfId="30493" xr:uid="{00000000-0005-0000-0000-00007A4E0000}"/>
    <cellStyle name="Normal 47 3 3 5" xfId="22450" xr:uid="{00000000-0005-0000-0000-00007B4E0000}"/>
    <cellStyle name="Normal 47 3 4" xfId="4593" xr:uid="{00000000-0005-0000-0000-00007C4E0000}"/>
    <cellStyle name="Normal 47 3 4 2" xfId="8599" xr:uid="{00000000-0005-0000-0000-00007D4E0000}"/>
    <cellStyle name="Normal 47 3 4 2 2" xfId="17775" xr:uid="{00000000-0005-0000-0000-00007E4E0000}"/>
    <cellStyle name="Normal 47 3 4 2 2 2" xfId="34349" xr:uid="{00000000-0005-0000-0000-00007F4E0000}"/>
    <cellStyle name="Normal 47 3 4 2 3" xfId="26302" xr:uid="{00000000-0005-0000-0000-0000804E0000}"/>
    <cellStyle name="Normal 47 3 4 3" xfId="13951" xr:uid="{00000000-0005-0000-0000-0000814E0000}"/>
    <cellStyle name="Normal 47 3 4 3 2" xfId="30495" xr:uid="{00000000-0005-0000-0000-0000824E0000}"/>
    <cellStyle name="Normal 47 3 4 4" xfId="22452" xr:uid="{00000000-0005-0000-0000-0000834E0000}"/>
    <cellStyle name="Normal 47 3 5" xfId="4594" xr:uid="{00000000-0005-0000-0000-0000844E0000}"/>
    <cellStyle name="Normal 47 3 5 2" xfId="13952" xr:uid="{00000000-0005-0000-0000-0000854E0000}"/>
    <cellStyle name="Normal 47 3 5 2 2" xfId="30496" xr:uid="{00000000-0005-0000-0000-0000864E0000}"/>
    <cellStyle name="Normal 47 3 5 3" xfId="22453" xr:uid="{00000000-0005-0000-0000-0000874E0000}"/>
    <cellStyle name="Normal 47 4" xfId="4595" xr:uid="{00000000-0005-0000-0000-0000884E0000}"/>
    <cellStyle name="Normal 47 4 2" xfId="4596" xr:uid="{00000000-0005-0000-0000-0000894E0000}"/>
    <cellStyle name="Normal 47 4 2 2" xfId="4597" xr:uid="{00000000-0005-0000-0000-00008A4E0000}"/>
    <cellStyle name="Normal 47 4 2 2 2" xfId="4598" xr:uid="{00000000-0005-0000-0000-00008B4E0000}"/>
    <cellStyle name="Normal 47 4 2 2 2 2" xfId="8600" xr:uid="{00000000-0005-0000-0000-00008C4E0000}"/>
    <cellStyle name="Normal 47 4 2 2 2 2 2" xfId="17776" xr:uid="{00000000-0005-0000-0000-00008D4E0000}"/>
    <cellStyle name="Normal 47 4 2 2 2 2 2 2" xfId="34350" xr:uid="{00000000-0005-0000-0000-00008E4E0000}"/>
    <cellStyle name="Normal 47 4 2 2 2 2 3" xfId="26303" xr:uid="{00000000-0005-0000-0000-00008F4E0000}"/>
    <cellStyle name="Normal 47 4 2 2 2 3" xfId="13956" xr:uid="{00000000-0005-0000-0000-0000904E0000}"/>
    <cellStyle name="Normal 47 4 2 2 2 3 2" xfId="30500" xr:uid="{00000000-0005-0000-0000-0000914E0000}"/>
    <cellStyle name="Normal 47 4 2 2 2 4" xfId="22457" xr:uid="{00000000-0005-0000-0000-0000924E0000}"/>
    <cellStyle name="Normal 47 4 2 2 3" xfId="8601" xr:uid="{00000000-0005-0000-0000-0000934E0000}"/>
    <cellStyle name="Normal 47 4 2 2 3 2" xfId="17777" xr:uid="{00000000-0005-0000-0000-0000944E0000}"/>
    <cellStyle name="Normal 47 4 2 2 3 2 2" xfId="34351" xr:uid="{00000000-0005-0000-0000-0000954E0000}"/>
    <cellStyle name="Normal 47 4 2 2 3 3" xfId="26304" xr:uid="{00000000-0005-0000-0000-0000964E0000}"/>
    <cellStyle name="Normal 47 4 2 2 4" xfId="13955" xr:uid="{00000000-0005-0000-0000-0000974E0000}"/>
    <cellStyle name="Normal 47 4 2 2 4 2" xfId="30499" xr:uid="{00000000-0005-0000-0000-0000984E0000}"/>
    <cellStyle name="Normal 47 4 2 2 5" xfId="22456" xr:uid="{00000000-0005-0000-0000-0000994E0000}"/>
    <cellStyle name="Normal 47 4 2 3" xfId="4599" xr:uid="{00000000-0005-0000-0000-00009A4E0000}"/>
    <cellStyle name="Normal 47 4 2 3 2" xfId="8602" xr:uid="{00000000-0005-0000-0000-00009B4E0000}"/>
    <cellStyle name="Normal 47 4 2 3 2 2" xfId="17778" xr:uid="{00000000-0005-0000-0000-00009C4E0000}"/>
    <cellStyle name="Normal 47 4 2 3 2 2 2" xfId="34352" xr:uid="{00000000-0005-0000-0000-00009D4E0000}"/>
    <cellStyle name="Normal 47 4 2 3 2 3" xfId="26305" xr:uid="{00000000-0005-0000-0000-00009E4E0000}"/>
    <cellStyle name="Normal 47 4 2 3 3" xfId="13957" xr:uid="{00000000-0005-0000-0000-00009F4E0000}"/>
    <cellStyle name="Normal 47 4 2 3 3 2" xfId="30501" xr:uid="{00000000-0005-0000-0000-0000A04E0000}"/>
    <cellStyle name="Normal 47 4 2 3 4" xfId="22458" xr:uid="{00000000-0005-0000-0000-0000A14E0000}"/>
    <cellStyle name="Normal 47 4 2 4" xfId="8603" xr:uid="{00000000-0005-0000-0000-0000A24E0000}"/>
    <cellStyle name="Normal 47 4 2 4 2" xfId="17779" xr:uid="{00000000-0005-0000-0000-0000A34E0000}"/>
    <cellStyle name="Normal 47 4 2 4 2 2" xfId="34353" xr:uid="{00000000-0005-0000-0000-0000A44E0000}"/>
    <cellStyle name="Normal 47 4 2 4 3" xfId="26306" xr:uid="{00000000-0005-0000-0000-0000A54E0000}"/>
    <cellStyle name="Normal 47 4 2 5" xfId="13954" xr:uid="{00000000-0005-0000-0000-0000A64E0000}"/>
    <cellStyle name="Normal 47 4 2 5 2" xfId="30498" xr:uid="{00000000-0005-0000-0000-0000A74E0000}"/>
    <cellStyle name="Normal 47 4 2 6" xfId="22455" xr:uid="{00000000-0005-0000-0000-0000A84E0000}"/>
    <cellStyle name="Normal 47 4 3" xfId="4600" xr:uid="{00000000-0005-0000-0000-0000A94E0000}"/>
    <cellStyle name="Normal 47 4 3 2" xfId="4601" xr:uid="{00000000-0005-0000-0000-0000AA4E0000}"/>
    <cellStyle name="Normal 47 4 3 2 2" xfId="8604" xr:uid="{00000000-0005-0000-0000-0000AB4E0000}"/>
    <cellStyle name="Normal 47 4 3 2 2 2" xfId="17780" xr:uid="{00000000-0005-0000-0000-0000AC4E0000}"/>
    <cellStyle name="Normal 47 4 3 2 2 2 2" xfId="34354" xr:uid="{00000000-0005-0000-0000-0000AD4E0000}"/>
    <cellStyle name="Normal 47 4 3 2 2 3" xfId="26307" xr:uid="{00000000-0005-0000-0000-0000AE4E0000}"/>
    <cellStyle name="Normal 47 4 3 2 3" xfId="13959" xr:uid="{00000000-0005-0000-0000-0000AF4E0000}"/>
    <cellStyle name="Normal 47 4 3 2 3 2" xfId="30503" xr:uid="{00000000-0005-0000-0000-0000B04E0000}"/>
    <cellStyle name="Normal 47 4 3 2 4" xfId="22460" xr:uid="{00000000-0005-0000-0000-0000B14E0000}"/>
    <cellStyle name="Normal 47 4 3 3" xfId="8605" xr:uid="{00000000-0005-0000-0000-0000B24E0000}"/>
    <cellStyle name="Normal 47 4 3 3 2" xfId="17781" xr:uid="{00000000-0005-0000-0000-0000B34E0000}"/>
    <cellStyle name="Normal 47 4 3 3 2 2" xfId="34355" xr:uid="{00000000-0005-0000-0000-0000B44E0000}"/>
    <cellStyle name="Normal 47 4 3 3 3" xfId="26308" xr:uid="{00000000-0005-0000-0000-0000B54E0000}"/>
    <cellStyle name="Normal 47 4 3 4" xfId="13958" xr:uid="{00000000-0005-0000-0000-0000B64E0000}"/>
    <cellStyle name="Normal 47 4 3 4 2" xfId="30502" xr:uid="{00000000-0005-0000-0000-0000B74E0000}"/>
    <cellStyle name="Normal 47 4 3 5" xfId="22459" xr:uid="{00000000-0005-0000-0000-0000B84E0000}"/>
    <cellStyle name="Normal 47 4 4" xfId="4602" xr:uid="{00000000-0005-0000-0000-0000B94E0000}"/>
    <cellStyle name="Normal 47 4 4 2" xfId="8606" xr:uid="{00000000-0005-0000-0000-0000BA4E0000}"/>
    <cellStyle name="Normal 47 4 4 2 2" xfId="17782" xr:uid="{00000000-0005-0000-0000-0000BB4E0000}"/>
    <cellStyle name="Normal 47 4 4 2 2 2" xfId="34356" xr:uid="{00000000-0005-0000-0000-0000BC4E0000}"/>
    <cellStyle name="Normal 47 4 4 2 3" xfId="26309" xr:uid="{00000000-0005-0000-0000-0000BD4E0000}"/>
    <cellStyle name="Normal 47 4 4 3" xfId="13960" xr:uid="{00000000-0005-0000-0000-0000BE4E0000}"/>
    <cellStyle name="Normal 47 4 4 3 2" xfId="30504" xr:uid="{00000000-0005-0000-0000-0000BF4E0000}"/>
    <cellStyle name="Normal 47 4 4 4" xfId="22461" xr:uid="{00000000-0005-0000-0000-0000C04E0000}"/>
    <cellStyle name="Normal 47 4 5" xfId="8607" xr:uid="{00000000-0005-0000-0000-0000C14E0000}"/>
    <cellStyle name="Normal 47 4 5 2" xfId="17783" xr:uid="{00000000-0005-0000-0000-0000C24E0000}"/>
    <cellStyle name="Normal 47 4 5 2 2" xfId="34357" xr:uid="{00000000-0005-0000-0000-0000C34E0000}"/>
    <cellStyle name="Normal 47 4 5 3" xfId="26310" xr:uid="{00000000-0005-0000-0000-0000C44E0000}"/>
    <cellStyle name="Normal 47 4 6" xfId="13953" xr:uid="{00000000-0005-0000-0000-0000C54E0000}"/>
    <cellStyle name="Normal 47 4 6 2" xfId="30497" xr:uid="{00000000-0005-0000-0000-0000C64E0000}"/>
    <cellStyle name="Normal 47 4 7" xfId="22454" xr:uid="{00000000-0005-0000-0000-0000C74E0000}"/>
    <cellStyle name="Normal 47 5" xfId="4603" xr:uid="{00000000-0005-0000-0000-0000C84E0000}"/>
    <cellStyle name="Normal 47 5 2" xfId="4604" xr:uid="{00000000-0005-0000-0000-0000C94E0000}"/>
    <cellStyle name="Normal 47 5 2 2" xfId="4605" xr:uid="{00000000-0005-0000-0000-0000CA4E0000}"/>
    <cellStyle name="Normal 47 5 2 2 2" xfId="4606" xr:uid="{00000000-0005-0000-0000-0000CB4E0000}"/>
    <cellStyle name="Normal 47 5 2 2 2 2" xfId="8608" xr:uid="{00000000-0005-0000-0000-0000CC4E0000}"/>
    <cellStyle name="Normal 47 5 2 2 2 2 2" xfId="17784" xr:uid="{00000000-0005-0000-0000-0000CD4E0000}"/>
    <cellStyle name="Normal 47 5 2 2 2 2 2 2" xfId="34358" xr:uid="{00000000-0005-0000-0000-0000CE4E0000}"/>
    <cellStyle name="Normal 47 5 2 2 2 2 3" xfId="26311" xr:uid="{00000000-0005-0000-0000-0000CF4E0000}"/>
    <cellStyle name="Normal 47 5 2 2 2 3" xfId="13964" xr:uid="{00000000-0005-0000-0000-0000D04E0000}"/>
    <cellStyle name="Normal 47 5 2 2 2 3 2" xfId="30508" xr:uid="{00000000-0005-0000-0000-0000D14E0000}"/>
    <cellStyle name="Normal 47 5 2 2 2 4" xfId="22465" xr:uid="{00000000-0005-0000-0000-0000D24E0000}"/>
    <cellStyle name="Normal 47 5 2 2 3" xfId="8609" xr:uid="{00000000-0005-0000-0000-0000D34E0000}"/>
    <cellStyle name="Normal 47 5 2 2 3 2" xfId="17785" xr:uid="{00000000-0005-0000-0000-0000D44E0000}"/>
    <cellStyle name="Normal 47 5 2 2 3 2 2" xfId="34359" xr:uid="{00000000-0005-0000-0000-0000D54E0000}"/>
    <cellStyle name="Normal 47 5 2 2 3 3" xfId="26312" xr:uid="{00000000-0005-0000-0000-0000D64E0000}"/>
    <cellStyle name="Normal 47 5 2 2 4" xfId="13963" xr:uid="{00000000-0005-0000-0000-0000D74E0000}"/>
    <cellStyle name="Normal 47 5 2 2 4 2" xfId="30507" xr:uid="{00000000-0005-0000-0000-0000D84E0000}"/>
    <cellStyle name="Normal 47 5 2 2 5" xfId="22464" xr:uid="{00000000-0005-0000-0000-0000D94E0000}"/>
    <cellStyle name="Normal 47 5 2 3" xfId="4607" xr:uid="{00000000-0005-0000-0000-0000DA4E0000}"/>
    <cellStyle name="Normal 47 5 2 3 2" xfId="8610" xr:uid="{00000000-0005-0000-0000-0000DB4E0000}"/>
    <cellStyle name="Normal 47 5 2 3 2 2" xfId="17786" xr:uid="{00000000-0005-0000-0000-0000DC4E0000}"/>
    <cellStyle name="Normal 47 5 2 3 2 2 2" xfId="34360" xr:uid="{00000000-0005-0000-0000-0000DD4E0000}"/>
    <cellStyle name="Normal 47 5 2 3 2 3" xfId="26313" xr:uid="{00000000-0005-0000-0000-0000DE4E0000}"/>
    <cellStyle name="Normal 47 5 2 3 3" xfId="13965" xr:uid="{00000000-0005-0000-0000-0000DF4E0000}"/>
    <cellStyle name="Normal 47 5 2 3 3 2" xfId="30509" xr:uid="{00000000-0005-0000-0000-0000E04E0000}"/>
    <cellStyle name="Normal 47 5 2 3 4" xfId="22466" xr:uid="{00000000-0005-0000-0000-0000E14E0000}"/>
    <cellStyle name="Normal 47 5 2 4" xfId="8611" xr:uid="{00000000-0005-0000-0000-0000E24E0000}"/>
    <cellStyle name="Normal 47 5 2 4 2" xfId="17787" xr:uid="{00000000-0005-0000-0000-0000E34E0000}"/>
    <cellStyle name="Normal 47 5 2 4 2 2" xfId="34361" xr:uid="{00000000-0005-0000-0000-0000E44E0000}"/>
    <cellStyle name="Normal 47 5 2 4 3" xfId="26314" xr:uid="{00000000-0005-0000-0000-0000E54E0000}"/>
    <cellStyle name="Normal 47 5 2 5" xfId="13962" xr:uid="{00000000-0005-0000-0000-0000E64E0000}"/>
    <cellStyle name="Normal 47 5 2 5 2" xfId="30506" xr:uid="{00000000-0005-0000-0000-0000E74E0000}"/>
    <cellStyle name="Normal 47 5 2 6" xfId="22463" xr:uid="{00000000-0005-0000-0000-0000E84E0000}"/>
    <cellStyle name="Normal 47 5 3" xfId="4608" xr:uid="{00000000-0005-0000-0000-0000E94E0000}"/>
    <cellStyle name="Normal 47 5 3 2" xfId="4609" xr:uid="{00000000-0005-0000-0000-0000EA4E0000}"/>
    <cellStyle name="Normal 47 5 3 2 2" xfId="8612" xr:uid="{00000000-0005-0000-0000-0000EB4E0000}"/>
    <cellStyle name="Normal 47 5 3 2 2 2" xfId="17788" xr:uid="{00000000-0005-0000-0000-0000EC4E0000}"/>
    <cellStyle name="Normal 47 5 3 2 2 2 2" xfId="34362" xr:uid="{00000000-0005-0000-0000-0000ED4E0000}"/>
    <cellStyle name="Normal 47 5 3 2 2 3" xfId="26315" xr:uid="{00000000-0005-0000-0000-0000EE4E0000}"/>
    <cellStyle name="Normal 47 5 3 2 3" xfId="13967" xr:uid="{00000000-0005-0000-0000-0000EF4E0000}"/>
    <cellStyle name="Normal 47 5 3 2 3 2" xfId="30511" xr:uid="{00000000-0005-0000-0000-0000F04E0000}"/>
    <cellStyle name="Normal 47 5 3 2 4" xfId="22468" xr:uid="{00000000-0005-0000-0000-0000F14E0000}"/>
    <cellStyle name="Normal 47 5 3 3" xfId="8613" xr:uid="{00000000-0005-0000-0000-0000F24E0000}"/>
    <cellStyle name="Normal 47 5 3 3 2" xfId="17789" xr:uid="{00000000-0005-0000-0000-0000F34E0000}"/>
    <cellStyle name="Normal 47 5 3 3 2 2" xfId="34363" xr:uid="{00000000-0005-0000-0000-0000F44E0000}"/>
    <cellStyle name="Normal 47 5 3 3 3" xfId="26316" xr:uid="{00000000-0005-0000-0000-0000F54E0000}"/>
    <cellStyle name="Normal 47 5 3 4" xfId="13966" xr:uid="{00000000-0005-0000-0000-0000F64E0000}"/>
    <cellStyle name="Normal 47 5 3 4 2" xfId="30510" xr:uid="{00000000-0005-0000-0000-0000F74E0000}"/>
    <cellStyle name="Normal 47 5 3 5" xfId="22467" xr:uid="{00000000-0005-0000-0000-0000F84E0000}"/>
    <cellStyle name="Normal 47 5 4" xfId="4610" xr:uid="{00000000-0005-0000-0000-0000F94E0000}"/>
    <cellStyle name="Normal 47 5 4 2" xfId="8614" xr:uid="{00000000-0005-0000-0000-0000FA4E0000}"/>
    <cellStyle name="Normal 47 5 4 2 2" xfId="17790" xr:uid="{00000000-0005-0000-0000-0000FB4E0000}"/>
    <cellStyle name="Normal 47 5 4 2 2 2" xfId="34364" xr:uid="{00000000-0005-0000-0000-0000FC4E0000}"/>
    <cellStyle name="Normal 47 5 4 2 3" xfId="26317" xr:uid="{00000000-0005-0000-0000-0000FD4E0000}"/>
    <cellStyle name="Normal 47 5 4 3" xfId="13968" xr:uid="{00000000-0005-0000-0000-0000FE4E0000}"/>
    <cellStyle name="Normal 47 5 4 3 2" xfId="30512" xr:uid="{00000000-0005-0000-0000-0000FF4E0000}"/>
    <cellStyle name="Normal 47 5 4 4" xfId="22469" xr:uid="{00000000-0005-0000-0000-0000004F0000}"/>
    <cellStyle name="Normal 47 5 5" xfId="8615" xr:uid="{00000000-0005-0000-0000-0000014F0000}"/>
    <cellStyle name="Normal 47 5 5 2" xfId="17791" xr:uid="{00000000-0005-0000-0000-0000024F0000}"/>
    <cellStyle name="Normal 47 5 5 2 2" xfId="34365" xr:uid="{00000000-0005-0000-0000-0000034F0000}"/>
    <cellStyle name="Normal 47 5 5 3" xfId="26318" xr:uid="{00000000-0005-0000-0000-0000044F0000}"/>
    <cellStyle name="Normal 47 5 6" xfId="13961" xr:uid="{00000000-0005-0000-0000-0000054F0000}"/>
    <cellStyle name="Normal 47 5 6 2" xfId="30505" xr:uid="{00000000-0005-0000-0000-0000064F0000}"/>
    <cellStyle name="Normal 47 5 7" xfId="22462" xr:uid="{00000000-0005-0000-0000-0000074F0000}"/>
    <cellStyle name="Normal 47 6" xfId="4611" xr:uid="{00000000-0005-0000-0000-0000084F0000}"/>
    <cellStyle name="Normal 47 6 2" xfId="4612" xr:uid="{00000000-0005-0000-0000-0000094F0000}"/>
    <cellStyle name="Normal 47 6 2 2" xfId="4613" xr:uid="{00000000-0005-0000-0000-00000A4F0000}"/>
    <cellStyle name="Normal 47 6 2 2 2" xfId="8616" xr:uid="{00000000-0005-0000-0000-00000B4F0000}"/>
    <cellStyle name="Normal 47 6 2 2 2 2" xfId="17792" xr:uid="{00000000-0005-0000-0000-00000C4F0000}"/>
    <cellStyle name="Normal 47 6 2 2 2 2 2" xfId="34366" xr:uid="{00000000-0005-0000-0000-00000D4F0000}"/>
    <cellStyle name="Normal 47 6 2 2 2 3" xfId="26319" xr:uid="{00000000-0005-0000-0000-00000E4F0000}"/>
    <cellStyle name="Normal 47 6 2 2 3" xfId="13971" xr:uid="{00000000-0005-0000-0000-00000F4F0000}"/>
    <cellStyle name="Normal 47 6 2 2 3 2" xfId="30515" xr:uid="{00000000-0005-0000-0000-0000104F0000}"/>
    <cellStyle name="Normal 47 6 2 2 4" xfId="22472" xr:uid="{00000000-0005-0000-0000-0000114F0000}"/>
    <cellStyle name="Normal 47 6 2 3" xfId="8617" xr:uid="{00000000-0005-0000-0000-0000124F0000}"/>
    <cellStyle name="Normal 47 6 2 3 2" xfId="17793" xr:uid="{00000000-0005-0000-0000-0000134F0000}"/>
    <cellStyle name="Normal 47 6 2 3 2 2" xfId="34367" xr:uid="{00000000-0005-0000-0000-0000144F0000}"/>
    <cellStyle name="Normal 47 6 2 3 3" xfId="26320" xr:uid="{00000000-0005-0000-0000-0000154F0000}"/>
    <cellStyle name="Normal 47 6 2 4" xfId="13970" xr:uid="{00000000-0005-0000-0000-0000164F0000}"/>
    <cellStyle name="Normal 47 6 2 4 2" xfId="30514" xr:uid="{00000000-0005-0000-0000-0000174F0000}"/>
    <cellStyle name="Normal 47 6 2 5" xfId="22471" xr:uid="{00000000-0005-0000-0000-0000184F0000}"/>
    <cellStyle name="Normal 47 6 3" xfId="4614" xr:uid="{00000000-0005-0000-0000-0000194F0000}"/>
    <cellStyle name="Normal 47 6 3 2" xfId="8618" xr:uid="{00000000-0005-0000-0000-00001A4F0000}"/>
    <cellStyle name="Normal 47 6 3 2 2" xfId="17794" xr:uid="{00000000-0005-0000-0000-00001B4F0000}"/>
    <cellStyle name="Normal 47 6 3 2 2 2" xfId="34368" xr:uid="{00000000-0005-0000-0000-00001C4F0000}"/>
    <cellStyle name="Normal 47 6 3 2 3" xfId="26321" xr:uid="{00000000-0005-0000-0000-00001D4F0000}"/>
    <cellStyle name="Normal 47 6 3 3" xfId="13972" xr:uid="{00000000-0005-0000-0000-00001E4F0000}"/>
    <cellStyle name="Normal 47 6 3 3 2" xfId="30516" xr:uid="{00000000-0005-0000-0000-00001F4F0000}"/>
    <cellStyle name="Normal 47 6 3 4" xfId="22473" xr:uid="{00000000-0005-0000-0000-0000204F0000}"/>
    <cellStyle name="Normal 47 6 4" xfId="8619" xr:uid="{00000000-0005-0000-0000-0000214F0000}"/>
    <cellStyle name="Normal 47 6 4 2" xfId="17795" xr:uid="{00000000-0005-0000-0000-0000224F0000}"/>
    <cellStyle name="Normal 47 6 4 2 2" xfId="34369" xr:uid="{00000000-0005-0000-0000-0000234F0000}"/>
    <cellStyle name="Normal 47 6 4 3" xfId="26322" xr:uid="{00000000-0005-0000-0000-0000244F0000}"/>
    <cellStyle name="Normal 47 6 5" xfId="13969" xr:uid="{00000000-0005-0000-0000-0000254F0000}"/>
    <cellStyle name="Normal 47 6 5 2" xfId="30513" xr:uid="{00000000-0005-0000-0000-0000264F0000}"/>
    <cellStyle name="Normal 47 6 6" xfId="22470" xr:uid="{00000000-0005-0000-0000-0000274F0000}"/>
    <cellStyle name="Normal 47 7" xfId="4615" xr:uid="{00000000-0005-0000-0000-0000284F0000}"/>
    <cellStyle name="Normal 47 7 2" xfId="4616" xr:uid="{00000000-0005-0000-0000-0000294F0000}"/>
    <cellStyle name="Normal 47 7 2 2" xfId="8620" xr:uid="{00000000-0005-0000-0000-00002A4F0000}"/>
    <cellStyle name="Normal 47 7 2 2 2" xfId="17796" xr:uid="{00000000-0005-0000-0000-00002B4F0000}"/>
    <cellStyle name="Normal 47 7 2 2 2 2" xfId="34370" xr:uid="{00000000-0005-0000-0000-00002C4F0000}"/>
    <cellStyle name="Normal 47 7 2 2 3" xfId="26323" xr:uid="{00000000-0005-0000-0000-00002D4F0000}"/>
    <cellStyle name="Normal 47 7 2 3" xfId="13974" xr:uid="{00000000-0005-0000-0000-00002E4F0000}"/>
    <cellStyle name="Normal 47 7 2 3 2" xfId="30518" xr:uid="{00000000-0005-0000-0000-00002F4F0000}"/>
    <cellStyle name="Normal 47 7 2 4" xfId="22475" xr:uid="{00000000-0005-0000-0000-0000304F0000}"/>
    <cellStyle name="Normal 47 7 3" xfId="8621" xr:uid="{00000000-0005-0000-0000-0000314F0000}"/>
    <cellStyle name="Normal 47 7 3 2" xfId="17797" xr:uid="{00000000-0005-0000-0000-0000324F0000}"/>
    <cellStyle name="Normal 47 7 3 2 2" xfId="34371" xr:uid="{00000000-0005-0000-0000-0000334F0000}"/>
    <cellStyle name="Normal 47 7 3 3" xfId="26324" xr:uid="{00000000-0005-0000-0000-0000344F0000}"/>
    <cellStyle name="Normal 47 7 4" xfId="13973" xr:uid="{00000000-0005-0000-0000-0000354F0000}"/>
    <cellStyle name="Normal 47 7 4 2" xfId="30517" xr:uid="{00000000-0005-0000-0000-0000364F0000}"/>
    <cellStyle name="Normal 47 7 5" xfId="22474" xr:uid="{00000000-0005-0000-0000-0000374F0000}"/>
    <cellStyle name="Normal 47 8" xfId="4617" xr:uid="{00000000-0005-0000-0000-0000384F0000}"/>
    <cellStyle name="Normal 47 8 2" xfId="8622" xr:uid="{00000000-0005-0000-0000-0000394F0000}"/>
    <cellStyle name="Normal 47 8 2 2" xfId="17798" xr:uid="{00000000-0005-0000-0000-00003A4F0000}"/>
    <cellStyle name="Normal 47 8 2 2 2" xfId="34372" xr:uid="{00000000-0005-0000-0000-00003B4F0000}"/>
    <cellStyle name="Normal 47 8 2 3" xfId="26325" xr:uid="{00000000-0005-0000-0000-00003C4F0000}"/>
    <cellStyle name="Normal 47 8 3" xfId="13975" xr:uid="{00000000-0005-0000-0000-00003D4F0000}"/>
    <cellStyle name="Normal 47 8 3 2" xfId="30519" xr:uid="{00000000-0005-0000-0000-00003E4F0000}"/>
    <cellStyle name="Normal 47 8 4" xfId="22476" xr:uid="{00000000-0005-0000-0000-00003F4F0000}"/>
    <cellStyle name="Normal 47 9" xfId="8623" xr:uid="{00000000-0005-0000-0000-0000404F0000}"/>
    <cellStyle name="Normal 47 9 2" xfId="17799" xr:uid="{00000000-0005-0000-0000-0000414F0000}"/>
    <cellStyle name="Normal 47 9 2 2" xfId="34373" xr:uid="{00000000-0005-0000-0000-0000424F0000}"/>
    <cellStyle name="Normal 47 9 3" xfId="26326" xr:uid="{00000000-0005-0000-0000-0000434F0000}"/>
    <cellStyle name="Normal 48" xfId="4618" xr:uid="{00000000-0005-0000-0000-0000444F0000}"/>
    <cellStyle name="Normal 48 10" xfId="13976" xr:uid="{00000000-0005-0000-0000-0000454F0000}"/>
    <cellStyle name="Normal 48 10 2" xfId="30520" xr:uid="{00000000-0005-0000-0000-0000464F0000}"/>
    <cellStyle name="Normal 48 11" xfId="22477" xr:uid="{00000000-0005-0000-0000-0000474F0000}"/>
    <cellStyle name="Normal 48 2" xfId="4619" xr:uid="{00000000-0005-0000-0000-0000484F0000}"/>
    <cellStyle name="Normal 48 2 2" xfId="4620" xr:uid="{00000000-0005-0000-0000-0000494F0000}"/>
    <cellStyle name="Normal 48 2 3" xfId="13977" xr:uid="{00000000-0005-0000-0000-00004A4F0000}"/>
    <cellStyle name="Normal 48 2 3 2" xfId="30521" xr:uid="{00000000-0005-0000-0000-00004B4F0000}"/>
    <cellStyle name="Normal 48 2 4" xfId="22478" xr:uid="{00000000-0005-0000-0000-00004C4F0000}"/>
    <cellStyle name="Normal 48 3" xfId="4621" xr:uid="{00000000-0005-0000-0000-00004D4F0000}"/>
    <cellStyle name="Normal 48 3 2" xfId="4622" xr:uid="{00000000-0005-0000-0000-00004E4F0000}"/>
    <cellStyle name="Normal 48 3 2 2" xfId="4623" xr:uid="{00000000-0005-0000-0000-00004F4F0000}"/>
    <cellStyle name="Normal 48 3 2 2 2" xfId="4624" xr:uid="{00000000-0005-0000-0000-0000504F0000}"/>
    <cellStyle name="Normal 48 3 2 2 2 2" xfId="8624" xr:uid="{00000000-0005-0000-0000-0000514F0000}"/>
    <cellStyle name="Normal 48 3 2 2 2 2 2" xfId="17800" xr:uid="{00000000-0005-0000-0000-0000524F0000}"/>
    <cellStyle name="Normal 48 3 2 2 2 2 2 2" xfId="34374" xr:uid="{00000000-0005-0000-0000-0000534F0000}"/>
    <cellStyle name="Normal 48 3 2 2 2 2 3" xfId="26327" xr:uid="{00000000-0005-0000-0000-0000544F0000}"/>
    <cellStyle name="Normal 48 3 2 2 2 3" xfId="13980" xr:uid="{00000000-0005-0000-0000-0000554F0000}"/>
    <cellStyle name="Normal 48 3 2 2 2 3 2" xfId="30524" xr:uid="{00000000-0005-0000-0000-0000564F0000}"/>
    <cellStyle name="Normal 48 3 2 2 2 4" xfId="22481" xr:uid="{00000000-0005-0000-0000-0000574F0000}"/>
    <cellStyle name="Normal 48 3 2 2 3" xfId="8625" xr:uid="{00000000-0005-0000-0000-0000584F0000}"/>
    <cellStyle name="Normal 48 3 2 2 3 2" xfId="17801" xr:uid="{00000000-0005-0000-0000-0000594F0000}"/>
    <cellStyle name="Normal 48 3 2 2 3 2 2" xfId="34375" xr:uid="{00000000-0005-0000-0000-00005A4F0000}"/>
    <cellStyle name="Normal 48 3 2 2 3 3" xfId="26328" xr:uid="{00000000-0005-0000-0000-00005B4F0000}"/>
    <cellStyle name="Normal 48 3 2 2 4" xfId="13979" xr:uid="{00000000-0005-0000-0000-00005C4F0000}"/>
    <cellStyle name="Normal 48 3 2 2 4 2" xfId="30523" xr:uid="{00000000-0005-0000-0000-00005D4F0000}"/>
    <cellStyle name="Normal 48 3 2 2 5" xfId="22480" xr:uid="{00000000-0005-0000-0000-00005E4F0000}"/>
    <cellStyle name="Normal 48 3 2 3" xfId="4625" xr:uid="{00000000-0005-0000-0000-00005F4F0000}"/>
    <cellStyle name="Normal 48 3 2 3 2" xfId="8626" xr:uid="{00000000-0005-0000-0000-0000604F0000}"/>
    <cellStyle name="Normal 48 3 2 3 2 2" xfId="17802" xr:uid="{00000000-0005-0000-0000-0000614F0000}"/>
    <cellStyle name="Normal 48 3 2 3 2 2 2" xfId="34376" xr:uid="{00000000-0005-0000-0000-0000624F0000}"/>
    <cellStyle name="Normal 48 3 2 3 2 3" xfId="26329" xr:uid="{00000000-0005-0000-0000-0000634F0000}"/>
    <cellStyle name="Normal 48 3 2 3 3" xfId="13981" xr:uid="{00000000-0005-0000-0000-0000644F0000}"/>
    <cellStyle name="Normal 48 3 2 3 3 2" xfId="30525" xr:uid="{00000000-0005-0000-0000-0000654F0000}"/>
    <cellStyle name="Normal 48 3 2 3 4" xfId="22482" xr:uid="{00000000-0005-0000-0000-0000664F0000}"/>
    <cellStyle name="Normal 48 3 2 4" xfId="8627" xr:uid="{00000000-0005-0000-0000-0000674F0000}"/>
    <cellStyle name="Normal 48 3 2 4 2" xfId="17803" xr:uid="{00000000-0005-0000-0000-0000684F0000}"/>
    <cellStyle name="Normal 48 3 2 4 2 2" xfId="34377" xr:uid="{00000000-0005-0000-0000-0000694F0000}"/>
    <cellStyle name="Normal 48 3 2 4 3" xfId="26330" xr:uid="{00000000-0005-0000-0000-00006A4F0000}"/>
    <cellStyle name="Normal 48 3 2 5" xfId="13978" xr:uid="{00000000-0005-0000-0000-00006B4F0000}"/>
    <cellStyle name="Normal 48 3 2 5 2" xfId="30522" xr:uid="{00000000-0005-0000-0000-00006C4F0000}"/>
    <cellStyle name="Normal 48 3 2 6" xfId="22479" xr:uid="{00000000-0005-0000-0000-00006D4F0000}"/>
    <cellStyle name="Normal 48 3 3" xfId="4626" xr:uid="{00000000-0005-0000-0000-00006E4F0000}"/>
    <cellStyle name="Normal 48 3 3 2" xfId="4627" xr:uid="{00000000-0005-0000-0000-00006F4F0000}"/>
    <cellStyle name="Normal 48 3 3 2 2" xfId="8628" xr:uid="{00000000-0005-0000-0000-0000704F0000}"/>
    <cellStyle name="Normal 48 3 3 2 2 2" xfId="17804" xr:uid="{00000000-0005-0000-0000-0000714F0000}"/>
    <cellStyle name="Normal 48 3 3 2 2 2 2" xfId="34378" xr:uid="{00000000-0005-0000-0000-0000724F0000}"/>
    <cellStyle name="Normal 48 3 3 2 2 3" xfId="26331" xr:uid="{00000000-0005-0000-0000-0000734F0000}"/>
    <cellStyle name="Normal 48 3 3 2 3" xfId="13983" xr:uid="{00000000-0005-0000-0000-0000744F0000}"/>
    <cellStyle name="Normal 48 3 3 2 3 2" xfId="30527" xr:uid="{00000000-0005-0000-0000-0000754F0000}"/>
    <cellStyle name="Normal 48 3 3 2 4" xfId="22484" xr:uid="{00000000-0005-0000-0000-0000764F0000}"/>
    <cellStyle name="Normal 48 3 3 3" xfId="8629" xr:uid="{00000000-0005-0000-0000-0000774F0000}"/>
    <cellStyle name="Normal 48 3 3 3 2" xfId="17805" xr:uid="{00000000-0005-0000-0000-0000784F0000}"/>
    <cellStyle name="Normal 48 3 3 3 2 2" xfId="34379" xr:uid="{00000000-0005-0000-0000-0000794F0000}"/>
    <cellStyle name="Normal 48 3 3 3 3" xfId="26332" xr:uid="{00000000-0005-0000-0000-00007A4F0000}"/>
    <cellStyle name="Normal 48 3 3 4" xfId="13982" xr:uid="{00000000-0005-0000-0000-00007B4F0000}"/>
    <cellStyle name="Normal 48 3 3 4 2" xfId="30526" xr:uid="{00000000-0005-0000-0000-00007C4F0000}"/>
    <cellStyle name="Normal 48 3 3 5" xfId="22483" xr:uid="{00000000-0005-0000-0000-00007D4F0000}"/>
    <cellStyle name="Normal 48 3 4" xfId="4628" xr:uid="{00000000-0005-0000-0000-00007E4F0000}"/>
    <cellStyle name="Normal 48 3 4 2" xfId="8630" xr:uid="{00000000-0005-0000-0000-00007F4F0000}"/>
    <cellStyle name="Normal 48 3 4 2 2" xfId="17806" xr:uid="{00000000-0005-0000-0000-0000804F0000}"/>
    <cellStyle name="Normal 48 3 4 2 2 2" xfId="34380" xr:uid="{00000000-0005-0000-0000-0000814F0000}"/>
    <cellStyle name="Normal 48 3 4 2 3" xfId="26333" xr:uid="{00000000-0005-0000-0000-0000824F0000}"/>
    <cellStyle name="Normal 48 3 4 3" xfId="13984" xr:uid="{00000000-0005-0000-0000-0000834F0000}"/>
    <cellStyle name="Normal 48 3 4 3 2" xfId="30528" xr:uid="{00000000-0005-0000-0000-0000844F0000}"/>
    <cellStyle name="Normal 48 3 4 4" xfId="22485" xr:uid="{00000000-0005-0000-0000-0000854F0000}"/>
    <cellStyle name="Normal 48 3 5" xfId="4629" xr:uid="{00000000-0005-0000-0000-0000864F0000}"/>
    <cellStyle name="Normal 48 3 5 2" xfId="13985" xr:uid="{00000000-0005-0000-0000-0000874F0000}"/>
    <cellStyle name="Normal 48 3 5 2 2" xfId="30529" xr:uid="{00000000-0005-0000-0000-0000884F0000}"/>
    <cellStyle name="Normal 48 3 5 3" xfId="22486" xr:uid="{00000000-0005-0000-0000-0000894F0000}"/>
    <cellStyle name="Normal 48 4" xfId="4630" xr:uid="{00000000-0005-0000-0000-00008A4F0000}"/>
    <cellStyle name="Normal 48 4 2" xfId="4631" xr:uid="{00000000-0005-0000-0000-00008B4F0000}"/>
    <cellStyle name="Normal 48 4 2 2" xfId="4632" xr:uid="{00000000-0005-0000-0000-00008C4F0000}"/>
    <cellStyle name="Normal 48 4 2 2 2" xfId="4633" xr:uid="{00000000-0005-0000-0000-00008D4F0000}"/>
    <cellStyle name="Normal 48 4 2 2 2 2" xfId="8631" xr:uid="{00000000-0005-0000-0000-00008E4F0000}"/>
    <cellStyle name="Normal 48 4 2 2 2 2 2" xfId="17807" xr:uid="{00000000-0005-0000-0000-00008F4F0000}"/>
    <cellStyle name="Normal 48 4 2 2 2 2 2 2" xfId="34381" xr:uid="{00000000-0005-0000-0000-0000904F0000}"/>
    <cellStyle name="Normal 48 4 2 2 2 2 3" xfId="26334" xr:uid="{00000000-0005-0000-0000-0000914F0000}"/>
    <cellStyle name="Normal 48 4 2 2 2 3" xfId="13989" xr:uid="{00000000-0005-0000-0000-0000924F0000}"/>
    <cellStyle name="Normal 48 4 2 2 2 3 2" xfId="30533" xr:uid="{00000000-0005-0000-0000-0000934F0000}"/>
    <cellStyle name="Normal 48 4 2 2 2 4" xfId="22490" xr:uid="{00000000-0005-0000-0000-0000944F0000}"/>
    <cellStyle name="Normal 48 4 2 2 3" xfId="8632" xr:uid="{00000000-0005-0000-0000-0000954F0000}"/>
    <cellStyle name="Normal 48 4 2 2 3 2" xfId="17808" xr:uid="{00000000-0005-0000-0000-0000964F0000}"/>
    <cellStyle name="Normal 48 4 2 2 3 2 2" xfId="34382" xr:uid="{00000000-0005-0000-0000-0000974F0000}"/>
    <cellStyle name="Normal 48 4 2 2 3 3" xfId="26335" xr:uid="{00000000-0005-0000-0000-0000984F0000}"/>
    <cellStyle name="Normal 48 4 2 2 4" xfId="13988" xr:uid="{00000000-0005-0000-0000-0000994F0000}"/>
    <cellStyle name="Normal 48 4 2 2 4 2" xfId="30532" xr:uid="{00000000-0005-0000-0000-00009A4F0000}"/>
    <cellStyle name="Normal 48 4 2 2 5" xfId="22489" xr:uid="{00000000-0005-0000-0000-00009B4F0000}"/>
    <cellStyle name="Normal 48 4 2 3" xfId="4634" xr:uid="{00000000-0005-0000-0000-00009C4F0000}"/>
    <cellStyle name="Normal 48 4 2 3 2" xfId="8633" xr:uid="{00000000-0005-0000-0000-00009D4F0000}"/>
    <cellStyle name="Normal 48 4 2 3 2 2" xfId="17809" xr:uid="{00000000-0005-0000-0000-00009E4F0000}"/>
    <cellStyle name="Normal 48 4 2 3 2 2 2" xfId="34383" xr:uid="{00000000-0005-0000-0000-00009F4F0000}"/>
    <cellStyle name="Normal 48 4 2 3 2 3" xfId="26336" xr:uid="{00000000-0005-0000-0000-0000A04F0000}"/>
    <cellStyle name="Normal 48 4 2 3 3" xfId="13990" xr:uid="{00000000-0005-0000-0000-0000A14F0000}"/>
    <cellStyle name="Normal 48 4 2 3 3 2" xfId="30534" xr:uid="{00000000-0005-0000-0000-0000A24F0000}"/>
    <cellStyle name="Normal 48 4 2 3 4" xfId="22491" xr:uid="{00000000-0005-0000-0000-0000A34F0000}"/>
    <cellStyle name="Normal 48 4 2 4" xfId="8634" xr:uid="{00000000-0005-0000-0000-0000A44F0000}"/>
    <cellStyle name="Normal 48 4 2 4 2" xfId="17810" xr:uid="{00000000-0005-0000-0000-0000A54F0000}"/>
    <cellStyle name="Normal 48 4 2 4 2 2" xfId="34384" xr:uid="{00000000-0005-0000-0000-0000A64F0000}"/>
    <cellStyle name="Normal 48 4 2 4 3" xfId="26337" xr:uid="{00000000-0005-0000-0000-0000A74F0000}"/>
    <cellStyle name="Normal 48 4 2 5" xfId="13987" xr:uid="{00000000-0005-0000-0000-0000A84F0000}"/>
    <cellStyle name="Normal 48 4 2 5 2" xfId="30531" xr:uid="{00000000-0005-0000-0000-0000A94F0000}"/>
    <cellStyle name="Normal 48 4 2 6" xfId="22488" xr:uid="{00000000-0005-0000-0000-0000AA4F0000}"/>
    <cellStyle name="Normal 48 4 3" xfId="4635" xr:uid="{00000000-0005-0000-0000-0000AB4F0000}"/>
    <cellStyle name="Normal 48 4 3 2" xfId="4636" xr:uid="{00000000-0005-0000-0000-0000AC4F0000}"/>
    <cellStyle name="Normal 48 4 3 2 2" xfId="8635" xr:uid="{00000000-0005-0000-0000-0000AD4F0000}"/>
    <cellStyle name="Normal 48 4 3 2 2 2" xfId="17811" xr:uid="{00000000-0005-0000-0000-0000AE4F0000}"/>
    <cellStyle name="Normal 48 4 3 2 2 2 2" xfId="34385" xr:uid="{00000000-0005-0000-0000-0000AF4F0000}"/>
    <cellStyle name="Normal 48 4 3 2 2 3" xfId="26338" xr:uid="{00000000-0005-0000-0000-0000B04F0000}"/>
    <cellStyle name="Normal 48 4 3 2 3" xfId="13992" xr:uid="{00000000-0005-0000-0000-0000B14F0000}"/>
    <cellStyle name="Normal 48 4 3 2 3 2" xfId="30536" xr:uid="{00000000-0005-0000-0000-0000B24F0000}"/>
    <cellStyle name="Normal 48 4 3 2 4" xfId="22493" xr:uid="{00000000-0005-0000-0000-0000B34F0000}"/>
    <cellStyle name="Normal 48 4 3 3" xfId="8636" xr:uid="{00000000-0005-0000-0000-0000B44F0000}"/>
    <cellStyle name="Normal 48 4 3 3 2" xfId="17812" xr:uid="{00000000-0005-0000-0000-0000B54F0000}"/>
    <cellStyle name="Normal 48 4 3 3 2 2" xfId="34386" xr:uid="{00000000-0005-0000-0000-0000B64F0000}"/>
    <cellStyle name="Normal 48 4 3 3 3" xfId="26339" xr:uid="{00000000-0005-0000-0000-0000B74F0000}"/>
    <cellStyle name="Normal 48 4 3 4" xfId="13991" xr:uid="{00000000-0005-0000-0000-0000B84F0000}"/>
    <cellStyle name="Normal 48 4 3 4 2" xfId="30535" xr:uid="{00000000-0005-0000-0000-0000B94F0000}"/>
    <cellStyle name="Normal 48 4 3 5" xfId="22492" xr:uid="{00000000-0005-0000-0000-0000BA4F0000}"/>
    <cellStyle name="Normal 48 4 4" xfId="4637" xr:uid="{00000000-0005-0000-0000-0000BB4F0000}"/>
    <cellStyle name="Normal 48 4 4 2" xfId="8637" xr:uid="{00000000-0005-0000-0000-0000BC4F0000}"/>
    <cellStyle name="Normal 48 4 4 2 2" xfId="17813" xr:uid="{00000000-0005-0000-0000-0000BD4F0000}"/>
    <cellStyle name="Normal 48 4 4 2 2 2" xfId="34387" xr:uid="{00000000-0005-0000-0000-0000BE4F0000}"/>
    <cellStyle name="Normal 48 4 4 2 3" xfId="26340" xr:uid="{00000000-0005-0000-0000-0000BF4F0000}"/>
    <cellStyle name="Normal 48 4 4 3" xfId="13993" xr:uid="{00000000-0005-0000-0000-0000C04F0000}"/>
    <cellStyle name="Normal 48 4 4 3 2" xfId="30537" xr:uid="{00000000-0005-0000-0000-0000C14F0000}"/>
    <cellStyle name="Normal 48 4 4 4" xfId="22494" xr:uid="{00000000-0005-0000-0000-0000C24F0000}"/>
    <cellStyle name="Normal 48 4 5" xfId="8638" xr:uid="{00000000-0005-0000-0000-0000C34F0000}"/>
    <cellStyle name="Normal 48 4 5 2" xfId="17814" xr:uid="{00000000-0005-0000-0000-0000C44F0000}"/>
    <cellStyle name="Normal 48 4 5 2 2" xfId="34388" xr:uid="{00000000-0005-0000-0000-0000C54F0000}"/>
    <cellStyle name="Normal 48 4 5 3" xfId="26341" xr:uid="{00000000-0005-0000-0000-0000C64F0000}"/>
    <cellStyle name="Normal 48 4 6" xfId="13986" xr:uid="{00000000-0005-0000-0000-0000C74F0000}"/>
    <cellStyle name="Normal 48 4 6 2" xfId="30530" xr:uid="{00000000-0005-0000-0000-0000C84F0000}"/>
    <cellStyle name="Normal 48 4 7" xfId="22487" xr:uid="{00000000-0005-0000-0000-0000C94F0000}"/>
    <cellStyle name="Normal 48 5" xfId="4638" xr:uid="{00000000-0005-0000-0000-0000CA4F0000}"/>
    <cellStyle name="Normal 48 5 2" xfId="4639" xr:uid="{00000000-0005-0000-0000-0000CB4F0000}"/>
    <cellStyle name="Normal 48 5 2 2" xfId="4640" xr:uid="{00000000-0005-0000-0000-0000CC4F0000}"/>
    <cellStyle name="Normal 48 5 2 2 2" xfId="4641" xr:uid="{00000000-0005-0000-0000-0000CD4F0000}"/>
    <cellStyle name="Normal 48 5 2 2 2 2" xfId="8639" xr:uid="{00000000-0005-0000-0000-0000CE4F0000}"/>
    <cellStyle name="Normal 48 5 2 2 2 2 2" xfId="17815" xr:uid="{00000000-0005-0000-0000-0000CF4F0000}"/>
    <cellStyle name="Normal 48 5 2 2 2 2 2 2" xfId="34389" xr:uid="{00000000-0005-0000-0000-0000D04F0000}"/>
    <cellStyle name="Normal 48 5 2 2 2 2 3" xfId="26342" xr:uid="{00000000-0005-0000-0000-0000D14F0000}"/>
    <cellStyle name="Normal 48 5 2 2 2 3" xfId="13997" xr:uid="{00000000-0005-0000-0000-0000D24F0000}"/>
    <cellStyle name="Normal 48 5 2 2 2 3 2" xfId="30541" xr:uid="{00000000-0005-0000-0000-0000D34F0000}"/>
    <cellStyle name="Normal 48 5 2 2 2 4" xfId="22498" xr:uid="{00000000-0005-0000-0000-0000D44F0000}"/>
    <cellStyle name="Normal 48 5 2 2 3" xfId="8640" xr:uid="{00000000-0005-0000-0000-0000D54F0000}"/>
    <cellStyle name="Normal 48 5 2 2 3 2" xfId="17816" xr:uid="{00000000-0005-0000-0000-0000D64F0000}"/>
    <cellStyle name="Normal 48 5 2 2 3 2 2" xfId="34390" xr:uid="{00000000-0005-0000-0000-0000D74F0000}"/>
    <cellStyle name="Normal 48 5 2 2 3 3" xfId="26343" xr:uid="{00000000-0005-0000-0000-0000D84F0000}"/>
    <cellStyle name="Normal 48 5 2 2 4" xfId="13996" xr:uid="{00000000-0005-0000-0000-0000D94F0000}"/>
    <cellStyle name="Normal 48 5 2 2 4 2" xfId="30540" xr:uid="{00000000-0005-0000-0000-0000DA4F0000}"/>
    <cellStyle name="Normal 48 5 2 2 5" xfId="22497" xr:uid="{00000000-0005-0000-0000-0000DB4F0000}"/>
    <cellStyle name="Normal 48 5 2 3" xfId="4642" xr:uid="{00000000-0005-0000-0000-0000DC4F0000}"/>
    <cellStyle name="Normal 48 5 2 3 2" xfId="8641" xr:uid="{00000000-0005-0000-0000-0000DD4F0000}"/>
    <cellStyle name="Normal 48 5 2 3 2 2" xfId="17817" xr:uid="{00000000-0005-0000-0000-0000DE4F0000}"/>
    <cellStyle name="Normal 48 5 2 3 2 2 2" xfId="34391" xr:uid="{00000000-0005-0000-0000-0000DF4F0000}"/>
    <cellStyle name="Normal 48 5 2 3 2 3" xfId="26344" xr:uid="{00000000-0005-0000-0000-0000E04F0000}"/>
    <cellStyle name="Normal 48 5 2 3 3" xfId="13998" xr:uid="{00000000-0005-0000-0000-0000E14F0000}"/>
    <cellStyle name="Normal 48 5 2 3 3 2" xfId="30542" xr:uid="{00000000-0005-0000-0000-0000E24F0000}"/>
    <cellStyle name="Normal 48 5 2 3 4" xfId="22499" xr:uid="{00000000-0005-0000-0000-0000E34F0000}"/>
    <cellStyle name="Normal 48 5 2 4" xfId="8642" xr:uid="{00000000-0005-0000-0000-0000E44F0000}"/>
    <cellStyle name="Normal 48 5 2 4 2" xfId="17818" xr:uid="{00000000-0005-0000-0000-0000E54F0000}"/>
    <cellStyle name="Normal 48 5 2 4 2 2" xfId="34392" xr:uid="{00000000-0005-0000-0000-0000E64F0000}"/>
    <cellStyle name="Normal 48 5 2 4 3" xfId="26345" xr:uid="{00000000-0005-0000-0000-0000E74F0000}"/>
    <cellStyle name="Normal 48 5 2 5" xfId="13995" xr:uid="{00000000-0005-0000-0000-0000E84F0000}"/>
    <cellStyle name="Normal 48 5 2 5 2" xfId="30539" xr:uid="{00000000-0005-0000-0000-0000E94F0000}"/>
    <cellStyle name="Normal 48 5 2 6" xfId="22496" xr:uid="{00000000-0005-0000-0000-0000EA4F0000}"/>
    <cellStyle name="Normal 48 5 3" xfId="4643" xr:uid="{00000000-0005-0000-0000-0000EB4F0000}"/>
    <cellStyle name="Normal 48 5 3 2" xfId="4644" xr:uid="{00000000-0005-0000-0000-0000EC4F0000}"/>
    <cellStyle name="Normal 48 5 3 2 2" xfId="8643" xr:uid="{00000000-0005-0000-0000-0000ED4F0000}"/>
    <cellStyle name="Normal 48 5 3 2 2 2" xfId="17819" xr:uid="{00000000-0005-0000-0000-0000EE4F0000}"/>
    <cellStyle name="Normal 48 5 3 2 2 2 2" xfId="34393" xr:uid="{00000000-0005-0000-0000-0000EF4F0000}"/>
    <cellStyle name="Normal 48 5 3 2 2 3" xfId="26346" xr:uid="{00000000-0005-0000-0000-0000F04F0000}"/>
    <cellStyle name="Normal 48 5 3 2 3" xfId="14000" xr:uid="{00000000-0005-0000-0000-0000F14F0000}"/>
    <cellStyle name="Normal 48 5 3 2 3 2" xfId="30544" xr:uid="{00000000-0005-0000-0000-0000F24F0000}"/>
    <cellStyle name="Normal 48 5 3 2 4" xfId="22501" xr:uid="{00000000-0005-0000-0000-0000F34F0000}"/>
    <cellStyle name="Normal 48 5 3 3" xfId="8644" xr:uid="{00000000-0005-0000-0000-0000F44F0000}"/>
    <cellStyle name="Normal 48 5 3 3 2" xfId="17820" xr:uid="{00000000-0005-0000-0000-0000F54F0000}"/>
    <cellStyle name="Normal 48 5 3 3 2 2" xfId="34394" xr:uid="{00000000-0005-0000-0000-0000F64F0000}"/>
    <cellStyle name="Normal 48 5 3 3 3" xfId="26347" xr:uid="{00000000-0005-0000-0000-0000F74F0000}"/>
    <cellStyle name="Normal 48 5 3 4" xfId="13999" xr:uid="{00000000-0005-0000-0000-0000F84F0000}"/>
    <cellStyle name="Normal 48 5 3 4 2" xfId="30543" xr:uid="{00000000-0005-0000-0000-0000F94F0000}"/>
    <cellStyle name="Normal 48 5 3 5" xfId="22500" xr:uid="{00000000-0005-0000-0000-0000FA4F0000}"/>
    <cellStyle name="Normal 48 5 4" xfId="4645" xr:uid="{00000000-0005-0000-0000-0000FB4F0000}"/>
    <cellStyle name="Normal 48 5 4 2" xfId="8645" xr:uid="{00000000-0005-0000-0000-0000FC4F0000}"/>
    <cellStyle name="Normal 48 5 4 2 2" xfId="17821" xr:uid="{00000000-0005-0000-0000-0000FD4F0000}"/>
    <cellStyle name="Normal 48 5 4 2 2 2" xfId="34395" xr:uid="{00000000-0005-0000-0000-0000FE4F0000}"/>
    <cellStyle name="Normal 48 5 4 2 3" xfId="26348" xr:uid="{00000000-0005-0000-0000-0000FF4F0000}"/>
    <cellStyle name="Normal 48 5 4 3" xfId="14001" xr:uid="{00000000-0005-0000-0000-000000500000}"/>
    <cellStyle name="Normal 48 5 4 3 2" xfId="30545" xr:uid="{00000000-0005-0000-0000-000001500000}"/>
    <cellStyle name="Normal 48 5 4 4" xfId="22502" xr:uid="{00000000-0005-0000-0000-000002500000}"/>
    <cellStyle name="Normal 48 5 5" xfId="8646" xr:uid="{00000000-0005-0000-0000-000003500000}"/>
    <cellStyle name="Normal 48 5 5 2" xfId="17822" xr:uid="{00000000-0005-0000-0000-000004500000}"/>
    <cellStyle name="Normal 48 5 5 2 2" xfId="34396" xr:uid="{00000000-0005-0000-0000-000005500000}"/>
    <cellStyle name="Normal 48 5 5 3" xfId="26349" xr:uid="{00000000-0005-0000-0000-000006500000}"/>
    <cellStyle name="Normal 48 5 6" xfId="13994" xr:uid="{00000000-0005-0000-0000-000007500000}"/>
    <cellStyle name="Normal 48 5 6 2" xfId="30538" xr:uid="{00000000-0005-0000-0000-000008500000}"/>
    <cellStyle name="Normal 48 5 7" xfId="22495" xr:uid="{00000000-0005-0000-0000-000009500000}"/>
    <cellStyle name="Normal 48 6" xfId="4646" xr:uid="{00000000-0005-0000-0000-00000A500000}"/>
    <cellStyle name="Normal 48 6 2" xfId="4647" xr:uid="{00000000-0005-0000-0000-00000B500000}"/>
    <cellStyle name="Normal 48 6 2 2" xfId="4648" xr:uid="{00000000-0005-0000-0000-00000C500000}"/>
    <cellStyle name="Normal 48 6 2 2 2" xfId="8647" xr:uid="{00000000-0005-0000-0000-00000D500000}"/>
    <cellStyle name="Normal 48 6 2 2 2 2" xfId="17823" xr:uid="{00000000-0005-0000-0000-00000E500000}"/>
    <cellStyle name="Normal 48 6 2 2 2 2 2" xfId="34397" xr:uid="{00000000-0005-0000-0000-00000F500000}"/>
    <cellStyle name="Normal 48 6 2 2 2 3" xfId="26350" xr:uid="{00000000-0005-0000-0000-000010500000}"/>
    <cellStyle name="Normal 48 6 2 2 3" xfId="14004" xr:uid="{00000000-0005-0000-0000-000011500000}"/>
    <cellStyle name="Normal 48 6 2 2 3 2" xfId="30548" xr:uid="{00000000-0005-0000-0000-000012500000}"/>
    <cellStyle name="Normal 48 6 2 2 4" xfId="22505" xr:uid="{00000000-0005-0000-0000-000013500000}"/>
    <cellStyle name="Normal 48 6 2 3" xfId="8648" xr:uid="{00000000-0005-0000-0000-000014500000}"/>
    <cellStyle name="Normal 48 6 2 3 2" xfId="17824" xr:uid="{00000000-0005-0000-0000-000015500000}"/>
    <cellStyle name="Normal 48 6 2 3 2 2" xfId="34398" xr:uid="{00000000-0005-0000-0000-000016500000}"/>
    <cellStyle name="Normal 48 6 2 3 3" xfId="26351" xr:uid="{00000000-0005-0000-0000-000017500000}"/>
    <cellStyle name="Normal 48 6 2 4" xfId="14003" xr:uid="{00000000-0005-0000-0000-000018500000}"/>
    <cellStyle name="Normal 48 6 2 4 2" xfId="30547" xr:uid="{00000000-0005-0000-0000-000019500000}"/>
    <cellStyle name="Normal 48 6 2 5" xfId="22504" xr:uid="{00000000-0005-0000-0000-00001A500000}"/>
    <cellStyle name="Normal 48 6 3" xfId="4649" xr:uid="{00000000-0005-0000-0000-00001B500000}"/>
    <cellStyle name="Normal 48 6 3 2" xfId="8649" xr:uid="{00000000-0005-0000-0000-00001C500000}"/>
    <cellStyle name="Normal 48 6 3 2 2" xfId="17825" xr:uid="{00000000-0005-0000-0000-00001D500000}"/>
    <cellStyle name="Normal 48 6 3 2 2 2" xfId="34399" xr:uid="{00000000-0005-0000-0000-00001E500000}"/>
    <cellStyle name="Normal 48 6 3 2 3" xfId="26352" xr:uid="{00000000-0005-0000-0000-00001F500000}"/>
    <cellStyle name="Normal 48 6 3 3" xfId="14005" xr:uid="{00000000-0005-0000-0000-000020500000}"/>
    <cellStyle name="Normal 48 6 3 3 2" xfId="30549" xr:uid="{00000000-0005-0000-0000-000021500000}"/>
    <cellStyle name="Normal 48 6 3 4" xfId="22506" xr:uid="{00000000-0005-0000-0000-000022500000}"/>
    <cellStyle name="Normal 48 6 4" xfId="8650" xr:uid="{00000000-0005-0000-0000-000023500000}"/>
    <cellStyle name="Normal 48 6 4 2" xfId="17826" xr:uid="{00000000-0005-0000-0000-000024500000}"/>
    <cellStyle name="Normal 48 6 4 2 2" xfId="34400" xr:uid="{00000000-0005-0000-0000-000025500000}"/>
    <cellStyle name="Normal 48 6 4 3" xfId="26353" xr:uid="{00000000-0005-0000-0000-000026500000}"/>
    <cellStyle name="Normal 48 6 5" xfId="14002" xr:uid="{00000000-0005-0000-0000-000027500000}"/>
    <cellStyle name="Normal 48 6 5 2" xfId="30546" xr:uid="{00000000-0005-0000-0000-000028500000}"/>
    <cellStyle name="Normal 48 6 6" xfId="22503" xr:uid="{00000000-0005-0000-0000-000029500000}"/>
    <cellStyle name="Normal 48 7" xfId="4650" xr:uid="{00000000-0005-0000-0000-00002A500000}"/>
    <cellStyle name="Normal 48 7 2" xfId="4651" xr:uid="{00000000-0005-0000-0000-00002B500000}"/>
    <cellStyle name="Normal 48 7 2 2" xfId="8651" xr:uid="{00000000-0005-0000-0000-00002C500000}"/>
    <cellStyle name="Normal 48 7 2 2 2" xfId="17827" xr:uid="{00000000-0005-0000-0000-00002D500000}"/>
    <cellStyle name="Normal 48 7 2 2 2 2" xfId="34401" xr:uid="{00000000-0005-0000-0000-00002E500000}"/>
    <cellStyle name="Normal 48 7 2 2 3" xfId="26354" xr:uid="{00000000-0005-0000-0000-00002F500000}"/>
    <cellStyle name="Normal 48 7 2 3" xfId="14007" xr:uid="{00000000-0005-0000-0000-000030500000}"/>
    <cellStyle name="Normal 48 7 2 3 2" xfId="30551" xr:uid="{00000000-0005-0000-0000-000031500000}"/>
    <cellStyle name="Normal 48 7 2 4" xfId="22508" xr:uid="{00000000-0005-0000-0000-000032500000}"/>
    <cellStyle name="Normal 48 7 3" xfId="8652" xr:uid="{00000000-0005-0000-0000-000033500000}"/>
    <cellStyle name="Normal 48 7 3 2" xfId="17828" xr:uid="{00000000-0005-0000-0000-000034500000}"/>
    <cellStyle name="Normal 48 7 3 2 2" xfId="34402" xr:uid="{00000000-0005-0000-0000-000035500000}"/>
    <cellStyle name="Normal 48 7 3 3" xfId="26355" xr:uid="{00000000-0005-0000-0000-000036500000}"/>
    <cellStyle name="Normal 48 7 4" xfId="14006" xr:uid="{00000000-0005-0000-0000-000037500000}"/>
    <cellStyle name="Normal 48 7 4 2" xfId="30550" xr:uid="{00000000-0005-0000-0000-000038500000}"/>
    <cellStyle name="Normal 48 7 5" xfId="22507" xr:uid="{00000000-0005-0000-0000-000039500000}"/>
    <cellStyle name="Normal 48 8" xfId="4652" xr:uid="{00000000-0005-0000-0000-00003A500000}"/>
    <cellStyle name="Normal 48 8 2" xfId="8653" xr:uid="{00000000-0005-0000-0000-00003B500000}"/>
    <cellStyle name="Normal 48 8 2 2" xfId="17829" xr:uid="{00000000-0005-0000-0000-00003C500000}"/>
    <cellStyle name="Normal 48 8 2 2 2" xfId="34403" xr:uid="{00000000-0005-0000-0000-00003D500000}"/>
    <cellStyle name="Normal 48 8 2 3" xfId="26356" xr:uid="{00000000-0005-0000-0000-00003E500000}"/>
    <cellStyle name="Normal 48 8 3" xfId="14008" xr:uid="{00000000-0005-0000-0000-00003F500000}"/>
    <cellStyle name="Normal 48 8 3 2" xfId="30552" xr:uid="{00000000-0005-0000-0000-000040500000}"/>
    <cellStyle name="Normal 48 8 4" xfId="22509" xr:uid="{00000000-0005-0000-0000-000041500000}"/>
    <cellStyle name="Normal 48 9" xfId="8654" xr:uid="{00000000-0005-0000-0000-000042500000}"/>
    <cellStyle name="Normal 48 9 2" xfId="17830" xr:uid="{00000000-0005-0000-0000-000043500000}"/>
    <cellStyle name="Normal 48 9 2 2" xfId="34404" xr:uid="{00000000-0005-0000-0000-000044500000}"/>
    <cellStyle name="Normal 48 9 3" xfId="26357" xr:uid="{00000000-0005-0000-0000-000045500000}"/>
    <cellStyle name="Normal 49" xfId="4653" xr:uid="{00000000-0005-0000-0000-000046500000}"/>
    <cellStyle name="Normal 49 10" xfId="14009" xr:uid="{00000000-0005-0000-0000-000047500000}"/>
    <cellStyle name="Normal 49 10 2" xfId="30553" xr:uid="{00000000-0005-0000-0000-000048500000}"/>
    <cellStyle name="Normal 49 11" xfId="22510" xr:uid="{00000000-0005-0000-0000-000049500000}"/>
    <cellStyle name="Normal 49 2" xfId="4654" xr:uid="{00000000-0005-0000-0000-00004A500000}"/>
    <cellStyle name="Normal 49 2 2" xfId="4655" xr:uid="{00000000-0005-0000-0000-00004B500000}"/>
    <cellStyle name="Normal 49 2 3" xfId="14010" xr:uid="{00000000-0005-0000-0000-00004C500000}"/>
    <cellStyle name="Normal 49 2 3 2" xfId="30554" xr:uid="{00000000-0005-0000-0000-00004D500000}"/>
    <cellStyle name="Normal 49 2 4" xfId="22511" xr:uid="{00000000-0005-0000-0000-00004E500000}"/>
    <cellStyle name="Normal 49 3" xfId="4656" xr:uid="{00000000-0005-0000-0000-00004F500000}"/>
    <cellStyle name="Normal 49 3 2" xfId="4657" xr:uid="{00000000-0005-0000-0000-000050500000}"/>
    <cellStyle name="Normal 49 3 2 2" xfId="4658" xr:uid="{00000000-0005-0000-0000-000051500000}"/>
    <cellStyle name="Normal 49 3 2 2 2" xfId="4659" xr:uid="{00000000-0005-0000-0000-000052500000}"/>
    <cellStyle name="Normal 49 3 2 2 2 2" xfId="8655" xr:uid="{00000000-0005-0000-0000-000053500000}"/>
    <cellStyle name="Normal 49 3 2 2 2 2 2" xfId="17831" xr:uid="{00000000-0005-0000-0000-000054500000}"/>
    <cellStyle name="Normal 49 3 2 2 2 2 2 2" xfId="34405" xr:uid="{00000000-0005-0000-0000-000055500000}"/>
    <cellStyle name="Normal 49 3 2 2 2 2 3" xfId="26358" xr:uid="{00000000-0005-0000-0000-000056500000}"/>
    <cellStyle name="Normal 49 3 2 2 2 3" xfId="14013" xr:uid="{00000000-0005-0000-0000-000057500000}"/>
    <cellStyle name="Normal 49 3 2 2 2 3 2" xfId="30557" xr:uid="{00000000-0005-0000-0000-000058500000}"/>
    <cellStyle name="Normal 49 3 2 2 2 4" xfId="22514" xr:uid="{00000000-0005-0000-0000-000059500000}"/>
    <cellStyle name="Normal 49 3 2 2 3" xfId="8656" xr:uid="{00000000-0005-0000-0000-00005A500000}"/>
    <cellStyle name="Normal 49 3 2 2 3 2" xfId="17832" xr:uid="{00000000-0005-0000-0000-00005B500000}"/>
    <cellStyle name="Normal 49 3 2 2 3 2 2" xfId="34406" xr:uid="{00000000-0005-0000-0000-00005C500000}"/>
    <cellStyle name="Normal 49 3 2 2 3 3" xfId="26359" xr:uid="{00000000-0005-0000-0000-00005D500000}"/>
    <cellStyle name="Normal 49 3 2 2 4" xfId="14012" xr:uid="{00000000-0005-0000-0000-00005E500000}"/>
    <cellStyle name="Normal 49 3 2 2 4 2" xfId="30556" xr:uid="{00000000-0005-0000-0000-00005F500000}"/>
    <cellStyle name="Normal 49 3 2 2 5" xfId="22513" xr:uid="{00000000-0005-0000-0000-000060500000}"/>
    <cellStyle name="Normal 49 3 2 3" xfId="4660" xr:uid="{00000000-0005-0000-0000-000061500000}"/>
    <cellStyle name="Normal 49 3 2 3 2" xfId="8657" xr:uid="{00000000-0005-0000-0000-000062500000}"/>
    <cellStyle name="Normal 49 3 2 3 2 2" xfId="17833" xr:uid="{00000000-0005-0000-0000-000063500000}"/>
    <cellStyle name="Normal 49 3 2 3 2 2 2" xfId="34407" xr:uid="{00000000-0005-0000-0000-000064500000}"/>
    <cellStyle name="Normal 49 3 2 3 2 3" xfId="26360" xr:uid="{00000000-0005-0000-0000-000065500000}"/>
    <cellStyle name="Normal 49 3 2 3 3" xfId="14014" xr:uid="{00000000-0005-0000-0000-000066500000}"/>
    <cellStyle name="Normal 49 3 2 3 3 2" xfId="30558" xr:uid="{00000000-0005-0000-0000-000067500000}"/>
    <cellStyle name="Normal 49 3 2 3 4" xfId="22515" xr:uid="{00000000-0005-0000-0000-000068500000}"/>
    <cellStyle name="Normal 49 3 2 4" xfId="8658" xr:uid="{00000000-0005-0000-0000-000069500000}"/>
    <cellStyle name="Normal 49 3 2 4 2" xfId="17834" xr:uid="{00000000-0005-0000-0000-00006A500000}"/>
    <cellStyle name="Normal 49 3 2 4 2 2" xfId="34408" xr:uid="{00000000-0005-0000-0000-00006B500000}"/>
    <cellStyle name="Normal 49 3 2 4 3" xfId="26361" xr:uid="{00000000-0005-0000-0000-00006C500000}"/>
    <cellStyle name="Normal 49 3 2 5" xfId="14011" xr:uid="{00000000-0005-0000-0000-00006D500000}"/>
    <cellStyle name="Normal 49 3 2 5 2" xfId="30555" xr:uid="{00000000-0005-0000-0000-00006E500000}"/>
    <cellStyle name="Normal 49 3 2 6" xfId="22512" xr:uid="{00000000-0005-0000-0000-00006F500000}"/>
    <cellStyle name="Normal 49 3 3" xfId="4661" xr:uid="{00000000-0005-0000-0000-000070500000}"/>
    <cellStyle name="Normal 49 3 3 2" xfId="4662" xr:uid="{00000000-0005-0000-0000-000071500000}"/>
    <cellStyle name="Normal 49 3 3 2 2" xfId="8659" xr:uid="{00000000-0005-0000-0000-000072500000}"/>
    <cellStyle name="Normal 49 3 3 2 2 2" xfId="17835" xr:uid="{00000000-0005-0000-0000-000073500000}"/>
    <cellStyle name="Normal 49 3 3 2 2 2 2" xfId="34409" xr:uid="{00000000-0005-0000-0000-000074500000}"/>
    <cellStyle name="Normal 49 3 3 2 2 3" xfId="26362" xr:uid="{00000000-0005-0000-0000-000075500000}"/>
    <cellStyle name="Normal 49 3 3 2 3" xfId="14016" xr:uid="{00000000-0005-0000-0000-000076500000}"/>
    <cellStyle name="Normal 49 3 3 2 3 2" xfId="30560" xr:uid="{00000000-0005-0000-0000-000077500000}"/>
    <cellStyle name="Normal 49 3 3 2 4" xfId="22517" xr:uid="{00000000-0005-0000-0000-000078500000}"/>
    <cellStyle name="Normal 49 3 3 3" xfId="8660" xr:uid="{00000000-0005-0000-0000-000079500000}"/>
    <cellStyle name="Normal 49 3 3 3 2" xfId="17836" xr:uid="{00000000-0005-0000-0000-00007A500000}"/>
    <cellStyle name="Normal 49 3 3 3 2 2" xfId="34410" xr:uid="{00000000-0005-0000-0000-00007B500000}"/>
    <cellStyle name="Normal 49 3 3 3 3" xfId="26363" xr:uid="{00000000-0005-0000-0000-00007C500000}"/>
    <cellStyle name="Normal 49 3 3 4" xfId="14015" xr:uid="{00000000-0005-0000-0000-00007D500000}"/>
    <cellStyle name="Normal 49 3 3 4 2" xfId="30559" xr:uid="{00000000-0005-0000-0000-00007E500000}"/>
    <cellStyle name="Normal 49 3 3 5" xfId="22516" xr:uid="{00000000-0005-0000-0000-00007F500000}"/>
    <cellStyle name="Normal 49 3 4" xfId="4663" xr:uid="{00000000-0005-0000-0000-000080500000}"/>
    <cellStyle name="Normal 49 3 4 2" xfId="8661" xr:uid="{00000000-0005-0000-0000-000081500000}"/>
    <cellStyle name="Normal 49 3 4 2 2" xfId="17837" xr:uid="{00000000-0005-0000-0000-000082500000}"/>
    <cellStyle name="Normal 49 3 4 2 2 2" xfId="34411" xr:uid="{00000000-0005-0000-0000-000083500000}"/>
    <cellStyle name="Normal 49 3 4 2 3" xfId="26364" xr:uid="{00000000-0005-0000-0000-000084500000}"/>
    <cellStyle name="Normal 49 3 4 3" xfId="14017" xr:uid="{00000000-0005-0000-0000-000085500000}"/>
    <cellStyle name="Normal 49 3 4 3 2" xfId="30561" xr:uid="{00000000-0005-0000-0000-000086500000}"/>
    <cellStyle name="Normal 49 3 4 4" xfId="22518" xr:uid="{00000000-0005-0000-0000-000087500000}"/>
    <cellStyle name="Normal 49 3 5" xfId="4664" xr:uid="{00000000-0005-0000-0000-000088500000}"/>
    <cellStyle name="Normal 49 3 5 2" xfId="14018" xr:uid="{00000000-0005-0000-0000-000089500000}"/>
    <cellStyle name="Normal 49 3 5 2 2" xfId="30562" xr:uid="{00000000-0005-0000-0000-00008A500000}"/>
    <cellStyle name="Normal 49 3 5 3" xfId="22519" xr:uid="{00000000-0005-0000-0000-00008B500000}"/>
    <cellStyle name="Normal 49 4" xfId="4665" xr:uid="{00000000-0005-0000-0000-00008C500000}"/>
    <cellStyle name="Normal 49 4 2" xfId="4666" xr:uid="{00000000-0005-0000-0000-00008D500000}"/>
    <cellStyle name="Normal 49 4 2 2" xfId="4667" xr:uid="{00000000-0005-0000-0000-00008E500000}"/>
    <cellStyle name="Normal 49 4 2 2 2" xfId="4668" xr:uid="{00000000-0005-0000-0000-00008F500000}"/>
    <cellStyle name="Normal 49 4 2 2 2 2" xfId="8662" xr:uid="{00000000-0005-0000-0000-000090500000}"/>
    <cellStyle name="Normal 49 4 2 2 2 2 2" xfId="17838" xr:uid="{00000000-0005-0000-0000-000091500000}"/>
    <cellStyle name="Normal 49 4 2 2 2 2 2 2" xfId="34412" xr:uid="{00000000-0005-0000-0000-000092500000}"/>
    <cellStyle name="Normal 49 4 2 2 2 2 3" xfId="26365" xr:uid="{00000000-0005-0000-0000-000093500000}"/>
    <cellStyle name="Normal 49 4 2 2 2 3" xfId="14022" xr:uid="{00000000-0005-0000-0000-000094500000}"/>
    <cellStyle name="Normal 49 4 2 2 2 3 2" xfId="30566" xr:uid="{00000000-0005-0000-0000-000095500000}"/>
    <cellStyle name="Normal 49 4 2 2 2 4" xfId="22523" xr:uid="{00000000-0005-0000-0000-000096500000}"/>
    <cellStyle name="Normal 49 4 2 2 3" xfId="8663" xr:uid="{00000000-0005-0000-0000-000097500000}"/>
    <cellStyle name="Normal 49 4 2 2 3 2" xfId="17839" xr:uid="{00000000-0005-0000-0000-000098500000}"/>
    <cellStyle name="Normal 49 4 2 2 3 2 2" xfId="34413" xr:uid="{00000000-0005-0000-0000-000099500000}"/>
    <cellStyle name="Normal 49 4 2 2 3 3" xfId="26366" xr:uid="{00000000-0005-0000-0000-00009A500000}"/>
    <cellStyle name="Normal 49 4 2 2 4" xfId="14021" xr:uid="{00000000-0005-0000-0000-00009B500000}"/>
    <cellStyle name="Normal 49 4 2 2 4 2" xfId="30565" xr:uid="{00000000-0005-0000-0000-00009C500000}"/>
    <cellStyle name="Normal 49 4 2 2 5" xfId="22522" xr:uid="{00000000-0005-0000-0000-00009D500000}"/>
    <cellStyle name="Normal 49 4 2 3" xfId="4669" xr:uid="{00000000-0005-0000-0000-00009E500000}"/>
    <cellStyle name="Normal 49 4 2 3 2" xfId="8664" xr:uid="{00000000-0005-0000-0000-00009F500000}"/>
    <cellStyle name="Normal 49 4 2 3 2 2" xfId="17840" xr:uid="{00000000-0005-0000-0000-0000A0500000}"/>
    <cellStyle name="Normal 49 4 2 3 2 2 2" xfId="34414" xr:uid="{00000000-0005-0000-0000-0000A1500000}"/>
    <cellStyle name="Normal 49 4 2 3 2 3" xfId="26367" xr:uid="{00000000-0005-0000-0000-0000A2500000}"/>
    <cellStyle name="Normal 49 4 2 3 3" xfId="14023" xr:uid="{00000000-0005-0000-0000-0000A3500000}"/>
    <cellStyle name="Normal 49 4 2 3 3 2" xfId="30567" xr:uid="{00000000-0005-0000-0000-0000A4500000}"/>
    <cellStyle name="Normal 49 4 2 3 4" xfId="22524" xr:uid="{00000000-0005-0000-0000-0000A5500000}"/>
    <cellStyle name="Normal 49 4 2 4" xfId="8665" xr:uid="{00000000-0005-0000-0000-0000A6500000}"/>
    <cellStyle name="Normal 49 4 2 4 2" xfId="17841" xr:uid="{00000000-0005-0000-0000-0000A7500000}"/>
    <cellStyle name="Normal 49 4 2 4 2 2" xfId="34415" xr:uid="{00000000-0005-0000-0000-0000A8500000}"/>
    <cellStyle name="Normal 49 4 2 4 3" xfId="26368" xr:uid="{00000000-0005-0000-0000-0000A9500000}"/>
    <cellStyle name="Normal 49 4 2 5" xfId="14020" xr:uid="{00000000-0005-0000-0000-0000AA500000}"/>
    <cellStyle name="Normal 49 4 2 5 2" xfId="30564" xr:uid="{00000000-0005-0000-0000-0000AB500000}"/>
    <cellStyle name="Normal 49 4 2 6" xfId="22521" xr:uid="{00000000-0005-0000-0000-0000AC500000}"/>
    <cellStyle name="Normal 49 4 3" xfId="4670" xr:uid="{00000000-0005-0000-0000-0000AD500000}"/>
    <cellStyle name="Normal 49 4 3 2" xfId="4671" xr:uid="{00000000-0005-0000-0000-0000AE500000}"/>
    <cellStyle name="Normal 49 4 3 2 2" xfId="8666" xr:uid="{00000000-0005-0000-0000-0000AF500000}"/>
    <cellStyle name="Normal 49 4 3 2 2 2" xfId="17842" xr:uid="{00000000-0005-0000-0000-0000B0500000}"/>
    <cellStyle name="Normal 49 4 3 2 2 2 2" xfId="34416" xr:uid="{00000000-0005-0000-0000-0000B1500000}"/>
    <cellStyle name="Normal 49 4 3 2 2 3" xfId="26369" xr:uid="{00000000-0005-0000-0000-0000B2500000}"/>
    <cellStyle name="Normal 49 4 3 2 3" xfId="14025" xr:uid="{00000000-0005-0000-0000-0000B3500000}"/>
    <cellStyle name="Normal 49 4 3 2 3 2" xfId="30569" xr:uid="{00000000-0005-0000-0000-0000B4500000}"/>
    <cellStyle name="Normal 49 4 3 2 4" xfId="22526" xr:uid="{00000000-0005-0000-0000-0000B5500000}"/>
    <cellStyle name="Normal 49 4 3 3" xfId="8667" xr:uid="{00000000-0005-0000-0000-0000B6500000}"/>
    <cellStyle name="Normal 49 4 3 3 2" xfId="17843" xr:uid="{00000000-0005-0000-0000-0000B7500000}"/>
    <cellStyle name="Normal 49 4 3 3 2 2" xfId="34417" xr:uid="{00000000-0005-0000-0000-0000B8500000}"/>
    <cellStyle name="Normal 49 4 3 3 3" xfId="26370" xr:uid="{00000000-0005-0000-0000-0000B9500000}"/>
    <cellStyle name="Normal 49 4 3 4" xfId="14024" xr:uid="{00000000-0005-0000-0000-0000BA500000}"/>
    <cellStyle name="Normal 49 4 3 4 2" xfId="30568" xr:uid="{00000000-0005-0000-0000-0000BB500000}"/>
    <cellStyle name="Normal 49 4 3 5" xfId="22525" xr:uid="{00000000-0005-0000-0000-0000BC500000}"/>
    <cellStyle name="Normal 49 4 4" xfId="4672" xr:uid="{00000000-0005-0000-0000-0000BD500000}"/>
    <cellStyle name="Normal 49 4 4 2" xfId="8668" xr:uid="{00000000-0005-0000-0000-0000BE500000}"/>
    <cellStyle name="Normal 49 4 4 2 2" xfId="17844" xr:uid="{00000000-0005-0000-0000-0000BF500000}"/>
    <cellStyle name="Normal 49 4 4 2 2 2" xfId="34418" xr:uid="{00000000-0005-0000-0000-0000C0500000}"/>
    <cellStyle name="Normal 49 4 4 2 3" xfId="26371" xr:uid="{00000000-0005-0000-0000-0000C1500000}"/>
    <cellStyle name="Normal 49 4 4 3" xfId="14026" xr:uid="{00000000-0005-0000-0000-0000C2500000}"/>
    <cellStyle name="Normal 49 4 4 3 2" xfId="30570" xr:uid="{00000000-0005-0000-0000-0000C3500000}"/>
    <cellStyle name="Normal 49 4 4 4" xfId="22527" xr:uid="{00000000-0005-0000-0000-0000C4500000}"/>
    <cellStyle name="Normal 49 4 5" xfId="8669" xr:uid="{00000000-0005-0000-0000-0000C5500000}"/>
    <cellStyle name="Normal 49 4 5 2" xfId="17845" xr:uid="{00000000-0005-0000-0000-0000C6500000}"/>
    <cellStyle name="Normal 49 4 5 2 2" xfId="34419" xr:uid="{00000000-0005-0000-0000-0000C7500000}"/>
    <cellStyle name="Normal 49 4 5 3" xfId="26372" xr:uid="{00000000-0005-0000-0000-0000C8500000}"/>
    <cellStyle name="Normal 49 4 6" xfId="14019" xr:uid="{00000000-0005-0000-0000-0000C9500000}"/>
    <cellStyle name="Normal 49 4 6 2" xfId="30563" xr:uid="{00000000-0005-0000-0000-0000CA500000}"/>
    <cellStyle name="Normal 49 4 7" xfId="22520" xr:uid="{00000000-0005-0000-0000-0000CB500000}"/>
    <cellStyle name="Normal 49 5" xfId="4673" xr:uid="{00000000-0005-0000-0000-0000CC500000}"/>
    <cellStyle name="Normal 49 5 2" xfId="4674" xr:uid="{00000000-0005-0000-0000-0000CD500000}"/>
    <cellStyle name="Normal 49 5 2 2" xfId="4675" xr:uid="{00000000-0005-0000-0000-0000CE500000}"/>
    <cellStyle name="Normal 49 5 2 2 2" xfId="4676" xr:uid="{00000000-0005-0000-0000-0000CF500000}"/>
    <cellStyle name="Normal 49 5 2 2 2 2" xfId="8670" xr:uid="{00000000-0005-0000-0000-0000D0500000}"/>
    <cellStyle name="Normal 49 5 2 2 2 2 2" xfId="17846" xr:uid="{00000000-0005-0000-0000-0000D1500000}"/>
    <cellStyle name="Normal 49 5 2 2 2 2 2 2" xfId="34420" xr:uid="{00000000-0005-0000-0000-0000D2500000}"/>
    <cellStyle name="Normal 49 5 2 2 2 2 3" xfId="26373" xr:uid="{00000000-0005-0000-0000-0000D3500000}"/>
    <cellStyle name="Normal 49 5 2 2 2 3" xfId="14030" xr:uid="{00000000-0005-0000-0000-0000D4500000}"/>
    <cellStyle name="Normal 49 5 2 2 2 3 2" xfId="30574" xr:uid="{00000000-0005-0000-0000-0000D5500000}"/>
    <cellStyle name="Normal 49 5 2 2 2 4" xfId="22531" xr:uid="{00000000-0005-0000-0000-0000D6500000}"/>
    <cellStyle name="Normal 49 5 2 2 3" xfId="8671" xr:uid="{00000000-0005-0000-0000-0000D7500000}"/>
    <cellStyle name="Normal 49 5 2 2 3 2" xfId="17847" xr:uid="{00000000-0005-0000-0000-0000D8500000}"/>
    <cellStyle name="Normal 49 5 2 2 3 2 2" xfId="34421" xr:uid="{00000000-0005-0000-0000-0000D9500000}"/>
    <cellStyle name="Normal 49 5 2 2 3 3" xfId="26374" xr:uid="{00000000-0005-0000-0000-0000DA500000}"/>
    <cellStyle name="Normal 49 5 2 2 4" xfId="14029" xr:uid="{00000000-0005-0000-0000-0000DB500000}"/>
    <cellStyle name="Normal 49 5 2 2 4 2" xfId="30573" xr:uid="{00000000-0005-0000-0000-0000DC500000}"/>
    <cellStyle name="Normal 49 5 2 2 5" xfId="22530" xr:uid="{00000000-0005-0000-0000-0000DD500000}"/>
    <cellStyle name="Normal 49 5 2 3" xfId="4677" xr:uid="{00000000-0005-0000-0000-0000DE500000}"/>
    <cellStyle name="Normal 49 5 2 3 2" xfId="8672" xr:uid="{00000000-0005-0000-0000-0000DF500000}"/>
    <cellStyle name="Normal 49 5 2 3 2 2" xfId="17848" xr:uid="{00000000-0005-0000-0000-0000E0500000}"/>
    <cellStyle name="Normal 49 5 2 3 2 2 2" xfId="34422" xr:uid="{00000000-0005-0000-0000-0000E1500000}"/>
    <cellStyle name="Normal 49 5 2 3 2 3" xfId="26375" xr:uid="{00000000-0005-0000-0000-0000E2500000}"/>
    <cellStyle name="Normal 49 5 2 3 3" xfId="14031" xr:uid="{00000000-0005-0000-0000-0000E3500000}"/>
    <cellStyle name="Normal 49 5 2 3 3 2" xfId="30575" xr:uid="{00000000-0005-0000-0000-0000E4500000}"/>
    <cellStyle name="Normal 49 5 2 3 4" xfId="22532" xr:uid="{00000000-0005-0000-0000-0000E5500000}"/>
    <cellStyle name="Normal 49 5 2 4" xfId="8673" xr:uid="{00000000-0005-0000-0000-0000E6500000}"/>
    <cellStyle name="Normal 49 5 2 4 2" xfId="17849" xr:uid="{00000000-0005-0000-0000-0000E7500000}"/>
    <cellStyle name="Normal 49 5 2 4 2 2" xfId="34423" xr:uid="{00000000-0005-0000-0000-0000E8500000}"/>
    <cellStyle name="Normal 49 5 2 4 3" xfId="26376" xr:uid="{00000000-0005-0000-0000-0000E9500000}"/>
    <cellStyle name="Normal 49 5 2 5" xfId="14028" xr:uid="{00000000-0005-0000-0000-0000EA500000}"/>
    <cellStyle name="Normal 49 5 2 5 2" xfId="30572" xr:uid="{00000000-0005-0000-0000-0000EB500000}"/>
    <cellStyle name="Normal 49 5 2 6" xfId="22529" xr:uid="{00000000-0005-0000-0000-0000EC500000}"/>
    <cellStyle name="Normal 49 5 3" xfId="4678" xr:uid="{00000000-0005-0000-0000-0000ED500000}"/>
    <cellStyle name="Normal 49 5 3 2" xfId="4679" xr:uid="{00000000-0005-0000-0000-0000EE500000}"/>
    <cellStyle name="Normal 49 5 3 2 2" xfId="8674" xr:uid="{00000000-0005-0000-0000-0000EF500000}"/>
    <cellStyle name="Normal 49 5 3 2 2 2" xfId="17850" xr:uid="{00000000-0005-0000-0000-0000F0500000}"/>
    <cellStyle name="Normal 49 5 3 2 2 2 2" xfId="34424" xr:uid="{00000000-0005-0000-0000-0000F1500000}"/>
    <cellStyle name="Normal 49 5 3 2 2 3" xfId="26377" xr:uid="{00000000-0005-0000-0000-0000F2500000}"/>
    <cellStyle name="Normal 49 5 3 2 3" xfId="14033" xr:uid="{00000000-0005-0000-0000-0000F3500000}"/>
    <cellStyle name="Normal 49 5 3 2 3 2" xfId="30577" xr:uid="{00000000-0005-0000-0000-0000F4500000}"/>
    <cellStyle name="Normal 49 5 3 2 4" xfId="22534" xr:uid="{00000000-0005-0000-0000-0000F5500000}"/>
    <cellStyle name="Normal 49 5 3 3" xfId="8675" xr:uid="{00000000-0005-0000-0000-0000F6500000}"/>
    <cellStyle name="Normal 49 5 3 3 2" xfId="17851" xr:uid="{00000000-0005-0000-0000-0000F7500000}"/>
    <cellStyle name="Normal 49 5 3 3 2 2" xfId="34425" xr:uid="{00000000-0005-0000-0000-0000F8500000}"/>
    <cellStyle name="Normal 49 5 3 3 3" xfId="26378" xr:uid="{00000000-0005-0000-0000-0000F9500000}"/>
    <cellStyle name="Normal 49 5 3 4" xfId="14032" xr:uid="{00000000-0005-0000-0000-0000FA500000}"/>
    <cellStyle name="Normal 49 5 3 4 2" xfId="30576" xr:uid="{00000000-0005-0000-0000-0000FB500000}"/>
    <cellStyle name="Normal 49 5 3 5" xfId="22533" xr:uid="{00000000-0005-0000-0000-0000FC500000}"/>
    <cellStyle name="Normal 49 5 4" xfId="4680" xr:uid="{00000000-0005-0000-0000-0000FD500000}"/>
    <cellStyle name="Normal 49 5 4 2" xfId="8676" xr:uid="{00000000-0005-0000-0000-0000FE500000}"/>
    <cellStyle name="Normal 49 5 4 2 2" xfId="17852" xr:uid="{00000000-0005-0000-0000-0000FF500000}"/>
    <cellStyle name="Normal 49 5 4 2 2 2" xfId="34426" xr:uid="{00000000-0005-0000-0000-000000510000}"/>
    <cellStyle name="Normal 49 5 4 2 3" xfId="26379" xr:uid="{00000000-0005-0000-0000-000001510000}"/>
    <cellStyle name="Normal 49 5 4 3" xfId="14034" xr:uid="{00000000-0005-0000-0000-000002510000}"/>
    <cellStyle name="Normal 49 5 4 3 2" xfId="30578" xr:uid="{00000000-0005-0000-0000-000003510000}"/>
    <cellStyle name="Normal 49 5 4 4" xfId="22535" xr:uid="{00000000-0005-0000-0000-000004510000}"/>
    <cellStyle name="Normal 49 5 5" xfId="8677" xr:uid="{00000000-0005-0000-0000-000005510000}"/>
    <cellStyle name="Normal 49 5 5 2" xfId="17853" xr:uid="{00000000-0005-0000-0000-000006510000}"/>
    <cellStyle name="Normal 49 5 5 2 2" xfId="34427" xr:uid="{00000000-0005-0000-0000-000007510000}"/>
    <cellStyle name="Normal 49 5 5 3" xfId="26380" xr:uid="{00000000-0005-0000-0000-000008510000}"/>
    <cellStyle name="Normal 49 5 6" xfId="14027" xr:uid="{00000000-0005-0000-0000-000009510000}"/>
    <cellStyle name="Normal 49 5 6 2" xfId="30571" xr:uid="{00000000-0005-0000-0000-00000A510000}"/>
    <cellStyle name="Normal 49 5 7" xfId="22528" xr:uid="{00000000-0005-0000-0000-00000B510000}"/>
    <cellStyle name="Normal 49 6" xfId="4681" xr:uid="{00000000-0005-0000-0000-00000C510000}"/>
    <cellStyle name="Normal 49 6 2" xfId="4682" xr:uid="{00000000-0005-0000-0000-00000D510000}"/>
    <cellStyle name="Normal 49 6 2 2" xfId="4683" xr:uid="{00000000-0005-0000-0000-00000E510000}"/>
    <cellStyle name="Normal 49 6 2 2 2" xfId="8678" xr:uid="{00000000-0005-0000-0000-00000F510000}"/>
    <cellStyle name="Normal 49 6 2 2 2 2" xfId="17854" xr:uid="{00000000-0005-0000-0000-000010510000}"/>
    <cellStyle name="Normal 49 6 2 2 2 2 2" xfId="34428" xr:uid="{00000000-0005-0000-0000-000011510000}"/>
    <cellStyle name="Normal 49 6 2 2 2 3" xfId="26381" xr:uid="{00000000-0005-0000-0000-000012510000}"/>
    <cellStyle name="Normal 49 6 2 2 3" xfId="14037" xr:uid="{00000000-0005-0000-0000-000013510000}"/>
    <cellStyle name="Normal 49 6 2 2 3 2" xfId="30581" xr:uid="{00000000-0005-0000-0000-000014510000}"/>
    <cellStyle name="Normal 49 6 2 2 4" xfId="22538" xr:uid="{00000000-0005-0000-0000-000015510000}"/>
    <cellStyle name="Normal 49 6 2 3" xfId="8679" xr:uid="{00000000-0005-0000-0000-000016510000}"/>
    <cellStyle name="Normal 49 6 2 3 2" xfId="17855" xr:uid="{00000000-0005-0000-0000-000017510000}"/>
    <cellStyle name="Normal 49 6 2 3 2 2" xfId="34429" xr:uid="{00000000-0005-0000-0000-000018510000}"/>
    <cellStyle name="Normal 49 6 2 3 3" xfId="26382" xr:uid="{00000000-0005-0000-0000-000019510000}"/>
    <cellStyle name="Normal 49 6 2 4" xfId="14036" xr:uid="{00000000-0005-0000-0000-00001A510000}"/>
    <cellStyle name="Normal 49 6 2 4 2" xfId="30580" xr:uid="{00000000-0005-0000-0000-00001B510000}"/>
    <cellStyle name="Normal 49 6 2 5" xfId="22537" xr:uid="{00000000-0005-0000-0000-00001C510000}"/>
    <cellStyle name="Normal 49 6 3" xfId="4684" xr:uid="{00000000-0005-0000-0000-00001D510000}"/>
    <cellStyle name="Normal 49 6 3 2" xfId="8680" xr:uid="{00000000-0005-0000-0000-00001E510000}"/>
    <cellStyle name="Normal 49 6 3 2 2" xfId="17856" xr:uid="{00000000-0005-0000-0000-00001F510000}"/>
    <cellStyle name="Normal 49 6 3 2 2 2" xfId="34430" xr:uid="{00000000-0005-0000-0000-000020510000}"/>
    <cellStyle name="Normal 49 6 3 2 3" xfId="26383" xr:uid="{00000000-0005-0000-0000-000021510000}"/>
    <cellStyle name="Normal 49 6 3 3" xfId="14038" xr:uid="{00000000-0005-0000-0000-000022510000}"/>
    <cellStyle name="Normal 49 6 3 3 2" xfId="30582" xr:uid="{00000000-0005-0000-0000-000023510000}"/>
    <cellStyle name="Normal 49 6 3 4" xfId="22539" xr:uid="{00000000-0005-0000-0000-000024510000}"/>
    <cellStyle name="Normal 49 6 4" xfId="8681" xr:uid="{00000000-0005-0000-0000-000025510000}"/>
    <cellStyle name="Normal 49 6 4 2" xfId="17857" xr:uid="{00000000-0005-0000-0000-000026510000}"/>
    <cellStyle name="Normal 49 6 4 2 2" xfId="34431" xr:uid="{00000000-0005-0000-0000-000027510000}"/>
    <cellStyle name="Normal 49 6 4 3" xfId="26384" xr:uid="{00000000-0005-0000-0000-000028510000}"/>
    <cellStyle name="Normal 49 6 5" xfId="14035" xr:uid="{00000000-0005-0000-0000-000029510000}"/>
    <cellStyle name="Normal 49 6 5 2" xfId="30579" xr:uid="{00000000-0005-0000-0000-00002A510000}"/>
    <cellStyle name="Normal 49 6 6" xfId="22536" xr:uid="{00000000-0005-0000-0000-00002B510000}"/>
    <cellStyle name="Normal 49 7" xfId="4685" xr:uid="{00000000-0005-0000-0000-00002C510000}"/>
    <cellStyle name="Normal 49 7 2" xfId="4686" xr:uid="{00000000-0005-0000-0000-00002D510000}"/>
    <cellStyle name="Normal 49 7 2 2" xfId="8682" xr:uid="{00000000-0005-0000-0000-00002E510000}"/>
    <cellStyle name="Normal 49 7 2 2 2" xfId="17858" xr:uid="{00000000-0005-0000-0000-00002F510000}"/>
    <cellStyle name="Normal 49 7 2 2 2 2" xfId="34432" xr:uid="{00000000-0005-0000-0000-000030510000}"/>
    <cellStyle name="Normal 49 7 2 2 3" xfId="26385" xr:uid="{00000000-0005-0000-0000-000031510000}"/>
    <cellStyle name="Normal 49 7 2 3" xfId="14040" xr:uid="{00000000-0005-0000-0000-000032510000}"/>
    <cellStyle name="Normal 49 7 2 3 2" xfId="30584" xr:uid="{00000000-0005-0000-0000-000033510000}"/>
    <cellStyle name="Normal 49 7 2 4" xfId="22541" xr:uid="{00000000-0005-0000-0000-000034510000}"/>
    <cellStyle name="Normal 49 7 3" xfId="8683" xr:uid="{00000000-0005-0000-0000-000035510000}"/>
    <cellStyle name="Normal 49 7 3 2" xfId="17859" xr:uid="{00000000-0005-0000-0000-000036510000}"/>
    <cellStyle name="Normal 49 7 3 2 2" xfId="34433" xr:uid="{00000000-0005-0000-0000-000037510000}"/>
    <cellStyle name="Normal 49 7 3 3" xfId="26386" xr:uid="{00000000-0005-0000-0000-000038510000}"/>
    <cellStyle name="Normal 49 7 4" xfId="14039" xr:uid="{00000000-0005-0000-0000-000039510000}"/>
    <cellStyle name="Normal 49 7 4 2" xfId="30583" xr:uid="{00000000-0005-0000-0000-00003A510000}"/>
    <cellStyle name="Normal 49 7 5" xfId="22540" xr:uid="{00000000-0005-0000-0000-00003B510000}"/>
    <cellStyle name="Normal 49 8" xfId="4687" xr:uid="{00000000-0005-0000-0000-00003C510000}"/>
    <cellStyle name="Normal 49 8 2" xfId="8684" xr:uid="{00000000-0005-0000-0000-00003D510000}"/>
    <cellStyle name="Normal 49 8 2 2" xfId="17860" xr:uid="{00000000-0005-0000-0000-00003E510000}"/>
    <cellStyle name="Normal 49 8 2 2 2" xfId="34434" xr:uid="{00000000-0005-0000-0000-00003F510000}"/>
    <cellStyle name="Normal 49 8 2 3" xfId="26387" xr:uid="{00000000-0005-0000-0000-000040510000}"/>
    <cellStyle name="Normal 49 8 3" xfId="14041" xr:uid="{00000000-0005-0000-0000-000041510000}"/>
    <cellStyle name="Normal 49 8 3 2" xfId="30585" xr:uid="{00000000-0005-0000-0000-000042510000}"/>
    <cellStyle name="Normal 49 8 4" xfId="22542" xr:uid="{00000000-0005-0000-0000-000043510000}"/>
    <cellStyle name="Normal 49 9" xfId="8685" xr:uid="{00000000-0005-0000-0000-000044510000}"/>
    <cellStyle name="Normal 49 9 2" xfId="17861" xr:uid="{00000000-0005-0000-0000-000045510000}"/>
    <cellStyle name="Normal 49 9 2 2" xfId="34435" xr:uid="{00000000-0005-0000-0000-000046510000}"/>
    <cellStyle name="Normal 49 9 3" xfId="26388" xr:uid="{00000000-0005-0000-0000-000047510000}"/>
    <cellStyle name="Normal 5" xfId="52" xr:uid="{00000000-0005-0000-0000-000048510000}"/>
    <cellStyle name="Normal 5 10" xfId="8687" xr:uid="{00000000-0005-0000-0000-000049510000}"/>
    <cellStyle name="Normal 5 10 2" xfId="17862" xr:uid="{00000000-0005-0000-0000-00004A510000}"/>
    <cellStyle name="Normal 5 10 2 2" xfId="34436" xr:uid="{00000000-0005-0000-0000-00004B510000}"/>
    <cellStyle name="Normal 5 10 3" xfId="26389" xr:uid="{00000000-0005-0000-0000-00004C510000}"/>
    <cellStyle name="Normal 5 11" xfId="8686" xr:uid="{00000000-0005-0000-0000-00004D510000}"/>
    <cellStyle name="Normal 5 12" xfId="6627" xr:uid="{00000000-0005-0000-0000-00004E510000}"/>
    <cellStyle name="Normal 5 13" xfId="10915" xr:uid="{00000000-0005-0000-0000-00004F510000}"/>
    <cellStyle name="Normal 5 13 2" xfId="30586" xr:uid="{00000000-0005-0000-0000-000050510000}"/>
    <cellStyle name="Normal 5 14" xfId="22543" xr:uid="{00000000-0005-0000-0000-000051510000}"/>
    <cellStyle name="Normal 5 2" xfId="322" xr:uid="{00000000-0005-0000-0000-000052510000}"/>
    <cellStyle name="Normal 5 2 2" xfId="323" xr:uid="{00000000-0005-0000-0000-000053510000}"/>
    <cellStyle name="Normal 5 2 2 2" xfId="4689" xr:uid="{00000000-0005-0000-0000-000054510000}"/>
    <cellStyle name="Normal 5 2 3" xfId="4688" xr:uid="{00000000-0005-0000-0000-000055510000}"/>
    <cellStyle name="Normal 5 2 3 2" xfId="30587" xr:uid="{00000000-0005-0000-0000-000056510000}"/>
    <cellStyle name="Normal 5 2 4" xfId="22544" xr:uid="{00000000-0005-0000-0000-000057510000}"/>
    <cellStyle name="Normal 5 3" xfId="324" xr:uid="{00000000-0005-0000-0000-000058510000}"/>
    <cellStyle name="Normal 5 3 2" xfId="4691" xr:uid="{00000000-0005-0000-0000-000059510000}"/>
    <cellStyle name="Normal 5 3 2 2" xfId="4692" xr:uid="{00000000-0005-0000-0000-00005A510000}"/>
    <cellStyle name="Normal 5 3 2 2 2" xfId="4693" xr:uid="{00000000-0005-0000-0000-00005B510000}"/>
    <cellStyle name="Normal 5 3 2 2 2 2" xfId="8688" xr:uid="{00000000-0005-0000-0000-00005C510000}"/>
    <cellStyle name="Normal 5 3 2 2 2 2 2" xfId="17863" xr:uid="{00000000-0005-0000-0000-00005D510000}"/>
    <cellStyle name="Normal 5 3 2 2 2 2 2 2" xfId="34437" xr:uid="{00000000-0005-0000-0000-00005E510000}"/>
    <cellStyle name="Normal 5 3 2 2 2 2 3" xfId="26390" xr:uid="{00000000-0005-0000-0000-00005F510000}"/>
    <cellStyle name="Normal 5 3 2 2 2 3" xfId="14044" xr:uid="{00000000-0005-0000-0000-000060510000}"/>
    <cellStyle name="Normal 5 3 2 2 2 3 2" xfId="30590" xr:uid="{00000000-0005-0000-0000-000061510000}"/>
    <cellStyle name="Normal 5 3 2 2 2 4" xfId="22547" xr:uid="{00000000-0005-0000-0000-000062510000}"/>
    <cellStyle name="Normal 5 3 2 2 3" xfId="8689" xr:uid="{00000000-0005-0000-0000-000063510000}"/>
    <cellStyle name="Normal 5 3 2 2 3 2" xfId="17864" xr:uid="{00000000-0005-0000-0000-000064510000}"/>
    <cellStyle name="Normal 5 3 2 2 3 2 2" xfId="34438" xr:uid="{00000000-0005-0000-0000-000065510000}"/>
    <cellStyle name="Normal 5 3 2 2 3 3" xfId="26391" xr:uid="{00000000-0005-0000-0000-000066510000}"/>
    <cellStyle name="Normal 5 3 2 2 4" xfId="14043" xr:uid="{00000000-0005-0000-0000-000067510000}"/>
    <cellStyle name="Normal 5 3 2 2 4 2" xfId="30589" xr:uid="{00000000-0005-0000-0000-000068510000}"/>
    <cellStyle name="Normal 5 3 2 2 5" xfId="22546" xr:uid="{00000000-0005-0000-0000-000069510000}"/>
    <cellStyle name="Normal 5 3 2 3" xfId="4694" xr:uid="{00000000-0005-0000-0000-00006A510000}"/>
    <cellStyle name="Normal 5 3 2 3 2" xfId="8690" xr:uid="{00000000-0005-0000-0000-00006B510000}"/>
    <cellStyle name="Normal 5 3 2 3 2 2" xfId="17865" xr:uid="{00000000-0005-0000-0000-00006C510000}"/>
    <cellStyle name="Normal 5 3 2 3 2 2 2" xfId="34439" xr:uid="{00000000-0005-0000-0000-00006D510000}"/>
    <cellStyle name="Normal 5 3 2 3 2 3" xfId="26392" xr:uid="{00000000-0005-0000-0000-00006E510000}"/>
    <cellStyle name="Normal 5 3 2 3 3" xfId="14045" xr:uid="{00000000-0005-0000-0000-00006F510000}"/>
    <cellStyle name="Normal 5 3 2 3 3 2" xfId="30591" xr:uid="{00000000-0005-0000-0000-000070510000}"/>
    <cellStyle name="Normal 5 3 2 3 4" xfId="22548" xr:uid="{00000000-0005-0000-0000-000071510000}"/>
    <cellStyle name="Normal 5 3 2 4" xfId="8691" xr:uid="{00000000-0005-0000-0000-000072510000}"/>
    <cellStyle name="Normal 5 3 2 4 2" xfId="17866" xr:uid="{00000000-0005-0000-0000-000073510000}"/>
    <cellStyle name="Normal 5 3 2 4 2 2" xfId="34440" xr:uid="{00000000-0005-0000-0000-000074510000}"/>
    <cellStyle name="Normal 5 3 2 4 3" xfId="26393" xr:uid="{00000000-0005-0000-0000-000075510000}"/>
    <cellStyle name="Normal 5 3 2 5" xfId="14042" xr:uid="{00000000-0005-0000-0000-000076510000}"/>
    <cellStyle name="Normal 5 3 2 5 2" xfId="30588" xr:uid="{00000000-0005-0000-0000-000077510000}"/>
    <cellStyle name="Normal 5 3 2 6" xfId="22545" xr:uid="{00000000-0005-0000-0000-000078510000}"/>
    <cellStyle name="Normal 5 3 3" xfId="4695" xr:uid="{00000000-0005-0000-0000-000079510000}"/>
    <cellStyle name="Normal 5 3 3 2" xfId="4696" xr:uid="{00000000-0005-0000-0000-00007A510000}"/>
    <cellStyle name="Normal 5 3 3 2 2" xfId="8692" xr:uid="{00000000-0005-0000-0000-00007B510000}"/>
    <cellStyle name="Normal 5 3 3 2 2 2" xfId="17867" xr:uid="{00000000-0005-0000-0000-00007C510000}"/>
    <cellStyle name="Normal 5 3 3 2 2 2 2" xfId="34441" xr:uid="{00000000-0005-0000-0000-00007D510000}"/>
    <cellStyle name="Normal 5 3 3 2 2 3" xfId="26394" xr:uid="{00000000-0005-0000-0000-00007E510000}"/>
    <cellStyle name="Normal 5 3 3 2 3" xfId="14047" xr:uid="{00000000-0005-0000-0000-00007F510000}"/>
    <cellStyle name="Normal 5 3 3 2 3 2" xfId="30593" xr:uid="{00000000-0005-0000-0000-000080510000}"/>
    <cellStyle name="Normal 5 3 3 2 4" xfId="22550" xr:uid="{00000000-0005-0000-0000-000081510000}"/>
    <cellStyle name="Normal 5 3 3 3" xfId="8693" xr:uid="{00000000-0005-0000-0000-000082510000}"/>
    <cellStyle name="Normal 5 3 3 3 2" xfId="17868" xr:uid="{00000000-0005-0000-0000-000083510000}"/>
    <cellStyle name="Normal 5 3 3 3 2 2" xfId="34442" xr:uid="{00000000-0005-0000-0000-000084510000}"/>
    <cellStyle name="Normal 5 3 3 3 3" xfId="26395" xr:uid="{00000000-0005-0000-0000-000085510000}"/>
    <cellStyle name="Normal 5 3 3 4" xfId="14046" xr:uid="{00000000-0005-0000-0000-000086510000}"/>
    <cellStyle name="Normal 5 3 3 4 2" xfId="30592" xr:uid="{00000000-0005-0000-0000-000087510000}"/>
    <cellStyle name="Normal 5 3 3 5" xfId="22549" xr:uid="{00000000-0005-0000-0000-000088510000}"/>
    <cellStyle name="Normal 5 3 4" xfId="4697" xr:uid="{00000000-0005-0000-0000-000089510000}"/>
    <cellStyle name="Normal 5 3 4 2" xfId="8694" xr:uid="{00000000-0005-0000-0000-00008A510000}"/>
    <cellStyle name="Normal 5 3 4 2 2" xfId="17869" xr:uid="{00000000-0005-0000-0000-00008B510000}"/>
    <cellStyle name="Normal 5 3 4 2 2 2" xfId="34443" xr:uid="{00000000-0005-0000-0000-00008C510000}"/>
    <cellStyle name="Normal 5 3 4 2 3" xfId="26396" xr:uid="{00000000-0005-0000-0000-00008D510000}"/>
    <cellStyle name="Normal 5 3 4 3" xfId="14048" xr:uid="{00000000-0005-0000-0000-00008E510000}"/>
    <cellStyle name="Normal 5 3 4 3 2" xfId="30594" xr:uid="{00000000-0005-0000-0000-00008F510000}"/>
    <cellStyle name="Normal 5 3 4 4" xfId="22551" xr:uid="{00000000-0005-0000-0000-000090510000}"/>
    <cellStyle name="Normal 5 3 5" xfId="4698" xr:uid="{00000000-0005-0000-0000-000091510000}"/>
    <cellStyle name="Normal 5 3 5 2" xfId="14049" xr:uid="{00000000-0005-0000-0000-000092510000}"/>
    <cellStyle name="Normal 5 3 5 2 2" xfId="30595" xr:uid="{00000000-0005-0000-0000-000093510000}"/>
    <cellStyle name="Normal 5 3 5 3" xfId="22552" xr:uid="{00000000-0005-0000-0000-000094510000}"/>
    <cellStyle name="Normal 5 3 6" xfId="4690" xr:uid="{00000000-0005-0000-0000-000095510000}"/>
    <cellStyle name="Normal 5 4" xfId="1634" xr:uid="{00000000-0005-0000-0000-000096510000}"/>
    <cellStyle name="Normal 5 4 2" xfId="4699" xr:uid="{00000000-0005-0000-0000-000097510000}"/>
    <cellStyle name="Normal 5 4 2 2" xfId="4700" xr:uid="{00000000-0005-0000-0000-000098510000}"/>
    <cellStyle name="Normal 5 4 2 2 2" xfId="4701" xr:uid="{00000000-0005-0000-0000-000099510000}"/>
    <cellStyle name="Normal 5 4 2 2 2 2" xfId="8695" xr:uid="{00000000-0005-0000-0000-00009A510000}"/>
    <cellStyle name="Normal 5 4 2 2 2 2 2" xfId="17870" xr:uid="{00000000-0005-0000-0000-00009B510000}"/>
    <cellStyle name="Normal 5 4 2 2 2 2 2 2" xfId="34444" xr:uid="{00000000-0005-0000-0000-00009C510000}"/>
    <cellStyle name="Normal 5 4 2 2 2 2 3" xfId="26397" xr:uid="{00000000-0005-0000-0000-00009D510000}"/>
    <cellStyle name="Normal 5 4 2 2 2 3" xfId="14053" xr:uid="{00000000-0005-0000-0000-00009E510000}"/>
    <cellStyle name="Normal 5 4 2 2 2 3 2" xfId="30599" xr:uid="{00000000-0005-0000-0000-00009F510000}"/>
    <cellStyle name="Normal 5 4 2 2 2 4" xfId="22556" xr:uid="{00000000-0005-0000-0000-0000A0510000}"/>
    <cellStyle name="Normal 5 4 2 2 3" xfId="8696" xr:uid="{00000000-0005-0000-0000-0000A1510000}"/>
    <cellStyle name="Normal 5 4 2 2 3 2" xfId="17871" xr:uid="{00000000-0005-0000-0000-0000A2510000}"/>
    <cellStyle name="Normal 5 4 2 2 3 2 2" xfId="34445" xr:uid="{00000000-0005-0000-0000-0000A3510000}"/>
    <cellStyle name="Normal 5 4 2 2 3 3" xfId="26398" xr:uid="{00000000-0005-0000-0000-0000A4510000}"/>
    <cellStyle name="Normal 5 4 2 2 4" xfId="14052" xr:uid="{00000000-0005-0000-0000-0000A5510000}"/>
    <cellStyle name="Normal 5 4 2 2 4 2" xfId="30598" xr:uid="{00000000-0005-0000-0000-0000A6510000}"/>
    <cellStyle name="Normal 5 4 2 2 5" xfId="22555" xr:uid="{00000000-0005-0000-0000-0000A7510000}"/>
    <cellStyle name="Normal 5 4 2 3" xfId="4702" xr:uid="{00000000-0005-0000-0000-0000A8510000}"/>
    <cellStyle name="Normal 5 4 2 3 2" xfId="8697" xr:uid="{00000000-0005-0000-0000-0000A9510000}"/>
    <cellStyle name="Normal 5 4 2 3 2 2" xfId="17872" xr:uid="{00000000-0005-0000-0000-0000AA510000}"/>
    <cellStyle name="Normal 5 4 2 3 2 2 2" xfId="34446" xr:uid="{00000000-0005-0000-0000-0000AB510000}"/>
    <cellStyle name="Normal 5 4 2 3 2 3" xfId="26399" xr:uid="{00000000-0005-0000-0000-0000AC510000}"/>
    <cellStyle name="Normal 5 4 2 3 3" xfId="14054" xr:uid="{00000000-0005-0000-0000-0000AD510000}"/>
    <cellStyle name="Normal 5 4 2 3 3 2" xfId="30600" xr:uid="{00000000-0005-0000-0000-0000AE510000}"/>
    <cellStyle name="Normal 5 4 2 3 4" xfId="22557" xr:uid="{00000000-0005-0000-0000-0000AF510000}"/>
    <cellStyle name="Normal 5 4 2 4" xfId="8698" xr:uid="{00000000-0005-0000-0000-0000B0510000}"/>
    <cellStyle name="Normal 5 4 2 4 2" xfId="17873" xr:uid="{00000000-0005-0000-0000-0000B1510000}"/>
    <cellStyle name="Normal 5 4 2 4 2 2" xfId="34447" xr:uid="{00000000-0005-0000-0000-0000B2510000}"/>
    <cellStyle name="Normal 5 4 2 4 3" xfId="26400" xr:uid="{00000000-0005-0000-0000-0000B3510000}"/>
    <cellStyle name="Normal 5 4 2 5" xfId="14051" xr:uid="{00000000-0005-0000-0000-0000B4510000}"/>
    <cellStyle name="Normal 5 4 2 5 2" xfId="30597" xr:uid="{00000000-0005-0000-0000-0000B5510000}"/>
    <cellStyle name="Normal 5 4 2 6" xfId="22554" xr:uid="{00000000-0005-0000-0000-0000B6510000}"/>
    <cellStyle name="Normal 5 4 3" xfId="4703" xr:uid="{00000000-0005-0000-0000-0000B7510000}"/>
    <cellStyle name="Normal 5 4 3 2" xfId="4704" xr:uid="{00000000-0005-0000-0000-0000B8510000}"/>
    <cellStyle name="Normal 5 4 3 2 2" xfId="8699" xr:uid="{00000000-0005-0000-0000-0000B9510000}"/>
    <cellStyle name="Normal 5 4 3 2 2 2" xfId="17874" xr:uid="{00000000-0005-0000-0000-0000BA510000}"/>
    <cellStyle name="Normal 5 4 3 2 2 2 2" xfId="34448" xr:uid="{00000000-0005-0000-0000-0000BB510000}"/>
    <cellStyle name="Normal 5 4 3 2 2 3" xfId="26401" xr:uid="{00000000-0005-0000-0000-0000BC510000}"/>
    <cellStyle name="Normal 5 4 3 2 3" xfId="14056" xr:uid="{00000000-0005-0000-0000-0000BD510000}"/>
    <cellStyle name="Normal 5 4 3 2 3 2" xfId="30602" xr:uid="{00000000-0005-0000-0000-0000BE510000}"/>
    <cellStyle name="Normal 5 4 3 2 4" xfId="22559" xr:uid="{00000000-0005-0000-0000-0000BF510000}"/>
    <cellStyle name="Normal 5 4 3 3" xfId="8700" xr:uid="{00000000-0005-0000-0000-0000C0510000}"/>
    <cellStyle name="Normal 5 4 3 3 2" xfId="17875" xr:uid="{00000000-0005-0000-0000-0000C1510000}"/>
    <cellStyle name="Normal 5 4 3 3 2 2" xfId="34449" xr:uid="{00000000-0005-0000-0000-0000C2510000}"/>
    <cellStyle name="Normal 5 4 3 3 3" xfId="26402" xr:uid="{00000000-0005-0000-0000-0000C3510000}"/>
    <cellStyle name="Normal 5 4 3 4" xfId="14055" xr:uid="{00000000-0005-0000-0000-0000C4510000}"/>
    <cellStyle name="Normal 5 4 3 4 2" xfId="30601" xr:uid="{00000000-0005-0000-0000-0000C5510000}"/>
    <cellStyle name="Normal 5 4 3 5" xfId="22558" xr:uid="{00000000-0005-0000-0000-0000C6510000}"/>
    <cellStyle name="Normal 5 4 4" xfId="4705" xr:uid="{00000000-0005-0000-0000-0000C7510000}"/>
    <cellStyle name="Normal 5 4 4 2" xfId="8701" xr:uid="{00000000-0005-0000-0000-0000C8510000}"/>
    <cellStyle name="Normal 5 4 4 2 2" xfId="17876" xr:uid="{00000000-0005-0000-0000-0000C9510000}"/>
    <cellStyle name="Normal 5 4 4 2 2 2" xfId="34450" xr:uid="{00000000-0005-0000-0000-0000CA510000}"/>
    <cellStyle name="Normal 5 4 4 2 3" xfId="26403" xr:uid="{00000000-0005-0000-0000-0000CB510000}"/>
    <cellStyle name="Normal 5 4 4 3" xfId="14057" xr:uid="{00000000-0005-0000-0000-0000CC510000}"/>
    <cellStyle name="Normal 5 4 4 3 2" xfId="30603" xr:uid="{00000000-0005-0000-0000-0000CD510000}"/>
    <cellStyle name="Normal 5 4 4 4" xfId="22560" xr:uid="{00000000-0005-0000-0000-0000CE510000}"/>
    <cellStyle name="Normal 5 4 5" xfId="8702" xr:uid="{00000000-0005-0000-0000-0000CF510000}"/>
    <cellStyle name="Normal 5 4 5 2" xfId="17877" xr:uid="{00000000-0005-0000-0000-0000D0510000}"/>
    <cellStyle name="Normal 5 4 5 2 2" xfId="34451" xr:uid="{00000000-0005-0000-0000-0000D1510000}"/>
    <cellStyle name="Normal 5 4 5 3" xfId="26404" xr:uid="{00000000-0005-0000-0000-0000D2510000}"/>
    <cellStyle name="Normal 5 4 6" xfId="14050" xr:uid="{00000000-0005-0000-0000-0000D3510000}"/>
    <cellStyle name="Normal 5 4 6 2" xfId="30596" xr:uid="{00000000-0005-0000-0000-0000D4510000}"/>
    <cellStyle name="Normal 5 4 7" xfId="22553" xr:uid="{00000000-0005-0000-0000-0000D5510000}"/>
    <cellStyle name="Normal 5 5" xfId="4706" xr:uid="{00000000-0005-0000-0000-0000D6510000}"/>
    <cellStyle name="Normal 5 5 2" xfId="4707" xr:uid="{00000000-0005-0000-0000-0000D7510000}"/>
    <cellStyle name="Normal 5 5 2 2" xfId="4708" xr:uid="{00000000-0005-0000-0000-0000D8510000}"/>
    <cellStyle name="Normal 5 5 2 2 2" xfId="4709" xr:uid="{00000000-0005-0000-0000-0000D9510000}"/>
    <cellStyle name="Normal 5 5 2 2 2 2" xfId="8703" xr:uid="{00000000-0005-0000-0000-0000DA510000}"/>
    <cellStyle name="Normal 5 5 2 2 2 2 2" xfId="17878" xr:uid="{00000000-0005-0000-0000-0000DB510000}"/>
    <cellStyle name="Normal 5 5 2 2 2 2 2 2" xfId="34452" xr:uid="{00000000-0005-0000-0000-0000DC510000}"/>
    <cellStyle name="Normal 5 5 2 2 2 2 3" xfId="26405" xr:uid="{00000000-0005-0000-0000-0000DD510000}"/>
    <cellStyle name="Normal 5 5 2 2 2 3" xfId="14061" xr:uid="{00000000-0005-0000-0000-0000DE510000}"/>
    <cellStyle name="Normal 5 5 2 2 2 3 2" xfId="30607" xr:uid="{00000000-0005-0000-0000-0000DF510000}"/>
    <cellStyle name="Normal 5 5 2 2 2 4" xfId="22564" xr:uid="{00000000-0005-0000-0000-0000E0510000}"/>
    <cellStyle name="Normal 5 5 2 2 3" xfId="8704" xr:uid="{00000000-0005-0000-0000-0000E1510000}"/>
    <cellStyle name="Normal 5 5 2 2 3 2" xfId="17879" xr:uid="{00000000-0005-0000-0000-0000E2510000}"/>
    <cellStyle name="Normal 5 5 2 2 3 2 2" xfId="34453" xr:uid="{00000000-0005-0000-0000-0000E3510000}"/>
    <cellStyle name="Normal 5 5 2 2 3 3" xfId="26406" xr:uid="{00000000-0005-0000-0000-0000E4510000}"/>
    <cellStyle name="Normal 5 5 2 2 4" xfId="14060" xr:uid="{00000000-0005-0000-0000-0000E5510000}"/>
    <cellStyle name="Normal 5 5 2 2 4 2" xfId="30606" xr:uid="{00000000-0005-0000-0000-0000E6510000}"/>
    <cellStyle name="Normal 5 5 2 2 5" xfId="22563" xr:uid="{00000000-0005-0000-0000-0000E7510000}"/>
    <cellStyle name="Normal 5 5 2 3" xfId="4710" xr:uid="{00000000-0005-0000-0000-0000E8510000}"/>
    <cellStyle name="Normal 5 5 2 3 2" xfId="8705" xr:uid="{00000000-0005-0000-0000-0000E9510000}"/>
    <cellStyle name="Normal 5 5 2 3 2 2" xfId="17880" xr:uid="{00000000-0005-0000-0000-0000EA510000}"/>
    <cellStyle name="Normal 5 5 2 3 2 2 2" xfId="34454" xr:uid="{00000000-0005-0000-0000-0000EB510000}"/>
    <cellStyle name="Normal 5 5 2 3 2 3" xfId="26407" xr:uid="{00000000-0005-0000-0000-0000EC510000}"/>
    <cellStyle name="Normal 5 5 2 3 3" xfId="14062" xr:uid="{00000000-0005-0000-0000-0000ED510000}"/>
    <cellStyle name="Normal 5 5 2 3 3 2" xfId="30608" xr:uid="{00000000-0005-0000-0000-0000EE510000}"/>
    <cellStyle name="Normal 5 5 2 3 4" xfId="22565" xr:uid="{00000000-0005-0000-0000-0000EF510000}"/>
    <cellStyle name="Normal 5 5 2 4" xfId="8706" xr:uid="{00000000-0005-0000-0000-0000F0510000}"/>
    <cellStyle name="Normal 5 5 2 4 2" xfId="17881" xr:uid="{00000000-0005-0000-0000-0000F1510000}"/>
    <cellStyle name="Normal 5 5 2 4 2 2" xfId="34455" xr:uid="{00000000-0005-0000-0000-0000F2510000}"/>
    <cellStyle name="Normal 5 5 2 4 3" xfId="26408" xr:uid="{00000000-0005-0000-0000-0000F3510000}"/>
    <cellStyle name="Normal 5 5 2 5" xfId="14059" xr:uid="{00000000-0005-0000-0000-0000F4510000}"/>
    <cellStyle name="Normal 5 5 2 5 2" xfId="30605" xr:uid="{00000000-0005-0000-0000-0000F5510000}"/>
    <cellStyle name="Normal 5 5 2 6" xfId="22562" xr:uid="{00000000-0005-0000-0000-0000F6510000}"/>
    <cellStyle name="Normal 5 5 3" xfId="4711" xr:uid="{00000000-0005-0000-0000-0000F7510000}"/>
    <cellStyle name="Normal 5 5 3 2" xfId="4712" xr:uid="{00000000-0005-0000-0000-0000F8510000}"/>
    <cellStyle name="Normal 5 5 3 2 2" xfId="8707" xr:uid="{00000000-0005-0000-0000-0000F9510000}"/>
    <cellStyle name="Normal 5 5 3 2 2 2" xfId="17882" xr:uid="{00000000-0005-0000-0000-0000FA510000}"/>
    <cellStyle name="Normal 5 5 3 2 2 2 2" xfId="34456" xr:uid="{00000000-0005-0000-0000-0000FB510000}"/>
    <cellStyle name="Normal 5 5 3 2 2 3" xfId="26409" xr:uid="{00000000-0005-0000-0000-0000FC510000}"/>
    <cellStyle name="Normal 5 5 3 2 3" xfId="14064" xr:uid="{00000000-0005-0000-0000-0000FD510000}"/>
    <cellStyle name="Normal 5 5 3 2 3 2" xfId="30610" xr:uid="{00000000-0005-0000-0000-0000FE510000}"/>
    <cellStyle name="Normal 5 5 3 2 4" xfId="22567" xr:uid="{00000000-0005-0000-0000-0000FF510000}"/>
    <cellStyle name="Normal 5 5 3 3" xfId="8708" xr:uid="{00000000-0005-0000-0000-000000520000}"/>
    <cellStyle name="Normal 5 5 3 3 2" xfId="17883" xr:uid="{00000000-0005-0000-0000-000001520000}"/>
    <cellStyle name="Normal 5 5 3 3 2 2" xfId="34457" xr:uid="{00000000-0005-0000-0000-000002520000}"/>
    <cellStyle name="Normal 5 5 3 3 3" xfId="26410" xr:uid="{00000000-0005-0000-0000-000003520000}"/>
    <cellStyle name="Normal 5 5 3 4" xfId="14063" xr:uid="{00000000-0005-0000-0000-000004520000}"/>
    <cellStyle name="Normal 5 5 3 4 2" xfId="30609" xr:uid="{00000000-0005-0000-0000-000005520000}"/>
    <cellStyle name="Normal 5 5 3 5" xfId="22566" xr:uid="{00000000-0005-0000-0000-000006520000}"/>
    <cellStyle name="Normal 5 5 4" xfId="4713" xr:uid="{00000000-0005-0000-0000-000007520000}"/>
    <cellStyle name="Normal 5 5 4 2" xfId="8709" xr:uid="{00000000-0005-0000-0000-000008520000}"/>
    <cellStyle name="Normal 5 5 4 2 2" xfId="17884" xr:uid="{00000000-0005-0000-0000-000009520000}"/>
    <cellStyle name="Normal 5 5 4 2 2 2" xfId="34458" xr:uid="{00000000-0005-0000-0000-00000A520000}"/>
    <cellStyle name="Normal 5 5 4 2 3" xfId="26411" xr:uid="{00000000-0005-0000-0000-00000B520000}"/>
    <cellStyle name="Normal 5 5 4 3" xfId="14065" xr:uid="{00000000-0005-0000-0000-00000C520000}"/>
    <cellStyle name="Normal 5 5 4 3 2" xfId="30611" xr:uid="{00000000-0005-0000-0000-00000D520000}"/>
    <cellStyle name="Normal 5 5 4 4" xfId="22568" xr:uid="{00000000-0005-0000-0000-00000E520000}"/>
    <cellStyle name="Normal 5 5 5" xfId="8710" xr:uid="{00000000-0005-0000-0000-00000F520000}"/>
    <cellStyle name="Normal 5 5 5 2" xfId="17885" xr:uid="{00000000-0005-0000-0000-000010520000}"/>
    <cellStyle name="Normal 5 5 5 2 2" xfId="34459" xr:uid="{00000000-0005-0000-0000-000011520000}"/>
    <cellStyle name="Normal 5 5 5 3" xfId="26412" xr:uid="{00000000-0005-0000-0000-000012520000}"/>
    <cellStyle name="Normal 5 5 6" xfId="14058" xr:uid="{00000000-0005-0000-0000-000013520000}"/>
    <cellStyle name="Normal 5 5 6 2" xfId="30604" xr:uid="{00000000-0005-0000-0000-000014520000}"/>
    <cellStyle name="Normal 5 5 7" xfId="22561" xr:uid="{00000000-0005-0000-0000-000015520000}"/>
    <cellStyle name="Normal 5 6" xfId="4714" xr:uid="{00000000-0005-0000-0000-000016520000}"/>
    <cellStyle name="Normal 5 6 2" xfId="4715" xr:uid="{00000000-0005-0000-0000-000017520000}"/>
    <cellStyle name="Normal 5 6 2 2" xfId="4716" xr:uid="{00000000-0005-0000-0000-000018520000}"/>
    <cellStyle name="Normal 5 6 2 2 2" xfId="8711" xr:uid="{00000000-0005-0000-0000-000019520000}"/>
    <cellStyle name="Normal 5 6 2 2 2 2" xfId="17886" xr:uid="{00000000-0005-0000-0000-00001A520000}"/>
    <cellStyle name="Normal 5 6 2 2 2 2 2" xfId="34460" xr:uid="{00000000-0005-0000-0000-00001B520000}"/>
    <cellStyle name="Normal 5 6 2 2 2 3" xfId="26413" xr:uid="{00000000-0005-0000-0000-00001C520000}"/>
    <cellStyle name="Normal 5 6 2 2 3" xfId="14068" xr:uid="{00000000-0005-0000-0000-00001D520000}"/>
    <cellStyle name="Normal 5 6 2 2 3 2" xfId="30614" xr:uid="{00000000-0005-0000-0000-00001E520000}"/>
    <cellStyle name="Normal 5 6 2 2 4" xfId="22571" xr:uid="{00000000-0005-0000-0000-00001F520000}"/>
    <cellStyle name="Normal 5 6 2 3" xfId="8712" xr:uid="{00000000-0005-0000-0000-000020520000}"/>
    <cellStyle name="Normal 5 6 2 3 2" xfId="17887" xr:uid="{00000000-0005-0000-0000-000021520000}"/>
    <cellStyle name="Normal 5 6 2 3 2 2" xfId="34461" xr:uid="{00000000-0005-0000-0000-000022520000}"/>
    <cellStyle name="Normal 5 6 2 3 3" xfId="26414" xr:uid="{00000000-0005-0000-0000-000023520000}"/>
    <cellStyle name="Normal 5 6 2 4" xfId="14067" xr:uid="{00000000-0005-0000-0000-000024520000}"/>
    <cellStyle name="Normal 5 6 2 4 2" xfId="30613" xr:uid="{00000000-0005-0000-0000-000025520000}"/>
    <cellStyle name="Normal 5 6 2 5" xfId="22570" xr:uid="{00000000-0005-0000-0000-000026520000}"/>
    <cellStyle name="Normal 5 6 3" xfId="4717" xr:uid="{00000000-0005-0000-0000-000027520000}"/>
    <cellStyle name="Normal 5 6 3 2" xfId="8713" xr:uid="{00000000-0005-0000-0000-000028520000}"/>
    <cellStyle name="Normal 5 6 3 2 2" xfId="17888" xr:uid="{00000000-0005-0000-0000-000029520000}"/>
    <cellStyle name="Normal 5 6 3 2 2 2" xfId="34462" xr:uid="{00000000-0005-0000-0000-00002A520000}"/>
    <cellStyle name="Normal 5 6 3 2 3" xfId="26415" xr:uid="{00000000-0005-0000-0000-00002B520000}"/>
    <cellStyle name="Normal 5 6 3 3" xfId="14069" xr:uid="{00000000-0005-0000-0000-00002C520000}"/>
    <cellStyle name="Normal 5 6 3 3 2" xfId="30615" xr:uid="{00000000-0005-0000-0000-00002D520000}"/>
    <cellStyle name="Normal 5 6 3 4" xfId="22572" xr:uid="{00000000-0005-0000-0000-00002E520000}"/>
    <cellStyle name="Normal 5 6 4" xfId="8714" xr:uid="{00000000-0005-0000-0000-00002F520000}"/>
    <cellStyle name="Normal 5 6 4 2" xfId="17889" xr:uid="{00000000-0005-0000-0000-000030520000}"/>
    <cellStyle name="Normal 5 6 4 2 2" xfId="34463" xr:uid="{00000000-0005-0000-0000-000031520000}"/>
    <cellStyle name="Normal 5 6 4 3" xfId="26416" xr:uid="{00000000-0005-0000-0000-000032520000}"/>
    <cellStyle name="Normal 5 6 5" xfId="14066" xr:uid="{00000000-0005-0000-0000-000033520000}"/>
    <cellStyle name="Normal 5 6 5 2" xfId="30612" xr:uid="{00000000-0005-0000-0000-000034520000}"/>
    <cellStyle name="Normal 5 6 6" xfId="22569" xr:uid="{00000000-0005-0000-0000-000035520000}"/>
    <cellStyle name="Normal 5 7" xfId="4718" xr:uid="{00000000-0005-0000-0000-000036520000}"/>
    <cellStyle name="Normal 5 7 2" xfId="4719" xr:uid="{00000000-0005-0000-0000-000037520000}"/>
    <cellStyle name="Normal 5 7 2 2" xfId="8715" xr:uid="{00000000-0005-0000-0000-000038520000}"/>
    <cellStyle name="Normal 5 7 2 2 2" xfId="17890" xr:uid="{00000000-0005-0000-0000-000039520000}"/>
    <cellStyle name="Normal 5 7 2 2 2 2" xfId="34464" xr:uid="{00000000-0005-0000-0000-00003A520000}"/>
    <cellStyle name="Normal 5 7 2 2 3" xfId="26417" xr:uid="{00000000-0005-0000-0000-00003B520000}"/>
    <cellStyle name="Normal 5 7 2 3" xfId="14071" xr:uid="{00000000-0005-0000-0000-00003C520000}"/>
    <cellStyle name="Normal 5 7 2 3 2" xfId="30617" xr:uid="{00000000-0005-0000-0000-00003D520000}"/>
    <cellStyle name="Normal 5 7 2 4" xfId="22574" xr:uid="{00000000-0005-0000-0000-00003E520000}"/>
    <cellStyle name="Normal 5 7 3" xfId="8716" xr:uid="{00000000-0005-0000-0000-00003F520000}"/>
    <cellStyle name="Normal 5 7 3 2" xfId="17891" xr:uid="{00000000-0005-0000-0000-000040520000}"/>
    <cellStyle name="Normal 5 7 3 2 2" xfId="34465" xr:uid="{00000000-0005-0000-0000-000041520000}"/>
    <cellStyle name="Normal 5 7 3 3" xfId="26418" xr:uid="{00000000-0005-0000-0000-000042520000}"/>
    <cellStyle name="Normal 5 7 4" xfId="14070" xr:uid="{00000000-0005-0000-0000-000043520000}"/>
    <cellStyle name="Normal 5 7 4 2" xfId="30616" xr:uid="{00000000-0005-0000-0000-000044520000}"/>
    <cellStyle name="Normal 5 7 5" xfId="22573" xr:uid="{00000000-0005-0000-0000-000045520000}"/>
    <cellStyle name="Normal 5 8" xfId="4720" xr:uid="{00000000-0005-0000-0000-000046520000}"/>
    <cellStyle name="Normal 5 8 2" xfId="8717" xr:uid="{00000000-0005-0000-0000-000047520000}"/>
    <cellStyle name="Normal 5 8 2 2" xfId="17892" xr:uid="{00000000-0005-0000-0000-000048520000}"/>
    <cellStyle name="Normal 5 8 2 2 2" xfId="34466" xr:uid="{00000000-0005-0000-0000-000049520000}"/>
    <cellStyle name="Normal 5 8 2 3" xfId="26419" xr:uid="{00000000-0005-0000-0000-00004A520000}"/>
    <cellStyle name="Normal 5 8 3" xfId="14072" xr:uid="{00000000-0005-0000-0000-00004B520000}"/>
    <cellStyle name="Normal 5 8 3 2" xfId="30618" xr:uid="{00000000-0005-0000-0000-00004C520000}"/>
    <cellStyle name="Normal 5 8 4" xfId="22575" xr:uid="{00000000-0005-0000-0000-00004D520000}"/>
    <cellStyle name="Normal 5 9" xfId="8718" xr:uid="{00000000-0005-0000-0000-00004E520000}"/>
    <cellStyle name="Normal 5 9 2" xfId="17893" xr:uid="{00000000-0005-0000-0000-00004F520000}"/>
    <cellStyle name="Normal 5 9 2 2" xfId="34467" xr:uid="{00000000-0005-0000-0000-000050520000}"/>
    <cellStyle name="Normal 5 9 3" xfId="26420" xr:uid="{00000000-0005-0000-0000-000051520000}"/>
    <cellStyle name="Normal 50" xfId="4721" xr:uid="{00000000-0005-0000-0000-000052520000}"/>
    <cellStyle name="Normal 50 10" xfId="14073" xr:uid="{00000000-0005-0000-0000-000053520000}"/>
    <cellStyle name="Normal 50 10 2" xfId="30619" xr:uid="{00000000-0005-0000-0000-000054520000}"/>
    <cellStyle name="Normal 50 11" xfId="22576" xr:uid="{00000000-0005-0000-0000-000055520000}"/>
    <cellStyle name="Normal 50 2" xfId="4722" xr:uid="{00000000-0005-0000-0000-000056520000}"/>
    <cellStyle name="Normal 50 2 2" xfId="4723" xr:uid="{00000000-0005-0000-0000-000057520000}"/>
    <cellStyle name="Normal 50 2 3" xfId="14074" xr:uid="{00000000-0005-0000-0000-000058520000}"/>
    <cellStyle name="Normal 50 2 3 2" xfId="30620" xr:uid="{00000000-0005-0000-0000-000059520000}"/>
    <cellStyle name="Normal 50 2 4" xfId="22577" xr:uid="{00000000-0005-0000-0000-00005A520000}"/>
    <cellStyle name="Normal 50 3" xfId="4724" xr:uid="{00000000-0005-0000-0000-00005B520000}"/>
    <cellStyle name="Normal 50 3 2" xfId="4725" xr:uid="{00000000-0005-0000-0000-00005C520000}"/>
    <cellStyle name="Normal 50 3 2 2" xfId="4726" xr:uid="{00000000-0005-0000-0000-00005D520000}"/>
    <cellStyle name="Normal 50 3 2 2 2" xfId="4727" xr:uid="{00000000-0005-0000-0000-00005E520000}"/>
    <cellStyle name="Normal 50 3 2 2 2 2" xfId="8719" xr:uid="{00000000-0005-0000-0000-00005F520000}"/>
    <cellStyle name="Normal 50 3 2 2 2 2 2" xfId="17894" xr:uid="{00000000-0005-0000-0000-000060520000}"/>
    <cellStyle name="Normal 50 3 2 2 2 2 2 2" xfId="34468" xr:uid="{00000000-0005-0000-0000-000061520000}"/>
    <cellStyle name="Normal 50 3 2 2 2 2 3" xfId="26421" xr:uid="{00000000-0005-0000-0000-000062520000}"/>
    <cellStyle name="Normal 50 3 2 2 2 3" xfId="14077" xr:uid="{00000000-0005-0000-0000-000063520000}"/>
    <cellStyle name="Normal 50 3 2 2 2 3 2" xfId="30623" xr:uid="{00000000-0005-0000-0000-000064520000}"/>
    <cellStyle name="Normal 50 3 2 2 2 4" xfId="22580" xr:uid="{00000000-0005-0000-0000-000065520000}"/>
    <cellStyle name="Normal 50 3 2 2 3" xfId="8720" xr:uid="{00000000-0005-0000-0000-000066520000}"/>
    <cellStyle name="Normal 50 3 2 2 3 2" xfId="17895" xr:uid="{00000000-0005-0000-0000-000067520000}"/>
    <cellStyle name="Normal 50 3 2 2 3 2 2" xfId="34469" xr:uid="{00000000-0005-0000-0000-000068520000}"/>
    <cellStyle name="Normal 50 3 2 2 3 3" xfId="26422" xr:uid="{00000000-0005-0000-0000-000069520000}"/>
    <cellStyle name="Normal 50 3 2 2 4" xfId="14076" xr:uid="{00000000-0005-0000-0000-00006A520000}"/>
    <cellStyle name="Normal 50 3 2 2 4 2" xfId="30622" xr:uid="{00000000-0005-0000-0000-00006B520000}"/>
    <cellStyle name="Normal 50 3 2 2 5" xfId="22579" xr:uid="{00000000-0005-0000-0000-00006C520000}"/>
    <cellStyle name="Normal 50 3 2 3" xfId="4728" xr:uid="{00000000-0005-0000-0000-00006D520000}"/>
    <cellStyle name="Normal 50 3 2 3 2" xfId="8721" xr:uid="{00000000-0005-0000-0000-00006E520000}"/>
    <cellStyle name="Normal 50 3 2 3 2 2" xfId="17896" xr:uid="{00000000-0005-0000-0000-00006F520000}"/>
    <cellStyle name="Normal 50 3 2 3 2 2 2" xfId="34470" xr:uid="{00000000-0005-0000-0000-000070520000}"/>
    <cellStyle name="Normal 50 3 2 3 2 3" xfId="26423" xr:uid="{00000000-0005-0000-0000-000071520000}"/>
    <cellStyle name="Normal 50 3 2 3 3" xfId="14078" xr:uid="{00000000-0005-0000-0000-000072520000}"/>
    <cellStyle name="Normal 50 3 2 3 3 2" xfId="30624" xr:uid="{00000000-0005-0000-0000-000073520000}"/>
    <cellStyle name="Normal 50 3 2 3 4" xfId="22581" xr:uid="{00000000-0005-0000-0000-000074520000}"/>
    <cellStyle name="Normal 50 3 2 4" xfId="8722" xr:uid="{00000000-0005-0000-0000-000075520000}"/>
    <cellStyle name="Normal 50 3 2 4 2" xfId="17897" xr:uid="{00000000-0005-0000-0000-000076520000}"/>
    <cellStyle name="Normal 50 3 2 4 2 2" xfId="34471" xr:uid="{00000000-0005-0000-0000-000077520000}"/>
    <cellStyle name="Normal 50 3 2 4 3" xfId="26424" xr:uid="{00000000-0005-0000-0000-000078520000}"/>
    <cellStyle name="Normal 50 3 2 5" xfId="14075" xr:uid="{00000000-0005-0000-0000-000079520000}"/>
    <cellStyle name="Normal 50 3 2 5 2" xfId="30621" xr:uid="{00000000-0005-0000-0000-00007A520000}"/>
    <cellStyle name="Normal 50 3 2 6" xfId="22578" xr:uid="{00000000-0005-0000-0000-00007B520000}"/>
    <cellStyle name="Normal 50 3 3" xfId="4729" xr:uid="{00000000-0005-0000-0000-00007C520000}"/>
    <cellStyle name="Normal 50 3 3 2" xfId="4730" xr:uid="{00000000-0005-0000-0000-00007D520000}"/>
    <cellStyle name="Normal 50 3 3 2 2" xfId="8723" xr:uid="{00000000-0005-0000-0000-00007E520000}"/>
    <cellStyle name="Normal 50 3 3 2 2 2" xfId="17898" xr:uid="{00000000-0005-0000-0000-00007F520000}"/>
    <cellStyle name="Normal 50 3 3 2 2 2 2" xfId="34472" xr:uid="{00000000-0005-0000-0000-000080520000}"/>
    <cellStyle name="Normal 50 3 3 2 2 3" xfId="26425" xr:uid="{00000000-0005-0000-0000-000081520000}"/>
    <cellStyle name="Normal 50 3 3 2 3" xfId="14080" xr:uid="{00000000-0005-0000-0000-000082520000}"/>
    <cellStyle name="Normal 50 3 3 2 3 2" xfId="30626" xr:uid="{00000000-0005-0000-0000-000083520000}"/>
    <cellStyle name="Normal 50 3 3 2 4" xfId="22583" xr:uid="{00000000-0005-0000-0000-000084520000}"/>
    <cellStyle name="Normal 50 3 3 3" xfId="8724" xr:uid="{00000000-0005-0000-0000-000085520000}"/>
    <cellStyle name="Normal 50 3 3 3 2" xfId="17899" xr:uid="{00000000-0005-0000-0000-000086520000}"/>
    <cellStyle name="Normal 50 3 3 3 2 2" xfId="34473" xr:uid="{00000000-0005-0000-0000-000087520000}"/>
    <cellStyle name="Normal 50 3 3 3 3" xfId="26426" xr:uid="{00000000-0005-0000-0000-000088520000}"/>
    <cellStyle name="Normal 50 3 3 4" xfId="14079" xr:uid="{00000000-0005-0000-0000-000089520000}"/>
    <cellStyle name="Normal 50 3 3 4 2" xfId="30625" xr:uid="{00000000-0005-0000-0000-00008A520000}"/>
    <cellStyle name="Normal 50 3 3 5" xfId="22582" xr:uid="{00000000-0005-0000-0000-00008B520000}"/>
    <cellStyle name="Normal 50 3 4" xfId="4731" xr:uid="{00000000-0005-0000-0000-00008C520000}"/>
    <cellStyle name="Normal 50 3 4 2" xfId="8725" xr:uid="{00000000-0005-0000-0000-00008D520000}"/>
    <cellStyle name="Normal 50 3 4 2 2" xfId="17900" xr:uid="{00000000-0005-0000-0000-00008E520000}"/>
    <cellStyle name="Normal 50 3 4 2 2 2" xfId="34474" xr:uid="{00000000-0005-0000-0000-00008F520000}"/>
    <cellStyle name="Normal 50 3 4 2 3" xfId="26427" xr:uid="{00000000-0005-0000-0000-000090520000}"/>
    <cellStyle name="Normal 50 3 4 3" xfId="14081" xr:uid="{00000000-0005-0000-0000-000091520000}"/>
    <cellStyle name="Normal 50 3 4 3 2" xfId="30627" xr:uid="{00000000-0005-0000-0000-000092520000}"/>
    <cellStyle name="Normal 50 3 4 4" xfId="22584" xr:uid="{00000000-0005-0000-0000-000093520000}"/>
    <cellStyle name="Normal 50 3 5" xfId="4732" xr:uid="{00000000-0005-0000-0000-000094520000}"/>
    <cellStyle name="Normal 50 3 5 2" xfId="14082" xr:uid="{00000000-0005-0000-0000-000095520000}"/>
    <cellStyle name="Normal 50 3 5 2 2" xfId="30628" xr:uid="{00000000-0005-0000-0000-000096520000}"/>
    <cellStyle name="Normal 50 3 5 3" xfId="22585" xr:uid="{00000000-0005-0000-0000-000097520000}"/>
    <cellStyle name="Normal 50 4" xfId="4733" xr:uid="{00000000-0005-0000-0000-000098520000}"/>
    <cellStyle name="Normal 50 4 2" xfId="4734" xr:uid="{00000000-0005-0000-0000-000099520000}"/>
    <cellStyle name="Normal 50 4 2 2" xfId="4735" xr:uid="{00000000-0005-0000-0000-00009A520000}"/>
    <cellStyle name="Normal 50 4 2 2 2" xfId="4736" xr:uid="{00000000-0005-0000-0000-00009B520000}"/>
    <cellStyle name="Normal 50 4 2 2 2 2" xfId="8726" xr:uid="{00000000-0005-0000-0000-00009C520000}"/>
    <cellStyle name="Normal 50 4 2 2 2 2 2" xfId="17901" xr:uid="{00000000-0005-0000-0000-00009D520000}"/>
    <cellStyle name="Normal 50 4 2 2 2 2 2 2" xfId="34475" xr:uid="{00000000-0005-0000-0000-00009E520000}"/>
    <cellStyle name="Normal 50 4 2 2 2 2 3" xfId="26428" xr:uid="{00000000-0005-0000-0000-00009F520000}"/>
    <cellStyle name="Normal 50 4 2 2 2 3" xfId="14086" xr:uid="{00000000-0005-0000-0000-0000A0520000}"/>
    <cellStyle name="Normal 50 4 2 2 2 3 2" xfId="30632" xr:uid="{00000000-0005-0000-0000-0000A1520000}"/>
    <cellStyle name="Normal 50 4 2 2 2 4" xfId="22589" xr:uid="{00000000-0005-0000-0000-0000A2520000}"/>
    <cellStyle name="Normal 50 4 2 2 3" xfId="8727" xr:uid="{00000000-0005-0000-0000-0000A3520000}"/>
    <cellStyle name="Normal 50 4 2 2 3 2" xfId="17902" xr:uid="{00000000-0005-0000-0000-0000A4520000}"/>
    <cellStyle name="Normal 50 4 2 2 3 2 2" xfId="34476" xr:uid="{00000000-0005-0000-0000-0000A5520000}"/>
    <cellStyle name="Normal 50 4 2 2 3 3" xfId="26429" xr:uid="{00000000-0005-0000-0000-0000A6520000}"/>
    <cellStyle name="Normal 50 4 2 2 4" xfId="14085" xr:uid="{00000000-0005-0000-0000-0000A7520000}"/>
    <cellStyle name="Normal 50 4 2 2 4 2" xfId="30631" xr:uid="{00000000-0005-0000-0000-0000A8520000}"/>
    <cellStyle name="Normal 50 4 2 2 5" xfId="22588" xr:uid="{00000000-0005-0000-0000-0000A9520000}"/>
    <cellStyle name="Normal 50 4 2 3" xfId="4737" xr:uid="{00000000-0005-0000-0000-0000AA520000}"/>
    <cellStyle name="Normal 50 4 2 3 2" xfId="8728" xr:uid="{00000000-0005-0000-0000-0000AB520000}"/>
    <cellStyle name="Normal 50 4 2 3 2 2" xfId="17903" xr:uid="{00000000-0005-0000-0000-0000AC520000}"/>
    <cellStyle name="Normal 50 4 2 3 2 2 2" xfId="34477" xr:uid="{00000000-0005-0000-0000-0000AD520000}"/>
    <cellStyle name="Normal 50 4 2 3 2 3" xfId="26430" xr:uid="{00000000-0005-0000-0000-0000AE520000}"/>
    <cellStyle name="Normal 50 4 2 3 3" xfId="14087" xr:uid="{00000000-0005-0000-0000-0000AF520000}"/>
    <cellStyle name="Normal 50 4 2 3 3 2" xfId="30633" xr:uid="{00000000-0005-0000-0000-0000B0520000}"/>
    <cellStyle name="Normal 50 4 2 3 4" xfId="22590" xr:uid="{00000000-0005-0000-0000-0000B1520000}"/>
    <cellStyle name="Normal 50 4 2 4" xfId="8729" xr:uid="{00000000-0005-0000-0000-0000B2520000}"/>
    <cellStyle name="Normal 50 4 2 4 2" xfId="17904" xr:uid="{00000000-0005-0000-0000-0000B3520000}"/>
    <cellStyle name="Normal 50 4 2 4 2 2" xfId="34478" xr:uid="{00000000-0005-0000-0000-0000B4520000}"/>
    <cellStyle name="Normal 50 4 2 4 3" xfId="26431" xr:uid="{00000000-0005-0000-0000-0000B5520000}"/>
    <cellStyle name="Normal 50 4 2 5" xfId="14084" xr:uid="{00000000-0005-0000-0000-0000B6520000}"/>
    <cellStyle name="Normal 50 4 2 5 2" xfId="30630" xr:uid="{00000000-0005-0000-0000-0000B7520000}"/>
    <cellStyle name="Normal 50 4 2 6" xfId="22587" xr:uid="{00000000-0005-0000-0000-0000B8520000}"/>
    <cellStyle name="Normal 50 4 3" xfId="4738" xr:uid="{00000000-0005-0000-0000-0000B9520000}"/>
    <cellStyle name="Normal 50 4 3 2" xfId="4739" xr:uid="{00000000-0005-0000-0000-0000BA520000}"/>
    <cellStyle name="Normal 50 4 3 2 2" xfId="8730" xr:uid="{00000000-0005-0000-0000-0000BB520000}"/>
    <cellStyle name="Normal 50 4 3 2 2 2" xfId="17905" xr:uid="{00000000-0005-0000-0000-0000BC520000}"/>
    <cellStyle name="Normal 50 4 3 2 2 2 2" xfId="34479" xr:uid="{00000000-0005-0000-0000-0000BD520000}"/>
    <cellStyle name="Normal 50 4 3 2 2 3" xfId="26432" xr:uid="{00000000-0005-0000-0000-0000BE520000}"/>
    <cellStyle name="Normal 50 4 3 2 3" xfId="14089" xr:uid="{00000000-0005-0000-0000-0000BF520000}"/>
    <cellStyle name="Normal 50 4 3 2 3 2" xfId="30635" xr:uid="{00000000-0005-0000-0000-0000C0520000}"/>
    <cellStyle name="Normal 50 4 3 2 4" xfId="22592" xr:uid="{00000000-0005-0000-0000-0000C1520000}"/>
    <cellStyle name="Normal 50 4 3 3" xfId="8731" xr:uid="{00000000-0005-0000-0000-0000C2520000}"/>
    <cellStyle name="Normal 50 4 3 3 2" xfId="17906" xr:uid="{00000000-0005-0000-0000-0000C3520000}"/>
    <cellStyle name="Normal 50 4 3 3 2 2" xfId="34480" xr:uid="{00000000-0005-0000-0000-0000C4520000}"/>
    <cellStyle name="Normal 50 4 3 3 3" xfId="26433" xr:uid="{00000000-0005-0000-0000-0000C5520000}"/>
    <cellStyle name="Normal 50 4 3 4" xfId="14088" xr:uid="{00000000-0005-0000-0000-0000C6520000}"/>
    <cellStyle name="Normal 50 4 3 4 2" xfId="30634" xr:uid="{00000000-0005-0000-0000-0000C7520000}"/>
    <cellStyle name="Normal 50 4 3 5" xfId="22591" xr:uid="{00000000-0005-0000-0000-0000C8520000}"/>
    <cellStyle name="Normal 50 4 4" xfId="4740" xr:uid="{00000000-0005-0000-0000-0000C9520000}"/>
    <cellStyle name="Normal 50 4 4 2" xfId="8732" xr:uid="{00000000-0005-0000-0000-0000CA520000}"/>
    <cellStyle name="Normal 50 4 4 2 2" xfId="17907" xr:uid="{00000000-0005-0000-0000-0000CB520000}"/>
    <cellStyle name="Normal 50 4 4 2 2 2" xfId="34481" xr:uid="{00000000-0005-0000-0000-0000CC520000}"/>
    <cellStyle name="Normal 50 4 4 2 3" xfId="26434" xr:uid="{00000000-0005-0000-0000-0000CD520000}"/>
    <cellStyle name="Normal 50 4 4 3" xfId="14090" xr:uid="{00000000-0005-0000-0000-0000CE520000}"/>
    <cellStyle name="Normal 50 4 4 3 2" xfId="30636" xr:uid="{00000000-0005-0000-0000-0000CF520000}"/>
    <cellStyle name="Normal 50 4 4 4" xfId="22593" xr:uid="{00000000-0005-0000-0000-0000D0520000}"/>
    <cellStyle name="Normal 50 4 5" xfId="8733" xr:uid="{00000000-0005-0000-0000-0000D1520000}"/>
    <cellStyle name="Normal 50 4 5 2" xfId="17908" xr:uid="{00000000-0005-0000-0000-0000D2520000}"/>
    <cellStyle name="Normal 50 4 5 2 2" xfId="34482" xr:uid="{00000000-0005-0000-0000-0000D3520000}"/>
    <cellStyle name="Normal 50 4 5 3" xfId="26435" xr:uid="{00000000-0005-0000-0000-0000D4520000}"/>
    <cellStyle name="Normal 50 4 6" xfId="14083" xr:uid="{00000000-0005-0000-0000-0000D5520000}"/>
    <cellStyle name="Normal 50 4 6 2" xfId="30629" xr:uid="{00000000-0005-0000-0000-0000D6520000}"/>
    <cellStyle name="Normal 50 4 7" xfId="22586" xr:uid="{00000000-0005-0000-0000-0000D7520000}"/>
    <cellStyle name="Normal 50 5" xfId="4741" xr:uid="{00000000-0005-0000-0000-0000D8520000}"/>
    <cellStyle name="Normal 50 5 2" xfId="4742" xr:uid="{00000000-0005-0000-0000-0000D9520000}"/>
    <cellStyle name="Normal 50 5 2 2" xfId="4743" xr:uid="{00000000-0005-0000-0000-0000DA520000}"/>
    <cellStyle name="Normal 50 5 2 2 2" xfId="4744" xr:uid="{00000000-0005-0000-0000-0000DB520000}"/>
    <cellStyle name="Normal 50 5 2 2 2 2" xfId="8734" xr:uid="{00000000-0005-0000-0000-0000DC520000}"/>
    <cellStyle name="Normal 50 5 2 2 2 2 2" xfId="17909" xr:uid="{00000000-0005-0000-0000-0000DD520000}"/>
    <cellStyle name="Normal 50 5 2 2 2 2 2 2" xfId="34483" xr:uid="{00000000-0005-0000-0000-0000DE520000}"/>
    <cellStyle name="Normal 50 5 2 2 2 2 3" xfId="26436" xr:uid="{00000000-0005-0000-0000-0000DF520000}"/>
    <cellStyle name="Normal 50 5 2 2 2 3" xfId="14094" xr:uid="{00000000-0005-0000-0000-0000E0520000}"/>
    <cellStyle name="Normal 50 5 2 2 2 3 2" xfId="30640" xr:uid="{00000000-0005-0000-0000-0000E1520000}"/>
    <cellStyle name="Normal 50 5 2 2 2 4" xfId="22597" xr:uid="{00000000-0005-0000-0000-0000E2520000}"/>
    <cellStyle name="Normal 50 5 2 2 3" xfId="8735" xr:uid="{00000000-0005-0000-0000-0000E3520000}"/>
    <cellStyle name="Normal 50 5 2 2 3 2" xfId="17910" xr:uid="{00000000-0005-0000-0000-0000E4520000}"/>
    <cellStyle name="Normal 50 5 2 2 3 2 2" xfId="34484" xr:uid="{00000000-0005-0000-0000-0000E5520000}"/>
    <cellStyle name="Normal 50 5 2 2 3 3" xfId="26437" xr:uid="{00000000-0005-0000-0000-0000E6520000}"/>
    <cellStyle name="Normal 50 5 2 2 4" xfId="14093" xr:uid="{00000000-0005-0000-0000-0000E7520000}"/>
    <cellStyle name="Normal 50 5 2 2 4 2" xfId="30639" xr:uid="{00000000-0005-0000-0000-0000E8520000}"/>
    <cellStyle name="Normal 50 5 2 2 5" xfId="22596" xr:uid="{00000000-0005-0000-0000-0000E9520000}"/>
    <cellStyle name="Normal 50 5 2 3" xfId="4745" xr:uid="{00000000-0005-0000-0000-0000EA520000}"/>
    <cellStyle name="Normal 50 5 2 3 2" xfId="8736" xr:uid="{00000000-0005-0000-0000-0000EB520000}"/>
    <cellStyle name="Normal 50 5 2 3 2 2" xfId="17911" xr:uid="{00000000-0005-0000-0000-0000EC520000}"/>
    <cellStyle name="Normal 50 5 2 3 2 2 2" xfId="34485" xr:uid="{00000000-0005-0000-0000-0000ED520000}"/>
    <cellStyle name="Normal 50 5 2 3 2 3" xfId="26438" xr:uid="{00000000-0005-0000-0000-0000EE520000}"/>
    <cellStyle name="Normal 50 5 2 3 3" xfId="14095" xr:uid="{00000000-0005-0000-0000-0000EF520000}"/>
    <cellStyle name="Normal 50 5 2 3 3 2" xfId="30641" xr:uid="{00000000-0005-0000-0000-0000F0520000}"/>
    <cellStyle name="Normal 50 5 2 3 4" xfId="22598" xr:uid="{00000000-0005-0000-0000-0000F1520000}"/>
    <cellStyle name="Normal 50 5 2 4" xfId="8737" xr:uid="{00000000-0005-0000-0000-0000F2520000}"/>
    <cellStyle name="Normal 50 5 2 4 2" xfId="17912" xr:uid="{00000000-0005-0000-0000-0000F3520000}"/>
    <cellStyle name="Normal 50 5 2 4 2 2" xfId="34486" xr:uid="{00000000-0005-0000-0000-0000F4520000}"/>
    <cellStyle name="Normal 50 5 2 4 3" xfId="26439" xr:uid="{00000000-0005-0000-0000-0000F5520000}"/>
    <cellStyle name="Normal 50 5 2 5" xfId="14092" xr:uid="{00000000-0005-0000-0000-0000F6520000}"/>
    <cellStyle name="Normal 50 5 2 5 2" xfId="30638" xr:uid="{00000000-0005-0000-0000-0000F7520000}"/>
    <cellStyle name="Normal 50 5 2 6" xfId="22595" xr:uid="{00000000-0005-0000-0000-0000F8520000}"/>
    <cellStyle name="Normal 50 5 3" xfId="4746" xr:uid="{00000000-0005-0000-0000-0000F9520000}"/>
    <cellStyle name="Normal 50 5 3 2" xfId="4747" xr:uid="{00000000-0005-0000-0000-0000FA520000}"/>
    <cellStyle name="Normal 50 5 3 2 2" xfId="8738" xr:uid="{00000000-0005-0000-0000-0000FB520000}"/>
    <cellStyle name="Normal 50 5 3 2 2 2" xfId="17913" xr:uid="{00000000-0005-0000-0000-0000FC520000}"/>
    <cellStyle name="Normal 50 5 3 2 2 2 2" xfId="34487" xr:uid="{00000000-0005-0000-0000-0000FD520000}"/>
    <cellStyle name="Normal 50 5 3 2 2 3" xfId="26440" xr:uid="{00000000-0005-0000-0000-0000FE520000}"/>
    <cellStyle name="Normal 50 5 3 2 3" xfId="14097" xr:uid="{00000000-0005-0000-0000-0000FF520000}"/>
    <cellStyle name="Normal 50 5 3 2 3 2" xfId="30643" xr:uid="{00000000-0005-0000-0000-000000530000}"/>
    <cellStyle name="Normal 50 5 3 2 4" xfId="22600" xr:uid="{00000000-0005-0000-0000-000001530000}"/>
    <cellStyle name="Normal 50 5 3 3" xfId="8739" xr:uid="{00000000-0005-0000-0000-000002530000}"/>
    <cellStyle name="Normal 50 5 3 3 2" xfId="17914" xr:uid="{00000000-0005-0000-0000-000003530000}"/>
    <cellStyle name="Normal 50 5 3 3 2 2" xfId="34488" xr:uid="{00000000-0005-0000-0000-000004530000}"/>
    <cellStyle name="Normal 50 5 3 3 3" xfId="26441" xr:uid="{00000000-0005-0000-0000-000005530000}"/>
    <cellStyle name="Normal 50 5 3 4" xfId="14096" xr:uid="{00000000-0005-0000-0000-000006530000}"/>
    <cellStyle name="Normal 50 5 3 4 2" xfId="30642" xr:uid="{00000000-0005-0000-0000-000007530000}"/>
    <cellStyle name="Normal 50 5 3 5" xfId="22599" xr:uid="{00000000-0005-0000-0000-000008530000}"/>
    <cellStyle name="Normal 50 5 4" xfId="4748" xr:uid="{00000000-0005-0000-0000-000009530000}"/>
    <cellStyle name="Normal 50 5 4 2" xfId="8740" xr:uid="{00000000-0005-0000-0000-00000A530000}"/>
    <cellStyle name="Normal 50 5 4 2 2" xfId="17915" xr:uid="{00000000-0005-0000-0000-00000B530000}"/>
    <cellStyle name="Normal 50 5 4 2 2 2" xfId="34489" xr:uid="{00000000-0005-0000-0000-00000C530000}"/>
    <cellStyle name="Normal 50 5 4 2 3" xfId="26442" xr:uid="{00000000-0005-0000-0000-00000D530000}"/>
    <cellStyle name="Normal 50 5 4 3" xfId="14098" xr:uid="{00000000-0005-0000-0000-00000E530000}"/>
    <cellStyle name="Normal 50 5 4 3 2" xfId="30644" xr:uid="{00000000-0005-0000-0000-00000F530000}"/>
    <cellStyle name="Normal 50 5 4 4" xfId="22601" xr:uid="{00000000-0005-0000-0000-000010530000}"/>
    <cellStyle name="Normal 50 5 5" xfId="8741" xr:uid="{00000000-0005-0000-0000-000011530000}"/>
    <cellStyle name="Normal 50 5 5 2" xfId="17916" xr:uid="{00000000-0005-0000-0000-000012530000}"/>
    <cellStyle name="Normal 50 5 5 2 2" xfId="34490" xr:uid="{00000000-0005-0000-0000-000013530000}"/>
    <cellStyle name="Normal 50 5 5 3" xfId="26443" xr:uid="{00000000-0005-0000-0000-000014530000}"/>
    <cellStyle name="Normal 50 5 6" xfId="14091" xr:uid="{00000000-0005-0000-0000-000015530000}"/>
    <cellStyle name="Normal 50 5 6 2" xfId="30637" xr:uid="{00000000-0005-0000-0000-000016530000}"/>
    <cellStyle name="Normal 50 5 7" xfId="22594" xr:uid="{00000000-0005-0000-0000-000017530000}"/>
    <cellStyle name="Normal 50 6" xfId="4749" xr:uid="{00000000-0005-0000-0000-000018530000}"/>
    <cellStyle name="Normal 50 6 2" xfId="4750" xr:uid="{00000000-0005-0000-0000-000019530000}"/>
    <cellStyle name="Normal 50 6 2 2" xfId="4751" xr:uid="{00000000-0005-0000-0000-00001A530000}"/>
    <cellStyle name="Normal 50 6 2 2 2" xfId="8742" xr:uid="{00000000-0005-0000-0000-00001B530000}"/>
    <cellStyle name="Normal 50 6 2 2 2 2" xfId="17917" xr:uid="{00000000-0005-0000-0000-00001C530000}"/>
    <cellStyle name="Normal 50 6 2 2 2 2 2" xfId="34491" xr:uid="{00000000-0005-0000-0000-00001D530000}"/>
    <cellStyle name="Normal 50 6 2 2 2 3" xfId="26444" xr:uid="{00000000-0005-0000-0000-00001E530000}"/>
    <cellStyle name="Normal 50 6 2 2 3" xfId="14101" xr:uid="{00000000-0005-0000-0000-00001F530000}"/>
    <cellStyle name="Normal 50 6 2 2 3 2" xfId="30647" xr:uid="{00000000-0005-0000-0000-000020530000}"/>
    <cellStyle name="Normal 50 6 2 2 4" xfId="22604" xr:uid="{00000000-0005-0000-0000-000021530000}"/>
    <cellStyle name="Normal 50 6 2 3" xfId="8743" xr:uid="{00000000-0005-0000-0000-000022530000}"/>
    <cellStyle name="Normal 50 6 2 3 2" xfId="17918" xr:uid="{00000000-0005-0000-0000-000023530000}"/>
    <cellStyle name="Normal 50 6 2 3 2 2" xfId="34492" xr:uid="{00000000-0005-0000-0000-000024530000}"/>
    <cellStyle name="Normal 50 6 2 3 3" xfId="26445" xr:uid="{00000000-0005-0000-0000-000025530000}"/>
    <cellStyle name="Normal 50 6 2 4" xfId="14100" xr:uid="{00000000-0005-0000-0000-000026530000}"/>
    <cellStyle name="Normal 50 6 2 4 2" xfId="30646" xr:uid="{00000000-0005-0000-0000-000027530000}"/>
    <cellStyle name="Normal 50 6 2 5" xfId="22603" xr:uid="{00000000-0005-0000-0000-000028530000}"/>
    <cellStyle name="Normal 50 6 3" xfId="4752" xr:uid="{00000000-0005-0000-0000-000029530000}"/>
    <cellStyle name="Normal 50 6 3 2" xfId="8744" xr:uid="{00000000-0005-0000-0000-00002A530000}"/>
    <cellStyle name="Normal 50 6 3 2 2" xfId="17919" xr:uid="{00000000-0005-0000-0000-00002B530000}"/>
    <cellStyle name="Normal 50 6 3 2 2 2" xfId="34493" xr:uid="{00000000-0005-0000-0000-00002C530000}"/>
    <cellStyle name="Normal 50 6 3 2 3" xfId="26446" xr:uid="{00000000-0005-0000-0000-00002D530000}"/>
    <cellStyle name="Normal 50 6 3 3" xfId="14102" xr:uid="{00000000-0005-0000-0000-00002E530000}"/>
    <cellStyle name="Normal 50 6 3 3 2" xfId="30648" xr:uid="{00000000-0005-0000-0000-00002F530000}"/>
    <cellStyle name="Normal 50 6 3 4" xfId="22605" xr:uid="{00000000-0005-0000-0000-000030530000}"/>
    <cellStyle name="Normal 50 6 4" xfId="8745" xr:uid="{00000000-0005-0000-0000-000031530000}"/>
    <cellStyle name="Normal 50 6 4 2" xfId="17920" xr:uid="{00000000-0005-0000-0000-000032530000}"/>
    <cellStyle name="Normal 50 6 4 2 2" xfId="34494" xr:uid="{00000000-0005-0000-0000-000033530000}"/>
    <cellStyle name="Normal 50 6 4 3" xfId="26447" xr:uid="{00000000-0005-0000-0000-000034530000}"/>
    <cellStyle name="Normal 50 6 5" xfId="14099" xr:uid="{00000000-0005-0000-0000-000035530000}"/>
    <cellStyle name="Normal 50 6 5 2" xfId="30645" xr:uid="{00000000-0005-0000-0000-000036530000}"/>
    <cellStyle name="Normal 50 6 6" xfId="22602" xr:uid="{00000000-0005-0000-0000-000037530000}"/>
    <cellStyle name="Normal 50 7" xfId="4753" xr:uid="{00000000-0005-0000-0000-000038530000}"/>
    <cellStyle name="Normal 50 7 2" xfId="4754" xr:uid="{00000000-0005-0000-0000-000039530000}"/>
    <cellStyle name="Normal 50 7 2 2" xfId="8746" xr:uid="{00000000-0005-0000-0000-00003A530000}"/>
    <cellStyle name="Normal 50 7 2 2 2" xfId="17921" xr:uid="{00000000-0005-0000-0000-00003B530000}"/>
    <cellStyle name="Normal 50 7 2 2 2 2" xfId="34495" xr:uid="{00000000-0005-0000-0000-00003C530000}"/>
    <cellStyle name="Normal 50 7 2 2 3" xfId="26448" xr:uid="{00000000-0005-0000-0000-00003D530000}"/>
    <cellStyle name="Normal 50 7 2 3" xfId="14104" xr:uid="{00000000-0005-0000-0000-00003E530000}"/>
    <cellStyle name="Normal 50 7 2 3 2" xfId="30650" xr:uid="{00000000-0005-0000-0000-00003F530000}"/>
    <cellStyle name="Normal 50 7 2 4" xfId="22607" xr:uid="{00000000-0005-0000-0000-000040530000}"/>
    <cellStyle name="Normal 50 7 3" xfId="8747" xr:uid="{00000000-0005-0000-0000-000041530000}"/>
    <cellStyle name="Normal 50 7 3 2" xfId="17922" xr:uid="{00000000-0005-0000-0000-000042530000}"/>
    <cellStyle name="Normal 50 7 3 2 2" xfId="34496" xr:uid="{00000000-0005-0000-0000-000043530000}"/>
    <cellStyle name="Normal 50 7 3 3" xfId="26449" xr:uid="{00000000-0005-0000-0000-000044530000}"/>
    <cellStyle name="Normal 50 7 4" xfId="14103" xr:uid="{00000000-0005-0000-0000-000045530000}"/>
    <cellStyle name="Normal 50 7 4 2" xfId="30649" xr:uid="{00000000-0005-0000-0000-000046530000}"/>
    <cellStyle name="Normal 50 7 5" xfId="22606" xr:uid="{00000000-0005-0000-0000-000047530000}"/>
    <cellStyle name="Normal 50 8" xfId="4755" xr:uid="{00000000-0005-0000-0000-000048530000}"/>
    <cellStyle name="Normal 50 8 2" xfId="8748" xr:uid="{00000000-0005-0000-0000-000049530000}"/>
    <cellStyle name="Normal 50 8 2 2" xfId="17923" xr:uid="{00000000-0005-0000-0000-00004A530000}"/>
    <cellStyle name="Normal 50 8 2 2 2" xfId="34497" xr:uid="{00000000-0005-0000-0000-00004B530000}"/>
    <cellStyle name="Normal 50 8 2 3" xfId="26450" xr:uid="{00000000-0005-0000-0000-00004C530000}"/>
    <cellStyle name="Normal 50 8 3" xfId="14105" xr:uid="{00000000-0005-0000-0000-00004D530000}"/>
    <cellStyle name="Normal 50 8 3 2" xfId="30651" xr:uid="{00000000-0005-0000-0000-00004E530000}"/>
    <cellStyle name="Normal 50 8 4" xfId="22608" xr:uid="{00000000-0005-0000-0000-00004F530000}"/>
    <cellStyle name="Normal 50 9" xfId="8749" xr:uid="{00000000-0005-0000-0000-000050530000}"/>
    <cellStyle name="Normal 50 9 2" xfId="17924" xr:uid="{00000000-0005-0000-0000-000051530000}"/>
    <cellStyle name="Normal 50 9 2 2" xfId="34498" xr:uid="{00000000-0005-0000-0000-000052530000}"/>
    <cellStyle name="Normal 50 9 3" xfId="26451" xr:uid="{00000000-0005-0000-0000-000053530000}"/>
    <cellStyle name="Normal 51" xfId="4756" xr:uid="{00000000-0005-0000-0000-000054530000}"/>
    <cellStyle name="Normal 51 10" xfId="14106" xr:uid="{00000000-0005-0000-0000-000055530000}"/>
    <cellStyle name="Normal 51 10 2" xfId="30652" xr:uid="{00000000-0005-0000-0000-000056530000}"/>
    <cellStyle name="Normal 51 11" xfId="22609" xr:uid="{00000000-0005-0000-0000-000057530000}"/>
    <cellStyle name="Normal 51 2" xfId="4757" xr:uid="{00000000-0005-0000-0000-000058530000}"/>
    <cellStyle name="Normal 51 2 2" xfId="4758" xr:uid="{00000000-0005-0000-0000-000059530000}"/>
    <cellStyle name="Normal 51 2 3" xfId="14107" xr:uid="{00000000-0005-0000-0000-00005A530000}"/>
    <cellStyle name="Normal 51 2 3 2" xfId="30653" xr:uid="{00000000-0005-0000-0000-00005B530000}"/>
    <cellStyle name="Normal 51 2 4" xfId="22610" xr:uid="{00000000-0005-0000-0000-00005C530000}"/>
    <cellStyle name="Normal 51 3" xfId="4759" xr:uid="{00000000-0005-0000-0000-00005D530000}"/>
    <cellStyle name="Normal 51 3 2" xfId="4760" xr:uid="{00000000-0005-0000-0000-00005E530000}"/>
    <cellStyle name="Normal 51 3 2 2" xfId="4761" xr:uid="{00000000-0005-0000-0000-00005F530000}"/>
    <cellStyle name="Normal 51 3 2 2 2" xfId="4762" xr:uid="{00000000-0005-0000-0000-000060530000}"/>
    <cellStyle name="Normal 51 3 2 2 2 2" xfId="8750" xr:uid="{00000000-0005-0000-0000-000061530000}"/>
    <cellStyle name="Normal 51 3 2 2 2 2 2" xfId="17925" xr:uid="{00000000-0005-0000-0000-000062530000}"/>
    <cellStyle name="Normal 51 3 2 2 2 2 2 2" xfId="34499" xr:uid="{00000000-0005-0000-0000-000063530000}"/>
    <cellStyle name="Normal 51 3 2 2 2 2 3" xfId="26452" xr:uid="{00000000-0005-0000-0000-000064530000}"/>
    <cellStyle name="Normal 51 3 2 2 2 3" xfId="14110" xr:uid="{00000000-0005-0000-0000-000065530000}"/>
    <cellStyle name="Normal 51 3 2 2 2 3 2" xfId="30656" xr:uid="{00000000-0005-0000-0000-000066530000}"/>
    <cellStyle name="Normal 51 3 2 2 2 4" xfId="22613" xr:uid="{00000000-0005-0000-0000-000067530000}"/>
    <cellStyle name="Normal 51 3 2 2 3" xfId="8751" xr:uid="{00000000-0005-0000-0000-000068530000}"/>
    <cellStyle name="Normal 51 3 2 2 3 2" xfId="17926" xr:uid="{00000000-0005-0000-0000-000069530000}"/>
    <cellStyle name="Normal 51 3 2 2 3 2 2" xfId="34500" xr:uid="{00000000-0005-0000-0000-00006A530000}"/>
    <cellStyle name="Normal 51 3 2 2 3 3" xfId="26453" xr:uid="{00000000-0005-0000-0000-00006B530000}"/>
    <cellStyle name="Normal 51 3 2 2 4" xfId="14109" xr:uid="{00000000-0005-0000-0000-00006C530000}"/>
    <cellStyle name="Normal 51 3 2 2 4 2" xfId="30655" xr:uid="{00000000-0005-0000-0000-00006D530000}"/>
    <cellStyle name="Normal 51 3 2 2 5" xfId="22612" xr:uid="{00000000-0005-0000-0000-00006E530000}"/>
    <cellStyle name="Normal 51 3 2 3" xfId="4763" xr:uid="{00000000-0005-0000-0000-00006F530000}"/>
    <cellStyle name="Normal 51 3 2 3 2" xfId="8752" xr:uid="{00000000-0005-0000-0000-000070530000}"/>
    <cellStyle name="Normal 51 3 2 3 2 2" xfId="17927" xr:uid="{00000000-0005-0000-0000-000071530000}"/>
    <cellStyle name="Normal 51 3 2 3 2 2 2" xfId="34501" xr:uid="{00000000-0005-0000-0000-000072530000}"/>
    <cellStyle name="Normal 51 3 2 3 2 3" xfId="26454" xr:uid="{00000000-0005-0000-0000-000073530000}"/>
    <cellStyle name="Normal 51 3 2 3 3" xfId="14111" xr:uid="{00000000-0005-0000-0000-000074530000}"/>
    <cellStyle name="Normal 51 3 2 3 3 2" xfId="30657" xr:uid="{00000000-0005-0000-0000-000075530000}"/>
    <cellStyle name="Normal 51 3 2 3 4" xfId="22614" xr:uid="{00000000-0005-0000-0000-000076530000}"/>
    <cellStyle name="Normal 51 3 2 4" xfId="8753" xr:uid="{00000000-0005-0000-0000-000077530000}"/>
    <cellStyle name="Normal 51 3 2 4 2" xfId="17928" xr:uid="{00000000-0005-0000-0000-000078530000}"/>
    <cellStyle name="Normal 51 3 2 4 2 2" xfId="34502" xr:uid="{00000000-0005-0000-0000-000079530000}"/>
    <cellStyle name="Normal 51 3 2 4 3" xfId="26455" xr:uid="{00000000-0005-0000-0000-00007A530000}"/>
    <cellStyle name="Normal 51 3 2 5" xfId="14108" xr:uid="{00000000-0005-0000-0000-00007B530000}"/>
    <cellStyle name="Normal 51 3 2 5 2" xfId="30654" xr:uid="{00000000-0005-0000-0000-00007C530000}"/>
    <cellStyle name="Normal 51 3 2 6" xfId="22611" xr:uid="{00000000-0005-0000-0000-00007D530000}"/>
    <cellStyle name="Normal 51 3 3" xfId="4764" xr:uid="{00000000-0005-0000-0000-00007E530000}"/>
    <cellStyle name="Normal 51 3 3 2" xfId="4765" xr:uid="{00000000-0005-0000-0000-00007F530000}"/>
    <cellStyle name="Normal 51 3 3 2 2" xfId="8754" xr:uid="{00000000-0005-0000-0000-000080530000}"/>
    <cellStyle name="Normal 51 3 3 2 2 2" xfId="17929" xr:uid="{00000000-0005-0000-0000-000081530000}"/>
    <cellStyle name="Normal 51 3 3 2 2 2 2" xfId="34503" xr:uid="{00000000-0005-0000-0000-000082530000}"/>
    <cellStyle name="Normal 51 3 3 2 2 3" xfId="26456" xr:uid="{00000000-0005-0000-0000-000083530000}"/>
    <cellStyle name="Normal 51 3 3 2 3" xfId="14113" xr:uid="{00000000-0005-0000-0000-000084530000}"/>
    <cellStyle name="Normal 51 3 3 2 3 2" xfId="30659" xr:uid="{00000000-0005-0000-0000-000085530000}"/>
    <cellStyle name="Normal 51 3 3 2 4" xfId="22616" xr:uid="{00000000-0005-0000-0000-000086530000}"/>
    <cellStyle name="Normal 51 3 3 3" xfId="8755" xr:uid="{00000000-0005-0000-0000-000087530000}"/>
    <cellStyle name="Normal 51 3 3 3 2" xfId="17930" xr:uid="{00000000-0005-0000-0000-000088530000}"/>
    <cellStyle name="Normal 51 3 3 3 2 2" xfId="34504" xr:uid="{00000000-0005-0000-0000-000089530000}"/>
    <cellStyle name="Normal 51 3 3 3 3" xfId="26457" xr:uid="{00000000-0005-0000-0000-00008A530000}"/>
    <cellStyle name="Normal 51 3 3 4" xfId="14112" xr:uid="{00000000-0005-0000-0000-00008B530000}"/>
    <cellStyle name="Normal 51 3 3 4 2" xfId="30658" xr:uid="{00000000-0005-0000-0000-00008C530000}"/>
    <cellStyle name="Normal 51 3 3 5" xfId="22615" xr:uid="{00000000-0005-0000-0000-00008D530000}"/>
    <cellStyle name="Normal 51 3 4" xfId="4766" xr:uid="{00000000-0005-0000-0000-00008E530000}"/>
    <cellStyle name="Normal 51 3 4 2" xfId="8756" xr:uid="{00000000-0005-0000-0000-00008F530000}"/>
    <cellStyle name="Normal 51 3 4 2 2" xfId="17931" xr:uid="{00000000-0005-0000-0000-000090530000}"/>
    <cellStyle name="Normal 51 3 4 2 2 2" xfId="34505" xr:uid="{00000000-0005-0000-0000-000091530000}"/>
    <cellStyle name="Normal 51 3 4 2 3" xfId="26458" xr:uid="{00000000-0005-0000-0000-000092530000}"/>
    <cellStyle name="Normal 51 3 4 3" xfId="14114" xr:uid="{00000000-0005-0000-0000-000093530000}"/>
    <cellStyle name="Normal 51 3 4 3 2" xfId="30660" xr:uid="{00000000-0005-0000-0000-000094530000}"/>
    <cellStyle name="Normal 51 3 4 4" xfId="22617" xr:uid="{00000000-0005-0000-0000-000095530000}"/>
    <cellStyle name="Normal 51 3 5" xfId="4767" xr:uid="{00000000-0005-0000-0000-000096530000}"/>
    <cellStyle name="Normal 51 3 5 2" xfId="14115" xr:uid="{00000000-0005-0000-0000-000097530000}"/>
    <cellStyle name="Normal 51 3 5 2 2" xfId="30661" xr:uid="{00000000-0005-0000-0000-000098530000}"/>
    <cellStyle name="Normal 51 3 5 3" xfId="22618" xr:uid="{00000000-0005-0000-0000-000099530000}"/>
    <cellStyle name="Normal 51 4" xfId="4768" xr:uid="{00000000-0005-0000-0000-00009A530000}"/>
    <cellStyle name="Normal 51 4 2" xfId="4769" xr:uid="{00000000-0005-0000-0000-00009B530000}"/>
    <cellStyle name="Normal 51 4 2 2" xfId="4770" xr:uid="{00000000-0005-0000-0000-00009C530000}"/>
    <cellStyle name="Normal 51 4 2 2 2" xfId="4771" xr:uid="{00000000-0005-0000-0000-00009D530000}"/>
    <cellStyle name="Normal 51 4 2 2 2 2" xfId="8757" xr:uid="{00000000-0005-0000-0000-00009E530000}"/>
    <cellStyle name="Normal 51 4 2 2 2 2 2" xfId="17932" xr:uid="{00000000-0005-0000-0000-00009F530000}"/>
    <cellStyle name="Normal 51 4 2 2 2 2 2 2" xfId="34506" xr:uid="{00000000-0005-0000-0000-0000A0530000}"/>
    <cellStyle name="Normal 51 4 2 2 2 2 3" xfId="26459" xr:uid="{00000000-0005-0000-0000-0000A1530000}"/>
    <cellStyle name="Normal 51 4 2 2 2 3" xfId="14119" xr:uid="{00000000-0005-0000-0000-0000A2530000}"/>
    <cellStyle name="Normal 51 4 2 2 2 3 2" xfId="30665" xr:uid="{00000000-0005-0000-0000-0000A3530000}"/>
    <cellStyle name="Normal 51 4 2 2 2 4" xfId="22622" xr:uid="{00000000-0005-0000-0000-0000A4530000}"/>
    <cellStyle name="Normal 51 4 2 2 3" xfId="8758" xr:uid="{00000000-0005-0000-0000-0000A5530000}"/>
    <cellStyle name="Normal 51 4 2 2 3 2" xfId="17933" xr:uid="{00000000-0005-0000-0000-0000A6530000}"/>
    <cellStyle name="Normal 51 4 2 2 3 2 2" xfId="34507" xr:uid="{00000000-0005-0000-0000-0000A7530000}"/>
    <cellStyle name="Normal 51 4 2 2 3 3" xfId="26460" xr:uid="{00000000-0005-0000-0000-0000A8530000}"/>
    <cellStyle name="Normal 51 4 2 2 4" xfId="14118" xr:uid="{00000000-0005-0000-0000-0000A9530000}"/>
    <cellStyle name="Normal 51 4 2 2 4 2" xfId="30664" xr:uid="{00000000-0005-0000-0000-0000AA530000}"/>
    <cellStyle name="Normal 51 4 2 2 5" xfId="22621" xr:uid="{00000000-0005-0000-0000-0000AB530000}"/>
    <cellStyle name="Normal 51 4 2 3" xfId="4772" xr:uid="{00000000-0005-0000-0000-0000AC530000}"/>
    <cellStyle name="Normal 51 4 2 3 2" xfId="8759" xr:uid="{00000000-0005-0000-0000-0000AD530000}"/>
    <cellStyle name="Normal 51 4 2 3 2 2" xfId="17934" xr:uid="{00000000-0005-0000-0000-0000AE530000}"/>
    <cellStyle name="Normal 51 4 2 3 2 2 2" xfId="34508" xr:uid="{00000000-0005-0000-0000-0000AF530000}"/>
    <cellStyle name="Normal 51 4 2 3 2 3" xfId="26461" xr:uid="{00000000-0005-0000-0000-0000B0530000}"/>
    <cellStyle name="Normal 51 4 2 3 3" xfId="14120" xr:uid="{00000000-0005-0000-0000-0000B1530000}"/>
    <cellStyle name="Normal 51 4 2 3 3 2" xfId="30666" xr:uid="{00000000-0005-0000-0000-0000B2530000}"/>
    <cellStyle name="Normal 51 4 2 3 4" xfId="22623" xr:uid="{00000000-0005-0000-0000-0000B3530000}"/>
    <cellStyle name="Normal 51 4 2 4" xfId="8760" xr:uid="{00000000-0005-0000-0000-0000B4530000}"/>
    <cellStyle name="Normal 51 4 2 4 2" xfId="17935" xr:uid="{00000000-0005-0000-0000-0000B5530000}"/>
    <cellStyle name="Normal 51 4 2 4 2 2" xfId="34509" xr:uid="{00000000-0005-0000-0000-0000B6530000}"/>
    <cellStyle name="Normal 51 4 2 4 3" xfId="26462" xr:uid="{00000000-0005-0000-0000-0000B7530000}"/>
    <cellStyle name="Normal 51 4 2 5" xfId="14117" xr:uid="{00000000-0005-0000-0000-0000B8530000}"/>
    <cellStyle name="Normal 51 4 2 5 2" xfId="30663" xr:uid="{00000000-0005-0000-0000-0000B9530000}"/>
    <cellStyle name="Normal 51 4 2 6" xfId="22620" xr:uid="{00000000-0005-0000-0000-0000BA530000}"/>
    <cellStyle name="Normal 51 4 3" xfId="4773" xr:uid="{00000000-0005-0000-0000-0000BB530000}"/>
    <cellStyle name="Normal 51 4 3 2" xfId="4774" xr:uid="{00000000-0005-0000-0000-0000BC530000}"/>
    <cellStyle name="Normal 51 4 3 2 2" xfId="8761" xr:uid="{00000000-0005-0000-0000-0000BD530000}"/>
    <cellStyle name="Normal 51 4 3 2 2 2" xfId="17936" xr:uid="{00000000-0005-0000-0000-0000BE530000}"/>
    <cellStyle name="Normal 51 4 3 2 2 2 2" xfId="34510" xr:uid="{00000000-0005-0000-0000-0000BF530000}"/>
    <cellStyle name="Normal 51 4 3 2 2 3" xfId="26463" xr:uid="{00000000-0005-0000-0000-0000C0530000}"/>
    <cellStyle name="Normal 51 4 3 2 3" xfId="14122" xr:uid="{00000000-0005-0000-0000-0000C1530000}"/>
    <cellStyle name="Normal 51 4 3 2 3 2" xfId="30668" xr:uid="{00000000-0005-0000-0000-0000C2530000}"/>
    <cellStyle name="Normal 51 4 3 2 4" xfId="22625" xr:uid="{00000000-0005-0000-0000-0000C3530000}"/>
    <cellStyle name="Normal 51 4 3 3" xfId="8762" xr:uid="{00000000-0005-0000-0000-0000C4530000}"/>
    <cellStyle name="Normal 51 4 3 3 2" xfId="17937" xr:uid="{00000000-0005-0000-0000-0000C5530000}"/>
    <cellStyle name="Normal 51 4 3 3 2 2" xfId="34511" xr:uid="{00000000-0005-0000-0000-0000C6530000}"/>
    <cellStyle name="Normal 51 4 3 3 3" xfId="26464" xr:uid="{00000000-0005-0000-0000-0000C7530000}"/>
    <cellStyle name="Normal 51 4 3 4" xfId="14121" xr:uid="{00000000-0005-0000-0000-0000C8530000}"/>
    <cellStyle name="Normal 51 4 3 4 2" xfId="30667" xr:uid="{00000000-0005-0000-0000-0000C9530000}"/>
    <cellStyle name="Normal 51 4 3 5" xfId="22624" xr:uid="{00000000-0005-0000-0000-0000CA530000}"/>
    <cellStyle name="Normal 51 4 4" xfId="4775" xr:uid="{00000000-0005-0000-0000-0000CB530000}"/>
    <cellStyle name="Normal 51 4 4 2" xfId="8763" xr:uid="{00000000-0005-0000-0000-0000CC530000}"/>
    <cellStyle name="Normal 51 4 4 2 2" xfId="17938" xr:uid="{00000000-0005-0000-0000-0000CD530000}"/>
    <cellStyle name="Normal 51 4 4 2 2 2" xfId="34512" xr:uid="{00000000-0005-0000-0000-0000CE530000}"/>
    <cellStyle name="Normal 51 4 4 2 3" xfId="26465" xr:uid="{00000000-0005-0000-0000-0000CF530000}"/>
    <cellStyle name="Normal 51 4 4 3" xfId="14123" xr:uid="{00000000-0005-0000-0000-0000D0530000}"/>
    <cellStyle name="Normal 51 4 4 3 2" xfId="30669" xr:uid="{00000000-0005-0000-0000-0000D1530000}"/>
    <cellStyle name="Normal 51 4 4 4" xfId="22626" xr:uid="{00000000-0005-0000-0000-0000D2530000}"/>
    <cellStyle name="Normal 51 4 5" xfId="8764" xr:uid="{00000000-0005-0000-0000-0000D3530000}"/>
    <cellStyle name="Normal 51 4 5 2" xfId="17939" xr:uid="{00000000-0005-0000-0000-0000D4530000}"/>
    <cellStyle name="Normal 51 4 5 2 2" xfId="34513" xr:uid="{00000000-0005-0000-0000-0000D5530000}"/>
    <cellStyle name="Normal 51 4 5 3" xfId="26466" xr:uid="{00000000-0005-0000-0000-0000D6530000}"/>
    <cellStyle name="Normal 51 4 6" xfId="14116" xr:uid="{00000000-0005-0000-0000-0000D7530000}"/>
    <cellStyle name="Normal 51 4 6 2" xfId="30662" xr:uid="{00000000-0005-0000-0000-0000D8530000}"/>
    <cellStyle name="Normal 51 4 7" xfId="22619" xr:uid="{00000000-0005-0000-0000-0000D9530000}"/>
    <cellStyle name="Normal 51 5" xfId="4776" xr:uid="{00000000-0005-0000-0000-0000DA530000}"/>
    <cellStyle name="Normal 51 5 2" xfId="4777" xr:uid="{00000000-0005-0000-0000-0000DB530000}"/>
    <cellStyle name="Normal 51 5 2 2" xfId="4778" xr:uid="{00000000-0005-0000-0000-0000DC530000}"/>
    <cellStyle name="Normal 51 5 2 2 2" xfId="4779" xr:uid="{00000000-0005-0000-0000-0000DD530000}"/>
    <cellStyle name="Normal 51 5 2 2 2 2" xfId="8765" xr:uid="{00000000-0005-0000-0000-0000DE530000}"/>
    <cellStyle name="Normal 51 5 2 2 2 2 2" xfId="17940" xr:uid="{00000000-0005-0000-0000-0000DF530000}"/>
    <cellStyle name="Normal 51 5 2 2 2 2 2 2" xfId="34514" xr:uid="{00000000-0005-0000-0000-0000E0530000}"/>
    <cellStyle name="Normal 51 5 2 2 2 2 3" xfId="26467" xr:uid="{00000000-0005-0000-0000-0000E1530000}"/>
    <cellStyle name="Normal 51 5 2 2 2 3" xfId="14127" xr:uid="{00000000-0005-0000-0000-0000E2530000}"/>
    <cellStyle name="Normal 51 5 2 2 2 3 2" xfId="30673" xr:uid="{00000000-0005-0000-0000-0000E3530000}"/>
    <cellStyle name="Normal 51 5 2 2 2 4" xfId="22630" xr:uid="{00000000-0005-0000-0000-0000E4530000}"/>
    <cellStyle name="Normal 51 5 2 2 3" xfId="8766" xr:uid="{00000000-0005-0000-0000-0000E5530000}"/>
    <cellStyle name="Normal 51 5 2 2 3 2" xfId="17941" xr:uid="{00000000-0005-0000-0000-0000E6530000}"/>
    <cellStyle name="Normal 51 5 2 2 3 2 2" xfId="34515" xr:uid="{00000000-0005-0000-0000-0000E7530000}"/>
    <cellStyle name="Normal 51 5 2 2 3 3" xfId="26468" xr:uid="{00000000-0005-0000-0000-0000E8530000}"/>
    <cellStyle name="Normal 51 5 2 2 4" xfId="14126" xr:uid="{00000000-0005-0000-0000-0000E9530000}"/>
    <cellStyle name="Normal 51 5 2 2 4 2" xfId="30672" xr:uid="{00000000-0005-0000-0000-0000EA530000}"/>
    <cellStyle name="Normal 51 5 2 2 5" xfId="22629" xr:uid="{00000000-0005-0000-0000-0000EB530000}"/>
    <cellStyle name="Normal 51 5 2 3" xfId="4780" xr:uid="{00000000-0005-0000-0000-0000EC530000}"/>
    <cellStyle name="Normal 51 5 2 3 2" xfId="8767" xr:uid="{00000000-0005-0000-0000-0000ED530000}"/>
    <cellStyle name="Normal 51 5 2 3 2 2" xfId="17942" xr:uid="{00000000-0005-0000-0000-0000EE530000}"/>
    <cellStyle name="Normal 51 5 2 3 2 2 2" xfId="34516" xr:uid="{00000000-0005-0000-0000-0000EF530000}"/>
    <cellStyle name="Normal 51 5 2 3 2 3" xfId="26469" xr:uid="{00000000-0005-0000-0000-0000F0530000}"/>
    <cellStyle name="Normal 51 5 2 3 3" xfId="14128" xr:uid="{00000000-0005-0000-0000-0000F1530000}"/>
    <cellStyle name="Normal 51 5 2 3 3 2" xfId="30674" xr:uid="{00000000-0005-0000-0000-0000F2530000}"/>
    <cellStyle name="Normal 51 5 2 3 4" xfId="22631" xr:uid="{00000000-0005-0000-0000-0000F3530000}"/>
    <cellStyle name="Normal 51 5 2 4" xfId="8768" xr:uid="{00000000-0005-0000-0000-0000F4530000}"/>
    <cellStyle name="Normal 51 5 2 4 2" xfId="17943" xr:uid="{00000000-0005-0000-0000-0000F5530000}"/>
    <cellStyle name="Normal 51 5 2 4 2 2" xfId="34517" xr:uid="{00000000-0005-0000-0000-0000F6530000}"/>
    <cellStyle name="Normal 51 5 2 4 3" xfId="26470" xr:uid="{00000000-0005-0000-0000-0000F7530000}"/>
    <cellStyle name="Normal 51 5 2 5" xfId="14125" xr:uid="{00000000-0005-0000-0000-0000F8530000}"/>
    <cellStyle name="Normal 51 5 2 5 2" xfId="30671" xr:uid="{00000000-0005-0000-0000-0000F9530000}"/>
    <cellStyle name="Normal 51 5 2 6" xfId="22628" xr:uid="{00000000-0005-0000-0000-0000FA530000}"/>
    <cellStyle name="Normal 51 5 3" xfId="4781" xr:uid="{00000000-0005-0000-0000-0000FB530000}"/>
    <cellStyle name="Normal 51 5 3 2" xfId="4782" xr:uid="{00000000-0005-0000-0000-0000FC530000}"/>
    <cellStyle name="Normal 51 5 3 2 2" xfId="8769" xr:uid="{00000000-0005-0000-0000-0000FD530000}"/>
    <cellStyle name="Normal 51 5 3 2 2 2" xfId="17944" xr:uid="{00000000-0005-0000-0000-0000FE530000}"/>
    <cellStyle name="Normal 51 5 3 2 2 2 2" xfId="34518" xr:uid="{00000000-0005-0000-0000-0000FF530000}"/>
    <cellStyle name="Normal 51 5 3 2 2 3" xfId="26471" xr:uid="{00000000-0005-0000-0000-000000540000}"/>
    <cellStyle name="Normal 51 5 3 2 3" xfId="14130" xr:uid="{00000000-0005-0000-0000-000001540000}"/>
    <cellStyle name="Normal 51 5 3 2 3 2" xfId="30676" xr:uid="{00000000-0005-0000-0000-000002540000}"/>
    <cellStyle name="Normal 51 5 3 2 4" xfId="22633" xr:uid="{00000000-0005-0000-0000-000003540000}"/>
    <cellStyle name="Normal 51 5 3 3" xfId="8770" xr:uid="{00000000-0005-0000-0000-000004540000}"/>
    <cellStyle name="Normal 51 5 3 3 2" xfId="17945" xr:uid="{00000000-0005-0000-0000-000005540000}"/>
    <cellStyle name="Normal 51 5 3 3 2 2" xfId="34519" xr:uid="{00000000-0005-0000-0000-000006540000}"/>
    <cellStyle name="Normal 51 5 3 3 3" xfId="26472" xr:uid="{00000000-0005-0000-0000-000007540000}"/>
    <cellStyle name="Normal 51 5 3 4" xfId="14129" xr:uid="{00000000-0005-0000-0000-000008540000}"/>
    <cellStyle name="Normal 51 5 3 4 2" xfId="30675" xr:uid="{00000000-0005-0000-0000-000009540000}"/>
    <cellStyle name="Normal 51 5 3 5" xfId="22632" xr:uid="{00000000-0005-0000-0000-00000A540000}"/>
    <cellStyle name="Normal 51 5 4" xfId="4783" xr:uid="{00000000-0005-0000-0000-00000B540000}"/>
    <cellStyle name="Normal 51 5 4 2" xfId="8771" xr:uid="{00000000-0005-0000-0000-00000C540000}"/>
    <cellStyle name="Normal 51 5 4 2 2" xfId="17946" xr:uid="{00000000-0005-0000-0000-00000D540000}"/>
    <cellStyle name="Normal 51 5 4 2 2 2" xfId="34520" xr:uid="{00000000-0005-0000-0000-00000E540000}"/>
    <cellStyle name="Normal 51 5 4 2 3" xfId="26473" xr:uid="{00000000-0005-0000-0000-00000F540000}"/>
    <cellStyle name="Normal 51 5 4 3" xfId="14131" xr:uid="{00000000-0005-0000-0000-000010540000}"/>
    <cellStyle name="Normal 51 5 4 3 2" xfId="30677" xr:uid="{00000000-0005-0000-0000-000011540000}"/>
    <cellStyle name="Normal 51 5 4 4" xfId="22634" xr:uid="{00000000-0005-0000-0000-000012540000}"/>
    <cellStyle name="Normal 51 5 5" xfId="8772" xr:uid="{00000000-0005-0000-0000-000013540000}"/>
    <cellStyle name="Normal 51 5 5 2" xfId="17947" xr:uid="{00000000-0005-0000-0000-000014540000}"/>
    <cellStyle name="Normal 51 5 5 2 2" xfId="34521" xr:uid="{00000000-0005-0000-0000-000015540000}"/>
    <cellStyle name="Normal 51 5 5 3" xfId="26474" xr:uid="{00000000-0005-0000-0000-000016540000}"/>
    <cellStyle name="Normal 51 5 6" xfId="14124" xr:uid="{00000000-0005-0000-0000-000017540000}"/>
    <cellStyle name="Normal 51 5 6 2" xfId="30670" xr:uid="{00000000-0005-0000-0000-000018540000}"/>
    <cellStyle name="Normal 51 5 7" xfId="22627" xr:uid="{00000000-0005-0000-0000-000019540000}"/>
    <cellStyle name="Normal 51 6" xfId="4784" xr:uid="{00000000-0005-0000-0000-00001A540000}"/>
    <cellStyle name="Normal 51 6 2" xfId="4785" xr:uid="{00000000-0005-0000-0000-00001B540000}"/>
    <cellStyle name="Normal 51 6 2 2" xfId="4786" xr:uid="{00000000-0005-0000-0000-00001C540000}"/>
    <cellStyle name="Normal 51 6 2 2 2" xfId="8773" xr:uid="{00000000-0005-0000-0000-00001D540000}"/>
    <cellStyle name="Normal 51 6 2 2 2 2" xfId="17948" xr:uid="{00000000-0005-0000-0000-00001E540000}"/>
    <cellStyle name="Normal 51 6 2 2 2 2 2" xfId="34522" xr:uid="{00000000-0005-0000-0000-00001F540000}"/>
    <cellStyle name="Normal 51 6 2 2 2 3" xfId="26475" xr:uid="{00000000-0005-0000-0000-000020540000}"/>
    <cellStyle name="Normal 51 6 2 2 3" xfId="14134" xr:uid="{00000000-0005-0000-0000-000021540000}"/>
    <cellStyle name="Normal 51 6 2 2 3 2" xfId="30680" xr:uid="{00000000-0005-0000-0000-000022540000}"/>
    <cellStyle name="Normal 51 6 2 2 4" xfId="22637" xr:uid="{00000000-0005-0000-0000-000023540000}"/>
    <cellStyle name="Normal 51 6 2 3" xfId="8774" xr:uid="{00000000-0005-0000-0000-000024540000}"/>
    <cellStyle name="Normal 51 6 2 3 2" xfId="17949" xr:uid="{00000000-0005-0000-0000-000025540000}"/>
    <cellStyle name="Normal 51 6 2 3 2 2" xfId="34523" xr:uid="{00000000-0005-0000-0000-000026540000}"/>
    <cellStyle name="Normal 51 6 2 3 3" xfId="26476" xr:uid="{00000000-0005-0000-0000-000027540000}"/>
    <cellStyle name="Normal 51 6 2 4" xfId="14133" xr:uid="{00000000-0005-0000-0000-000028540000}"/>
    <cellStyle name="Normal 51 6 2 4 2" xfId="30679" xr:uid="{00000000-0005-0000-0000-000029540000}"/>
    <cellStyle name="Normal 51 6 2 5" xfId="22636" xr:uid="{00000000-0005-0000-0000-00002A540000}"/>
    <cellStyle name="Normal 51 6 3" xfId="4787" xr:uid="{00000000-0005-0000-0000-00002B540000}"/>
    <cellStyle name="Normal 51 6 3 2" xfId="8775" xr:uid="{00000000-0005-0000-0000-00002C540000}"/>
    <cellStyle name="Normal 51 6 3 2 2" xfId="17950" xr:uid="{00000000-0005-0000-0000-00002D540000}"/>
    <cellStyle name="Normal 51 6 3 2 2 2" xfId="34524" xr:uid="{00000000-0005-0000-0000-00002E540000}"/>
    <cellStyle name="Normal 51 6 3 2 3" xfId="26477" xr:uid="{00000000-0005-0000-0000-00002F540000}"/>
    <cellStyle name="Normal 51 6 3 3" xfId="14135" xr:uid="{00000000-0005-0000-0000-000030540000}"/>
    <cellStyle name="Normal 51 6 3 3 2" xfId="30681" xr:uid="{00000000-0005-0000-0000-000031540000}"/>
    <cellStyle name="Normal 51 6 3 4" xfId="22638" xr:uid="{00000000-0005-0000-0000-000032540000}"/>
    <cellStyle name="Normal 51 6 4" xfId="8776" xr:uid="{00000000-0005-0000-0000-000033540000}"/>
    <cellStyle name="Normal 51 6 4 2" xfId="17951" xr:uid="{00000000-0005-0000-0000-000034540000}"/>
    <cellStyle name="Normal 51 6 4 2 2" xfId="34525" xr:uid="{00000000-0005-0000-0000-000035540000}"/>
    <cellStyle name="Normal 51 6 4 3" xfId="26478" xr:uid="{00000000-0005-0000-0000-000036540000}"/>
    <cellStyle name="Normal 51 6 5" xfId="14132" xr:uid="{00000000-0005-0000-0000-000037540000}"/>
    <cellStyle name="Normal 51 6 5 2" xfId="30678" xr:uid="{00000000-0005-0000-0000-000038540000}"/>
    <cellStyle name="Normal 51 6 6" xfId="22635" xr:uid="{00000000-0005-0000-0000-000039540000}"/>
    <cellStyle name="Normal 51 7" xfId="4788" xr:uid="{00000000-0005-0000-0000-00003A540000}"/>
    <cellStyle name="Normal 51 7 2" xfId="4789" xr:uid="{00000000-0005-0000-0000-00003B540000}"/>
    <cellStyle name="Normal 51 7 2 2" xfId="8777" xr:uid="{00000000-0005-0000-0000-00003C540000}"/>
    <cellStyle name="Normal 51 7 2 2 2" xfId="17952" xr:uid="{00000000-0005-0000-0000-00003D540000}"/>
    <cellStyle name="Normal 51 7 2 2 2 2" xfId="34526" xr:uid="{00000000-0005-0000-0000-00003E540000}"/>
    <cellStyle name="Normal 51 7 2 2 3" xfId="26479" xr:uid="{00000000-0005-0000-0000-00003F540000}"/>
    <cellStyle name="Normal 51 7 2 3" xfId="14137" xr:uid="{00000000-0005-0000-0000-000040540000}"/>
    <cellStyle name="Normal 51 7 2 3 2" xfId="30683" xr:uid="{00000000-0005-0000-0000-000041540000}"/>
    <cellStyle name="Normal 51 7 2 4" xfId="22640" xr:uid="{00000000-0005-0000-0000-000042540000}"/>
    <cellStyle name="Normal 51 7 3" xfId="8778" xr:uid="{00000000-0005-0000-0000-000043540000}"/>
    <cellStyle name="Normal 51 7 3 2" xfId="17953" xr:uid="{00000000-0005-0000-0000-000044540000}"/>
    <cellStyle name="Normal 51 7 3 2 2" xfId="34527" xr:uid="{00000000-0005-0000-0000-000045540000}"/>
    <cellStyle name="Normal 51 7 3 3" xfId="26480" xr:uid="{00000000-0005-0000-0000-000046540000}"/>
    <cellStyle name="Normal 51 7 4" xfId="14136" xr:uid="{00000000-0005-0000-0000-000047540000}"/>
    <cellStyle name="Normal 51 7 4 2" xfId="30682" xr:uid="{00000000-0005-0000-0000-000048540000}"/>
    <cellStyle name="Normal 51 7 5" xfId="22639" xr:uid="{00000000-0005-0000-0000-000049540000}"/>
    <cellStyle name="Normal 51 8" xfId="4790" xr:uid="{00000000-0005-0000-0000-00004A540000}"/>
    <cellStyle name="Normal 51 8 2" xfId="8779" xr:uid="{00000000-0005-0000-0000-00004B540000}"/>
    <cellStyle name="Normal 51 8 2 2" xfId="17954" xr:uid="{00000000-0005-0000-0000-00004C540000}"/>
    <cellStyle name="Normal 51 8 2 2 2" xfId="34528" xr:uid="{00000000-0005-0000-0000-00004D540000}"/>
    <cellStyle name="Normal 51 8 2 3" xfId="26481" xr:uid="{00000000-0005-0000-0000-00004E540000}"/>
    <cellStyle name="Normal 51 8 3" xfId="14138" xr:uid="{00000000-0005-0000-0000-00004F540000}"/>
    <cellStyle name="Normal 51 8 3 2" xfId="30684" xr:uid="{00000000-0005-0000-0000-000050540000}"/>
    <cellStyle name="Normal 51 8 4" xfId="22641" xr:uid="{00000000-0005-0000-0000-000051540000}"/>
    <cellStyle name="Normal 51 9" xfId="8780" xr:uid="{00000000-0005-0000-0000-000052540000}"/>
    <cellStyle name="Normal 51 9 2" xfId="17955" xr:uid="{00000000-0005-0000-0000-000053540000}"/>
    <cellStyle name="Normal 51 9 2 2" xfId="34529" xr:uid="{00000000-0005-0000-0000-000054540000}"/>
    <cellStyle name="Normal 51 9 3" xfId="26482" xr:uid="{00000000-0005-0000-0000-000055540000}"/>
    <cellStyle name="Normal 52" xfId="4791" xr:uid="{00000000-0005-0000-0000-000056540000}"/>
    <cellStyle name="Normal 52 10" xfId="14139" xr:uid="{00000000-0005-0000-0000-000057540000}"/>
    <cellStyle name="Normal 52 10 2" xfId="30685" xr:uid="{00000000-0005-0000-0000-000058540000}"/>
    <cellStyle name="Normal 52 11" xfId="22642" xr:uid="{00000000-0005-0000-0000-000059540000}"/>
    <cellStyle name="Normal 52 2" xfId="4792" xr:uid="{00000000-0005-0000-0000-00005A540000}"/>
    <cellStyle name="Normal 52 2 2" xfId="4793" xr:uid="{00000000-0005-0000-0000-00005B540000}"/>
    <cellStyle name="Normal 52 2 3" xfId="14140" xr:uid="{00000000-0005-0000-0000-00005C540000}"/>
    <cellStyle name="Normal 52 2 3 2" xfId="30686" xr:uid="{00000000-0005-0000-0000-00005D540000}"/>
    <cellStyle name="Normal 52 2 4" xfId="22643" xr:uid="{00000000-0005-0000-0000-00005E540000}"/>
    <cellStyle name="Normal 52 3" xfId="4794" xr:uid="{00000000-0005-0000-0000-00005F540000}"/>
    <cellStyle name="Normal 52 3 2" xfId="4795" xr:uid="{00000000-0005-0000-0000-000060540000}"/>
    <cellStyle name="Normal 52 3 2 2" xfId="4796" xr:uid="{00000000-0005-0000-0000-000061540000}"/>
    <cellStyle name="Normal 52 3 2 2 2" xfId="4797" xr:uid="{00000000-0005-0000-0000-000062540000}"/>
    <cellStyle name="Normal 52 3 2 2 2 2" xfId="8781" xr:uid="{00000000-0005-0000-0000-000063540000}"/>
    <cellStyle name="Normal 52 3 2 2 2 2 2" xfId="17956" xr:uid="{00000000-0005-0000-0000-000064540000}"/>
    <cellStyle name="Normal 52 3 2 2 2 2 2 2" xfId="34530" xr:uid="{00000000-0005-0000-0000-000065540000}"/>
    <cellStyle name="Normal 52 3 2 2 2 2 3" xfId="26483" xr:uid="{00000000-0005-0000-0000-000066540000}"/>
    <cellStyle name="Normal 52 3 2 2 2 3" xfId="14143" xr:uid="{00000000-0005-0000-0000-000067540000}"/>
    <cellStyle name="Normal 52 3 2 2 2 3 2" xfId="30689" xr:uid="{00000000-0005-0000-0000-000068540000}"/>
    <cellStyle name="Normal 52 3 2 2 2 4" xfId="22646" xr:uid="{00000000-0005-0000-0000-000069540000}"/>
    <cellStyle name="Normal 52 3 2 2 3" xfId="8782" xr:uid="{00000000-0005-0000-0000-00006A540000}"/>
    <cellStyle name="Normal 52 3 2 2 3 2" xfId="17957" xr:uid="{00000000-0005-0000-0000-00006B540000}"/>
    <cellStyle name="Normal 52 3 2 2 3 2 2" xfId="34531" xr:uid="{00000000-0005-0000-0000-00006C540000}"/>
    <cellStyle name="Normal 52 3 2 2 3 3" xfId="26484" xr:uid="{00000000-0005-0000-0000-00006D540000}"/>
    <cellStyle name="Normal 52 3 2 2 4" xfId="14142" xr:uid="{00000000-0005-0000-0000-00006E540000}"/>
    <cellStyle name="Normal 52 3 2 2 4 2" xfId="30688" xr:uid="{00000000-0005-0000-0000-00006F540000}"/>
    <cellStyle name="Normal 52 3 2 2 5" xfId="22645" xr:uid="{00000000-0005-0000-0000-000070540000}"/>
    <cellStyle name="Normal 52 3 2 3" xfId="4798" xr:uid="{00000000-0005-0000-0000-000071540000}"/>
    <cellStyle name="Normal 52 3 2 3 2" xfId="8783" xr:uid="{00000000-0005-0000-0000-000072540000}"/>
    <cellStyle name="Normal 52 3 2 3 2 2" xfId="17958" xr:uid="{00000000-0005-0000-0000-000073540000}"/>
    <cellStyle name="Normal 52 3 2 3 2 2 2" xfId="34532" xr:uid="{00000000-0005-0000-0000-000074540000}"/>
    <cellStyle name="Normal 52 3 2 3 2 3" xfId="26485" xr:uid="{00000000-0005-0000-0000-000075540000}"/>
    <cellStyle name="Normal 52 3 2 3 3" xfId="14144" xr:uid="{00000000-0005-0000-0000-000076540000}"/>
    <cellStyle name="Normal 52 3 2 3 3 2" xfId="30690" xr:uid="{00000000-0005-0000-0000-000077540000}"/>
    <cellStyle name="Normal 52 3 2 3 4" xfId="22647" xr:uid="{00000000-0005-0000-0000-000078540000}"/>
    <cellStyle name="Normal 52 3 2 4" xfId="8784" xr:uid="{00000000-0005-0000-0000-000079540000}"/>
    <cellStyle name="Normal 52 3 2 4 2" xfId="17959" xr:uid="{00000000-0005-0000-0000-00007A540000}"/>
    <cellStyle name="Normal 52 3 2 4 2 2" xfId="34533" xr:uid="{00000000-0005-0000-0000-00007B540000}"/>
    <cellStyle name="Normal 52 3 2 4 3" xfId="26486" xr:uid="{00000000-0005-0000-0000-00007C540000}"/>
    <cellStyle name="Normal 52 3 2 5" xfId="14141" xr:uid="{00000000-0005-0000-0000-00007D540000}"/>
    <cellStyle name="Normal 52 3 2 5 2" xfId="30687" xr:uid="{00000000-0005-0000-0000-00007E540000}"/>
    <cellStyle name="Normal 52 3 2 6" xfId="22644" xr:uid="{00000000-0005-0000-0000-00007F540000}"/>
    <cellStyle name="Normal 52 3 3" xfId="4799" xr:uid="{00000000-0005-0000-0000-000080540000}"/>
    <cellStyle name="Normal 52 3 3 2" xfId="4800" xr:uid="{00000000-0005-0000-0000-000081540000}"/>
    <cellStyle name="Normal 52 3 3 2 2" xfId="8785" xr:uid="{00000000-0005-0000-0000-000082540000}"/>
    <cellStyle name="Normal 52 3 3 2 2 2" xfId="17960" xr:uid="{00000000-0005-0000-0000-000083540000}"/>
    <cellStyle name="Normal 52 3 3 2 2 2 2" xfId="34534" xr:uid="{00000000-0005-0000-0000-000084540000}"/>
    <cellStyle name="Normal 52 3 3 2 2 3" xfId="26487" xr:uid="{00000000-0005-0000-0000-000085540000}"/>
    <cellStyle name="Normal 52 3 3 2 3" xfId="14146" xr:uid="{00000000-0005-0000-0000-000086540000}"/>
    <cellStyle name="Normal 52 3 3 2 3 2" xfId="30692" xr:uid="{00000000-0005-0000-0000-000087540000}"/>
    <cellStyle name="Normal 52 3 3 2 4" xfId="22649" xr:uid="{00000000-0005-0000-0000-000088540000}"/>
    <cellStyle name="Normal 52 3 3 3" xfId="8786" xr:uid="{00000000-0005-0000-0000-000089540000}"/>
    <cellStyle name="Normal 52 3 3 3 2" xfId="17961" xr:uid="{00000000-0005-0000-0000-00008A540000}"/>
    <cellStyle name="Normal 52 3 3 3 2 2" xfId="34535" xr:uid="{00000000-0005-0000-0000-00008B540000}"/>
    <cellStyle name="Normal 52 3 3 3 3" xfId="26488" xr:uid="{00000000-0005-0000-0000-00008C540000}"/>
    <cellStyle name="Normal 52 3 3 4" xfId="14145" xr:uid="{00000000-0005-0000-0000-00008D540000}"/>
    <cellStyle name="Normal 52 3 3 4 2" xfId="30691" xr:uid="{00000000-0005-0000-0000-00008E540000}"/>
    <cellStyle name="Normal 52 3 3 5" xfId="22648" xr:uid="{00000000-0005-0000-0000-00008F540000}"/>
    <cellStyle name="Normal 52 3 4" xfId="4801" xr:uid="{00000000-0005-0000-0000-000090540000}"/>
    <cellStyle name="Normal 52 3 4 2" xfId="8787" xr:uid="{00000000-0005-0000-0000-000091540000}"/>
    <cellStyle name="Normal 52 3 4 2 2" xfId="17962" xr:uid="{00000000-0005-0000-0000-000092540000}"/>
    <cellStyle name="Normal 52 3 4 2 2 2" xfId="34536" xr:uid="{00000000-0005-0000-0000-000093540000}"/>
    <cellStyle name="Normal 52 3 4 2 3" xfId="26489" xr:uid="{00000000-0005-0000-0000-000094540000}"/>
    <cellStyle name="Normal 52 3 4 3" xfId="14147" xr:uid="{00000000-0005-0000-0000-000095540000}"/>
    <cellStyle name="Normal 52 3 4 3 2" xfId="30693" xr:uid="{00000000-0005-0000-0000-000096540000}"/>
    <cellStyle name="Normal 52 3 4 4" xfId="22650" xr:uid="{00000000-0005-0000-0000-000097540000}"/>
    <cellStyle name="Normal 52 3 5" xfId="4802" xr:uid="{00000000-0005-0000-0000-000098540000}"/>
    <cellStyle name="Normal 52 3 5 2" xfId="14148" xr:uid="{00000000-0005-0000-0000-000099540000}"/>
    <cellStyle name="Normal 52 3 5 2 2" xfId="30694" xr:uid="{00000000-0005-0000-0000-00009A540000}"/>
    <cellStyle name="Normal 52 3 5 3" xfId="22651" xr:uid="{00000000-0005-0000-0000-00009B540000}"/>
    <cellStyle name="Normal 52 4" xfId="4803" xr:uid="{00000000-0005-0000-0000-00009C540000}"/>
    <cellStyle name="Normal 52 4 2" xfId="4804" xr:uid="{00000000-0005-0000-0000-00009D540000}"/>
    <cellStyle name="Normal 52 4 2 2" xfId="4805" xr:uid="{00000000-0005-0000-0000-00009E540000}"/>
    <cellStyle name="Normal 52 4 2 2 2" xfId="4806" xr:uid="{00000000-0005-0000-0000-00009F540000}"/>
    <cellStyle name="Normal 52 4 2 2 2 2" xfId="8788" xr:uid="{00000000-0005-0000-0000-0000A0540000}"/>
    <cellStyle name="Normal 52 4 2 2 2 2 2" xfId="17963" xr:uid="{00000000-0005-0000-0000-0000A1540000}"/>
    <cellStyle name="Normal 52 4 2 2 2 2 2 2" xfId="34537" xr:uid="{00000000-0005-0000-0000-0000A2540000}"/>
    <cellStyle name="Normal 52 4 2 2 2 2 3" xfId="26490" xr:uid="{00000000-0005-0000-0000-0000A3540000}"/>
    <cellStyle name="Normal 52 4 2 2 2 3" xfId="14152" xr:uid="{00000000-0005-0000-0000-0000A4540000}"/>
    <cellStyle name="Normal 52 4 2 2 2 3 2" xfId="30698" xr:uid="{00000000-0005-0000-0000-0000A5540000}"/>
    <cellStyle name="Normal 52 4 2 2 2 4" xfId="22655" xr:uid="{00000000-0005-0000-0000-0000A6540000}"/>
    <cellStyle name="Normal 52 4 2 2 3" xfId="8789" xr:uid="{00000000-0005-0000-0000-0000A7540000}"/>
    <cellStyle name="Normal 52 4 2 2 3 2" xfId="17964" xr:uid="{00000000-0005-0000-0000-0000A8540000}"/>
    <cellStyle name="Normal 52 4 2 2 3 2 2" xfId="34538" xr:uid="{00000000-0005-0000-0000-0000A9540000}"/>
    <cellStyle name="Normal 52 4 2 2 3 3" xfId="26491" xr:uid="{00000000-0005-0000-0000-0000AA540000}"/>
    <cellStyle name="Normal 52 4 2 2 4" xfId="14151" xr:uid="{00000000-0005-0000-0000-0000AB540000}"/>
    <cellStyle name="Normal 52 4 2 2 4 2" xfId="30697" xr:uid="{00000000-0005-0000-0000-0000AC540000}"/>
    <cellStyle name="Normal 52 4 2 2 5" xfId="22654" xr:uid="{00000000-0005-0000-0000-0000AD540000}"/>
    <cellStyle name="Normal 52 4 2 3" xfId="4807" xr:uid="{00000000-0005-0000-0000-0000AE540000}"/>
    <cellStyle name="Normal 52 4 2 3 2" xfId="8790" xr:uid="{00000000-0005-0000-0000-0000AF540000}"/>
    <cellStyle name="Normal 52 4 2 3 2 2" xfId="17965" xr:uid="{00000000-0005-0000-0000-0000B0540000}"/>
    <cellStyle name="Normal 52 4 2 3 2 2 2" xfId="34539" xr:uid="{00000000-0005-0000-0000-0000B1540000}"/>
    <cellStyle name="Normal 52 4 2 3 2 3" xfId="26492" xr:uid="{00000000-0005-0000-0000-0000B2540000}"/>
    <cellStyle name="Normal 52 4 2 3 3" xfId="14153" xr:uid="{00000000-0005-0000-0000-0000B3540000}"/>
    <cellStyle name="Normal 52 4 2 3 3 2" xfId="30699" xr:uid="{00000000-0005-0000-0000-0000B4540000}"/>
    <cellStyle name="Normal 52 4 2 3 4" xfId="22656" xr:uid="{00000000-0005-0000-0000-0000B5540000}"/>
    <cellStyle name="Normal 52 4 2 4" xfId="8791" xr:uid="{00000000-0005-0000-0000-0000B6540000}"/>
    <cellStyle name="Normal 52 4 2 4 2" xfId="17966" xr:uid="{00000000-0005-0000-0000-0000B7540000}"/>
    <cellStyle name="Normal 52 4 2 4 2 2" xfId="34540" xr:uid="{00000000-0005-0000-0000-0000B8540000}"/>
    <cellStyle name="Normal 52 4 2 4 3" xfId="26493" xr:uid="{00000000-0005-0000-0000-0000B9540000}"/>
    <cellStyle name="Normal 52 4 2 5" xfId="14150" xr:uid="{00000000-0005-0000-0000-0000BA540000}"/>
    <cellStyle name="Normal 52 4 2 5 2" xfId="30696" xr:uid="{00000000-0005-0000-0000-0000BB540000}"/>
    <cellStyle name="Normal 52 4 2 6" xfId="22653" xr:uid="{00000000-0005-0000-0000-0000BC540000}"/>
    <cellStyle name="Normal 52 4 3" xfId="4808" xr:uid="{00000000-0005-0000-0000-0000BD540000}"/>
    <cellStyle name="Normal 52 4 3 2" xfId="4809" xr:uid="{00000000-0005-0000-0000-0000BE540000}"/>
    <cellStyle name="Normal 52 4 3 2 2" xfId="8792" xr:uid="{00000000-0005-0000-0000-0000BF540000}"/>
    <cellStyle name="Normal 52 4 3 2 2 2" xfId="17967" xr:uid="{00000000-0005-0000-0000-0000C0540000}"/>
    <cellStyle name="Normal 52 4 3 2 2 2 2" xfId="34541" xr:uid="{00000000-0005-0000-0000-0000C1540000}"/>
    <cellStyle name="Normal 52 4 3 2 2 3" xfId="26494" xr:uid="{00000000-0005-0000-0000-0000C2540000}"/>
    <cellStyle name="Normal 52 4 3 2 3" xfId="14155" xr:uid="{00000000-0005-0000-0000-0000C3540000}"/>
    <cellStyle name="Normal 52 4 3 2 3 2" xfId="30701" xr:uid="{00000000-0005-0000-0000-0000C4540000}"/>
    <cellStyle name="Normal 52 4 3 2 4" xfId="22658" xr:uid="{00000000-0005-0000-0000-0000C5540000}"/>
    <cellStyle name="Normal 52 4 3 3" xfId="8793" xr:uid="{00000000-0005-0000-0000-0000C6540000}"/>
    <cellStyle name="Normal 52 4 3 3 2" xfId="17968" xr:uid="{00000000-0005-0000-0000-0000C7540000}"/>
    <cellStyle name="Normal 52 4 3 3 2 2" xfId="34542" xr:uid="{00000000-0005-0000-0000-0000C8540000}"/>
    <cellStyle name="Normal 52 4 3 3 3" xfId="26495" xr:uid="{00000000-0005-0000-0000-0000C9540000}"/>
    <cellStyle name="Normal 52 4 3 4" xfId="14154" xr:uid="{00000000-0005-0000-0000-0000CA540000}"/>
    <cellStyle name="Normal 52 4 3 4 2" xfId="30700" xr:uid="{00000000-0005-0000-0000-0000CB540000}"/>
    <cellStyle name="Normal 52 4 3 5" xfId="22657" xr:uid="{00000000-0005-0000-0000-0000CC540000}"/>
    <cellStyle name="Normal 52 4 4" xfId="4810" xr:uid="{00000000-0005-0000-0000-0000CD540000}"/>
    <cellStyle name="Normal 52 4 4 2" xfId="8794" xr:uid="{00000000-0005-0000-0000-0000CE540000}"/>
    <cellStyle name="Normal 52 4 4 2 2" xfId="17969" xr:uid="{00000000-0005-0000-0000-0000CF540000}"/>
    <cellStyle name="Normal 52 4 4 2 2 2" xfId="34543" xr:uid="{00000000-0005-0000-0000-0000D0540000}"/>
    <cellStyle name="Normal 52 4 4 2 3" xfId="26496" xr:uid="{00000000-0005-0000-0000-0000D1540000}"/>
    <cellStyle name="Normal 52 4 4 3" xfId="14156" xr:uid="{00000000-0005-0000-0000-0000D2540000}"/>
    <cellStyle name="Normal 52 4 4 3 2" xfId="30702" xr:uid="{00000000-0005-0000-0000-0000D3540000}"/>
    <cellStyle name="Normal 52 4 4 4" xfId="22659" xr:uid="{00000000-0005-0000-0000-0000D4540000}"/>
    <cellStyle name="Normal 52 4 5" xfId="8795" xr:uid="{00000000-0005-0000-0000-0000D5540000}"/>
    <cellStyle name="Normal 52 4 5 2" xfId="17970" xr:uid="{00000000-0005-0000-0000-0000D6540000}"/>
    <cellStyle name="Normal 52 4 5 2 2" xfId="34544" xr:uid="{00000000-0005-0000-0000-0000D7540000}"/>
    <cellStyle name="Normal 52 4 5 3" xfId="26497" xr:uid="{00000000-0005-0000-0000-0000D8540000}"/>
    <cellStyle name="Normal 52 4 6" xfId="14149" xr:uid="{00000000-0005-0000-0000-0000D9540000}"/>
    <cellStyle name="Normal 52 4 6 2" xfId="30695" xr:uid="{00000000-0005-0000-0000-0000DA540000}"/>
    <cellStyle name="Normal 52 4 7" xfId="22652" xr:uid="{00000000-0005-0000-0000-0000DB540000}"/>
    <cellStyle name="Normal 52 5" xfId="4811" xr:uid="{00000000-0005-0000-0000-0000DC540000}"/>
    <cellStyle name="Normal 52 5 2" xfId="4812" xr:uid="{00000000-0005-0000-0000-0000DD540000}"/>
    <cellStyle name="Normal 52 5 2 2" xfId="4813" xr:uid="{00000000-0005-0000-0000-0000DE540000}"/>
    <cellStyle name="Normal 52 5 2 2 2" xfId="4814" xr:uid="{00000000-0005-0000-0000-0000DF540000}"/>
    <cellStyle name="Normal 52 5 2 2 2 2" xfId="8796" xr:uid="{00000000-0005-0000-0000-0000E0540000}"/>
    <cellStyle name="Normal 52 5 2 2 2 2 2" xfId="17971" xr:uid="{00000000-0005-0000-0000-0000E1540000}"/>
    <cellStyle name="Normal 52 5 2 2 2 2 2 2" xfId="34545" xr:uid="{00000000-0005-0000-0000-0000E2540000}"/>
    <cellStyle name="Normal 52 5 2 2 2 2 3" xfId="26498" xr:uid="{00000000-0005-0000-0000-0000E3540000}"/>
    <cellStyle name="Normal 52 5 2 2 2 3" xfId="14160" xr:uid="{00000000-0005-0000-0000-0000E4540000}"/>
    <cellStyle name="Normal 52 5 2 2 2 3 2" xfId="30706" xr:uid="{00000000-0005-0000-0000-0000E5540000}"/>
    <cellStyle name="Normal 52 5 2 2 2 4" xfId="22663" xr:uid="{00000000-0005-0000-0000-0000E6540000}"/>
    <cellStyle name="Normal 52 5 2 2 3" xfId="8797" xr:uid="{00000000-0005-0000-0000-0000E7540000}"/>
    <cellStyle name="Normal 52 5 2 2 3 2" xfId="17972" xr:uid="{00000000-0005-0000-0000-0000E8540000}"/>
    <cellStyle name="Normal 52 5 2 2 3 2 2" xfId="34546" xr:uid="{00000000-0005-0000-0000-0000E9540000}"/>
    <cellStyle name="Normal 52 5 2 2 3 3" xfId="26499" xr:uid="{00000000-0005-0000-0000-0000EA540000}"/>
    <cellStyle name="Normal 52 5 2 2 4" xfId="14159" xr:uid="{00000000-0005-0000-0000-0000EB540000}"/>
    <cellStyle name="Normal 52 5 2 2 4 2" xfId="30705" xr:uid="{00000000-0005-0000-0000-0000EC540000}"/>
    <cellStyle name="Normal 52 5 2 2 5" xfId="22662" xr:uid="{00000000-0005-0000-0000-0000ED540000}"/>
    <cellStyle name="Normal 52 5 2 3" xfId="4815" xr:uid="{00000000-0005-0000-0000-0000EE540000}"/>
    <cellStyle name="Normal 52 5 2 3 2" xfId="8798" xr:uid="{00000000-0005-0000-0000-0000EF540000}"/>
    <cellStyle name="Normal 52 5 2 3 2 2" xfId="17973" xr:uid="{00000000-0005-0000-0000-0000F0540000}"/>
    <cellStyle name="Normal 52 5 2 3 2 2 2" xfId="34547" xr:uid="{00000000-0005-0000-0000-0000F1540000}"/>
    <cellStyle name="Normal 52 5 2 3 2 3" xfId="26500" xr:uid="{00000000-0005-0000-0000-0000F2540000}"/>
    <cellStyle name="Normal 52 5 2 3 3" xfId="14161" xr:uid="{00000000-0005-0000-0000-0000F3540000}"/>
    <cellStyle name="Normal 52 5 2 3 3 2" xfId="30707" xr:uid="{00000000-0005-0000-0000-0000F4540000}"/>
    <cellStyle name="Normal 52 5 2 3 4" xfId="22664" xr:uid="{00000000-0005-0000-0000-0000F5540000}"/>
    <cellStyle name="Normal 52 5 2 4" xfId="8799" xr:uid="{00000000-0005-0000-0000-0000F6540000}"/>
    <cellStyle name="Normal 52 5 2 4 2" xfId="17974" xr:uid="{00000000-0005-0000-0000-0000F7540000}"/>
    <cellStyle name="Normal 52 5 2 4 2 2" xfId="34548" xr:uid="{00000000-0005-0000-0000-0000F8540000}"/>
    <cellStyle name="Normal 52 5 2 4 3" xfId="26501" xr:uid="{00000000-0005-0000-0000-0000F9540000}"/>
    <cellStyle name="Normal 52 5 2 5" xfId="14158" xr:uid="{00000000-0005-0000-0000-0000FA540000}"/>
    <cellStyle name="Normal 52 5 2 5 2" xfId="30704" xr:uid="{00000000-0005-0000-0000-0000FB540000}"/>
    <cellStyle name="Normal 52 5 2 6" xfId="22661" xr:uid="{00000000-0005-0000-0000-0000FC540000}"/>
    <cellStyle name="Normal 52 5 3" xfId="4816" xr:uid="{00000000-0005-0000-0000-0000FD540000}"/>
    <cellStyle name="Normal 52 5 3 2" xfId="4817" xr:uid="{00000000-0005-0000-0000-0000FE540000}"/>
    <cellStyle name="Normal 52 5 3 2 2" xfId="8800" xr:uid="{00000000-0005-0000-0000-0000FF540000}"/>
    <cellStyle name="Normal 52 5 3 2 2 2" xfId="17975" xr:uid="{00000000-0005-0000-0000-000000550000}"/>
    <cellStyle name="Normal 52 5 3 2 2 2 2" xfId="34549" xr:uid="{00000000-0005-0000-0000-000001550000}"/>
    <cellStyle name="Normal 52 5 3 2 2 3" xfId="26502" xr:uid="{00000000-0005-0000-0000-000002550000}"/>
    <cellStyle name="Normal 52 5 3 2 3" xfId="14163" xr:uid="{00000000-0005-0000-0000-000003550000}"/>
    <cellStyle name="Normal 52 5 3 2 3 2" xfId="30709" xr:uid="{00000000-0005-0000-0000-000004550000}"/>
    <cellStyle name="Normal 52 5 3 2 4" xfId="22666" xr:uid="{00000000-0005-0000-0000-000005550000}"/>
    <cellStyle name="Normal 52 5 3 3" xfId="8801" xr:uid="{00000000-0005-0000-0000-000006550000}"/>
    <cellStyle name="Normal 52 5 3 3 2" xfId="17976" xr:uid="{00000000-0005-0000-0000-000007550000}"/>
    <cellStyle name="Normal 52 5 3 3 2 2" xfId="34550" xr:uid="{00000000-0005-0000-0000-000008550000}"/>
    <cellStyle name="Normal 52 5 3 3 3" xfId="26503" xr:uid="{00000000-0005-0000-0000-000009550000}"/>
    <cellStyle name="Normal 52 5 3 4" xfId="14162" xr:uid="{00000000-0005-0000-0000-00000A550000}"/>
    <cellStyle name="Normal 52 5 3 4 2" xfId="30708" xr:uid="{00000000-0005-0000-0000-00000B550000}"/>
    <cellStyle name="Normal 52 5 3 5" xfId="22665" xr:uid="{00000000-0005-0000-0000-00000C550000}"/>
    <cellStyle name="Normal 52 5 4" xfId="4818" xr:uid="{00000000-0005-0000-0000-00000D550000}"/>
    <cellStyle name="Normal 52 5 4 2" xfId="8802" xr:uid="{00000000-0005-0000-0000-00000E550000}"/>
    <cellStyle name="Normal 52 5 4 2 2" xfId="17977" xr:uid="{00000000-0005-0000-0000-00000F550000}"/>
    <cellStyle name="Normal 52 5 4 2 2 2" xfId="34551" xr:uid="{00000000-0005-0000-0000-000010550000}"/>
    <cellStyle name="Normal 52 5 4 2 3" xfId="26504" xr:uid="{00000000-0005-0000-0000-000011550000}"/>
    <cellStyle name="Normal 52 5 4 3" xfId="14164" xr:uid="{00000000-0005-0000-0000-000012550000}"/>
    <cellStyle name="Normal 52 5 4 3 2" xfId="30710" xr:uid="{00000000-0005-0000-0000-000013550000}"/>
    <cellStyle name="Normal 52 5 4 4" xfId="22667" xr:uid="{00000000-0005-0000-0000-000014550000}"/>
    <cellStyle name="Normal 52 5 5" xfId="8803" xr:uid="{00000000-0005-0000-0000-000015550000}"/>
    <cellStyle name="Normal 52 5 5 2" xfId="17978" xr:uid="{00000000-0005-0000-0000-000016550000}"/>
    <cellStyle name="Normal 52 5 5 2 2" xfId="34552" xr:uid="{00000000-0005-0000-0000-000017550000}"/>
    <cellStyle name="Normal 52 5 5 3" xfId="26505" xr:uid="{00000000-0005-0000-0000-000018550000}"/>
    <cellStyle name="Normal 52 5 6" xfId="14157" xr:uid="{00000000-0005-0000-0000-000019550000}"/>
    <cellStyle name="Normal 52 5 6 2" xfId="30703" xr:uid="{00000000-0005-0000-0000-00001A550000}"/>
    <cellStyle name="Normal 52 5 7" xfId="22660" xr:uid="{00000000-0005-0000-0000-00001B550000}"/>
    <cellStyle name="Normal 52 6" xfId="4819" xr:uid="{00000000-0005-0000-0000-00001C550000}"/>
    <cellStyle name="Normal 52 6 2" xfId="4820" xr:uid="{00000000-0005-0000-0000-00001D550000}"/>
    <cellStyle name="Normal 52 6 2 2" xfId="4821" xr:uid="{00000000-0005-0000-0000-00001E550000}"/>
    <cellStyle name="Normal 52 6 2 2 2" xfId="8804" xr:uid="{00000000-0005-0000-0000-00001F550000}"/>
    <cellStyle name="Normal 52 6 2 2 2 2" xfId="17979" xr:uid="{00000000-0005-0000-0000-000020550000}"/>
    <cellStyle name="Normal 52 6 2 2 2 2 2" xfId="34553" xr:uid="{00000000-0005-0000-0000-000021550000}"/>
    <cellStyle name="Normal 52 6 2 2 2 3" xfId="26506" xr:uid="{00000000-0005-0000-0000-000022550000}"/>
    <cellStyle name="Normal 52 6 2 2 3" xfId="14167" xr:uid="{00000000-0005-0000-0000-000023550000}"/>
    <cellStyle name="Normal 52 6 2 2 3 2" xfId="30713" xr:uid="{00000000-0005-0000-0000-000024550000}"/>
    <cellStyle name="Normal 52 6 2 2 4" xfId="22670" xr:uid="{00000000-0005-0000-0000-000025550000}"/>
    <cellStyle name="Normal 52 6 2 3" xfId="8805" xr:uid="{00000000-0005-0000-0000-000026550000}"/>
    <cellStyle name="Normal 52 6 2 3 2" xfId="17980" xr:uid="{00000000-0005-0000-0000-000027550000}"/>
    <cellStyle name="Normal 52 6 2 3 2 2" xfId="34554" xr:uid="{00000000-0005-0000-0000-000028550000}"/>
    <cellStyle name="Normal 52 6 2 3 3" xfId="26507" xr:uid="{00000000-0005-0000-0000-000029550000}"/>
    <cellStyle name="Normal 52 6 2 4" xfId="14166" xr:uid="{00000000-0005-0000-0000-00002A550000}"/>
    <cellStyle name="Normal 52 6 2 4 2" xfId="30712" xr:uid="{00000000-0005-0000-0000-00002B550000}"/>
    <cellStyle name="Normal 52 6 2 5" xfId="22669" xr:uid="{00000000-0005-0000-0000-00002C550000}"/>
    <cellStyle name="Normal 52 6 3" xfId="4822" xr:uid="{00000000-0005-0000-0000-00002D550000}"/>
    <cellStyle name="Normal 52 6 3 2" xfId="8806" xr:uid="{00000000-0005-0000-0000-00002E550000}"/>
    <cellStyle name="Normal 52 6 3 2 2" xfId="17981" xr:uid="{00000000-0005-0000-0000-00002F550000}"/>
    <cellStyle name="Normal 52 6 3 2 2 2" xfId="34555" xr:uid="{00000000-0005-0000-0000-000030550000}"/>
    <cellStyle name="Normal 52 6 3 2 3" xfId="26508" xr:uid="{00000000-0005-0000-0000-000031550000}"/>
    <cellStyle name="Normal 52 6 3 3" xfId="14168" xr:uid="{00000000-0005-0000-0000-000032550000}"/>
    <cellStyle name="Normal 52 6 3 3 2" xfId="30714" xr:uid="{00000000-0005-0000-0000-000033550000}"/>
    <cellStyle name="Normal 52 6 3 4" xfId="22671" xr:uid="{00000000-0005-0000-0000-000034550000}"/>
    <cellStyle name="Normal 52 6 4" xfId="8807" xr:uid="{00000000-0005-0000-0000-000035550000}"/>
    <cellStyle name="Normal 52 6 4 2" xfId="17982" xr:uid="{00000000-0005-0000-0000-000036550000}"/>
    <cellStyle name="Normal 52 6 4 2 2" xfId="34556" xr:uid="{00000000-0005-0000-0000-000037550000}"/>
    <cellStyle name="Normal 52 6 4 3" xfId="26509" xr:uid="{00000000-0005-0000-0000-000038550000}"/>
    <cellStyle name="Normal 52 6 5" xfId="14165" xr:uid="{00000000-0005-0000-0000-000039550000}"/>
    <cellStyle name="Normal 52 6 5 2" xfId="30711" xr:uid="{00000000-0005-0000-0000-00003A550000}"/>
    <cellStyle name="Normal 52 6 6" xfId="22668" xr:uid="{00000000-0005-0000-0000-00003B550000}"/>
    <cellStyle name="Normal 52 7" xfId="4823" xr:uid="{00000000-0005-0000-0000-00003C550000}"/>
    <cellStyle name="Normal 52 7 2" xfId="4824" xr:uid="{00000000-0005-0000-0000-00003D550000}"/>
    <cellStyle name="Normal 52 7 2 2" xfId="8808" xr:uid="{00000000-0005-0000-0000-00003E550000}"/>
    <cellStyle name="Normal 52 7 2 2 2" xfId="17983" xr:uid="{00000000-0005-0000-0000-00003F550000}"/>
    <cellStyle name="Normal 52 7 2 2 2 2" xfId="34557" xr:uid="{00000000-0005-0000-0000-000040550000}"/>
    <cellStyle name="Normal 52 7 2 2 3" xfId="26510" xr:uid="{00000000-0005-0000-0000-000041550000}"/>
    <cellStyle name="Normal 52 7 2 3" xfId="14170" xr:uid="{00000000-0005-0000-0000-000042550000}"/>
    <cellStyle name="Normal 52 7 2 3 2" xfId="30716" xr:uid="{00000000-0005-0000-0000-000043550000}"/>
    <cellStyle name="Normal 52 7 2 4" xfId="22673" xr:uid="{00000000-0005-0000-0000-000044550000}"/>
    <cellStyle name="Normal 52 7 3" xfId="8809" xr:uid="{00000000-0005-0000-0000-000045550000}"/>
    <cellStyle name="Normal 52 7 3 2" xfId="17984" xr:uid="{00000000-0005-0000-0000-000046550000}"/>
    <cellStyle name="Normal 52 7 3 2 2" xfId="34558" xr:uid="{00000000-0005-0000-0000-000047550000}"/>
    <cellStyle name="Normal 52 7 3 3" xfId="26511" xr:uid="{00000000-0005-0000-0000-000048550000}"/>
    <cellStyle name="Normal 52 7 4" xfId="14169" xr:uid="{00000000-0005-0000-0000-000049550000}"/>
    <cellStyle name="Normal 52 7 4 2" xfId="30715" xr:uid="{00000000-0005-0000-0000-00004A550000}"/>
    <cellStyle name="Normal 52 7 5" xfId="22672" xr:uid="{00000000-0005-0000-0000-00004B550000}"/>
    <cellStyle name="Normal 52 8" xfId="4825" xr:uid="{00000000-0005-0000-0000-00004C550000}"/>
    <cellStyle name="Normal 52 8 2" xfId="8810" xr:uid="{00000000-0005-0000-0000-00004D550000}"/>
    <cellStyle name="Normal 52 8 2 2" xfId="17985" xr:uid="{00000000-0005-0000-0000-00004E550000}"/>
    <cellStyle name="Normal 52 8 2 2 2" xfId="34559" xr:uid="{00000000-0005-0000-0000-00004F550000}"/>
    <cellStyle name="Normal 52 8 2 3" xfId="26512" xr:uid="{00000000-0005-0000-0000-000050550000}"/>
    <cellStyle name="Normal 52 8 3" xfId="14171" xr:uid="{00000000-0005-0000-0000-000051550000}"/>
    <cellStyle name="Normal 52 8 3 2" xfId="30717" xr:uid="{00000000-0005-0000-0000-000052550000}"/>
    <cellStyle name="Normal 52 8 4" xfId="22674" xr:uid="{00000000-0005-0000-0000-000053550000}"/>
    <cellStyle name="Normal 52 9" xfId="8811" xr:uid="{00000000-0005-0000-0000-000054550000}"/>
    <cellStyle name="Normal 52 9 2" xfId="17986" xr:uid="{00000000-0005-0000-0000-000055550000}"/>
    <cellStyle name="Normal 52 9 2 2" xfId="34560" xr:uid="{00000000-0005-0000-0000-000056550000}"/>
    <cellStyle name="Normal 52 9 3" xfId="26513" xr:uid="{00000000-0005-0000-0000-000057550000}"/>
    <cellStyle name="Normal 53" xfId="4826" xr:uid="{00000000-0005-0000-0000-000058550000}"/>
    <cellStyle name="Normal 53 10" xfId="14172" xr:uid="{00000000-0005-0000-0000-000059550000}"/>
    <cellStyle name="Normal 53 10 2" xfId="30718" xr:uid="{00000000-0005-0000-0000-00005A550000}"/>
    <cellStyle name="Normal 53 11" xfId="22675" xr:uid="{00000000-0005-0000-0000-00005B550000}"/>
    <cellStyle name="Normal 53 2" xfId="4827" xr:uid="{00000000-0005-0000-0000-00005C550000}"/>
    <cellStyle name="Normal 53 2 2" xfId="4828" xr:uid="{00000000-0005-0000-0000-00005D550000}"/>
    <cellStyle name="Normal 53 2 3" xfId="14173" xr:uid="{00000000-0005-0000-0000-00005E550000}"/>
    <cellStyle name="Normal 53 2 3 2" xfId="30719" xr:uid="{00000000-0005-0000-0000-00005F550000}"/>
    <cellStyle name="Normal 53 2 4" xfId="22676" xr:uid="{00000000-0005-0000-0000-000060550000}"/>
    <cellStyle name="Normal 53 3" xfId="4829" xr:uid="{00000000-0005-0000-0000-000061550000}"/>
    <cellStyle name="Normal 53 3 2" xfId="4830" xr:uid="{00000000-0005-0000-0000-000062550000}"/>
    <cellStyle name="Normal 53 3 2 2" xfId="4831" xr:uid="{00000000-0005-0000-0000-000063550000}"/>
    <cellStyle name="Normal 53 3 2 2 2" xfId="4832" xr:uid="{00000000-0005-0000-0000-000064550000}"/>
    <cellStyle name="Normal 53 3 2 2 2 2" xfId="8812" xr:uid="{00000000-0005-0000-0000-000065550000}"/>
    <cellStyle name="Normal 53 3 2 2 2 2 2" xfId="17987" xr:uid="{00000000-0005-0000-0000-000066550000}"/>
    <cellStyle name="Normal 53 3 2 2 2 2 2 2" xfId="34561" xr:uid="{00000000-0005-0000-0000-000067550000}"/>
    <cellStyle name="Normal 53 3 2 2 2 2 3" xfId="26514" xr:uid="{00000000-0005-0000-0000-000068550000}"/>
    <cellStyle name="Normal 53 3 2 2 2 3" xfId="14176" xr:uid="{00000000-0005-0000-0000-000069550000}"/>
    <cellStyle name="Normal 53 3 2 2 2 3 2" xfId="30722" xr:uid="{00000000-0005-0000-0000-00006A550000}"/>
    <cellStyle name="Normal 53 3 2 2 2 4" xfId="22679" xr:uid="{00000000-0005-0000-0000-00006B550000}"/>
    <cellStyle name="Normal 53 3 2 2 3" xfId="8813" xr:uid="{00000000-0005-0000-0000-00006C550000}"/>
    <cellStyle name="Normal 53 3 2 2 3 2" xfId="17988" xr:uid="{00000000-0005-0000-0000-00006D550000}"/>
    <cellStyle name="Normal 53 3 2 2 3 2 2" xfId="34562" xr:uid="{00000000-0005-0000-0000-00006E550000}"/>
    <cellStyle name="Normal 53 3 2 2 3 3" xfId="26515" xr:uid="{00000000-0005-0000-0000-00006F550000}"/>
    <cellStyle name="Normal 53 3 2 2 4" xfId="14175" xr:uid="{00000000-0005-0000-0000-000070550000}"/>
    <cellStyle name="Normal 53 3 2 2 4 2" xfId="30721" xr:uid="{00000000-0005-0000-0000-000071550000}"/>
    <cellStyle name="Normal 53 3 2 2 5" xfId="22678" xr:uid="{00000000-0005-0000-0000-000072550000}"/>
    <cellStyle name="Normal 53 3 2 3" xfId="4833" xr:uid="{00000000-0005-0000-0000-000073550000}"/>
    <cellStyle name="Normal 53 3 2 3 2" xfId="8814" xr:uid="{00000000-0005-0000-0000-000074550000}"/>
    <cellStyle name="Normal 53 3 2 3 2 2" xfId="17989" xr:uid="{00000000-0005-0000-0000-000075550000}"/>
    <cellStyle name="Normal 53 3 2 3 2 2 2" xfId="34563" xr:uid="{00000000-0005-0000-0000-000076550000}"/>
    <cellStyle name="Normal 53 3 2 3 2 3" xfId="26516" xr:uid="{00000000-0005-0000-0000-000077550000}"/>
    <cellStyle name="Normal 53 3 2 3 3" xfId="14177" xr:uid="{00000000-0005-0000-0000-000078550000}"/>
    <cellStyle name="Normal 53 3 2 3 3 2" xfId="30723" xr:uid="{00000000-0005-0000-0000-000079550000}"/>
    <cellStyle name="Normal 53 3 2 3 4" xfId="22680" xr:uid="{00000000-0005-0000-0000-00007A550000}"/>
    <cellStyle name="Normal 53 3 2 4" xfId="8815" xr:uid="{00000000-0005-0000-0000-00007B550000}"/>
    <cellStyle name="Normal 53 3 2 4 2" xfId="17990" xr:uid="{00000000-0005-0000-0000-00007C550000}"/>
    <cellStyle name="Normal 53 3 2 4 2 2" xfId="34564" xr:uid="{00000000-0005-0000-0000-00007D550000}"/>
    <cellStyle name="Normal 53 3 2 4 3" xfId="26517" xr:uid="{00000000-0005-0000-0000-00007E550000}"/>
    <cellStyle name="Normal 53 3 2 5" xfId="14174" xr:uid="{00000000-0005-0000-0000-00007F550000}"/>
    <cellStyle name="Normal 53 3 2 5 2" xfId="30720" xr:uid="{00000000-0005-0000-0000-000080550000}"/>
    <cellStyle name="Normal 53 3 2 6" xfId="22677" xr:uid="{00000000-0005-0000-0000-000081550000}"/>
    <cellStyle name="Normal 53 3 3" xfId="4834" xr:uid="{00000000-0005-0000-0000-000082550000}"/>
    <cellStyle name="Normal 53 3 3 2" xfId="4835" xr:uid="{00000000-0005-0000-0000-000083550000}"/>
    <cellStyle name="Normal 53 3 3 2 2" xfId="8816" xr:uid="{00000000-0005-0000-0000-000084550000}"/>
    <cellStyle name="Normal 53 3 3 2 2 2" xfId="17991" xr:uid="{00000000-0005-0000-0000-000085550000}"/>
    <cellStyle name="Normal 53 3 3 2 2 2 2" xfId="34565" xr:uid="{00000000-0005-0000-0000-000086550000}"/>
    <cellStyle name="Normal 53 3 3 2 2 3" xfId="26518" xr:uid="{00000000-0005-0000-0000-000087550000}"/>
    <cellStyle name="Normal 53 3 3 2 3" xfId="14179" xr:uid="{00000000-0005-0000-0000-000088550000}"/>
    <cellStyle name="Normal 53 3 3 2 3 2" xfId="30725" xr:uid="{00000000-0005-0000-0000-000089550000}"/>
    <cellStyle name="Normal 53 3 3 2 4" xfId="22682" xr:uid="{00000000-0005-0000-0000-00008A550000}"/>
    <cellStyle name="Normal 53 3 3 3" xfId="8817" xr:uid="{00000000-0005-0000-0000-00008B550000}"/>
    <cellStyle name="Normal 53 3 3 3 2" xfId="17992" xr:uid="{00000000-0005-0000-0000-00008C550000}"/>
    <cellStyle name="Normal 53 3 3 3 2 2" xfId="34566" xr:uid="{00000000-0005-0000-0000-00008D550000}"/>
    <cellStyle name="Normal 53 3 3 3 3" xfId="26519" xr:uid="{00000000-0005-0000-0000-00008E550000}"/>
    <cellStyle name="Normal 53 3 3 4" xfId="14178" xr:uid="{00000000-0005-0000-0000-00008F550000}"/>
    <cellStyle name="Normal 53 3 3 4 2" xfId="30724" xr:uid="{00000000-0005-0000-0000-000090550000}"/>
    <cellStyle name="Normal 53 3 3 5" xfId="22681" xr:uid="{00000000-0005-0000-0000-000091550000}"/>
    <cellStyle name="Normal 53 3 4" xfId="4836" xr:uid="{00000000-0005-0000-0000-000092550000}"/>
    <cellStyle name="Normal 53 3 4 2" xfId="8818" xr:uid="{00000000-0005-0000-0000-000093550000}"/>
    <cellStyle name="Normal 53 3 4 2 2" xfId="17993" xr:uid="{00000000-0005-0000-0000-000094550000}"/>
    <cellStyle name="Normal 53 3 4 2 2 2" xfId="34567" xr:uid="{00000000-0005-0000-0000-000095550000}"/>
    <cellStyle name="Normal 53 3 4 2 3" xfId="26520" xr:uid="{00000000-0005-0000-0000-000096550000}"/>
    <cellStyle name="Normal 53 3 4 3" xfId="14180" xr:uid="{00000000-0005-0000-0000-000097550000}"/>
    <cellStyle name="Normal 53 3 4 3 2" xfId="30726" xr:uid="{00000000-0005-0000-0000-000098550000}"/>
    <cellStyle name="Normal 53 3 4 4" xfId="22683" xr:uid="{00000000-0005-0000-0000-000099550000}"/>
    <cellStyle name="Normal 53 3 5" xfId="4837" xr:uid="{00000000-0005-0000-0000-00009A550000}"/>
    <cellStyle name="Normal 53 3 5 2" xfId="14181" xr:uid="{00000000-0005-0000-0000-00009B550000}"/>
    <cellStyle name="Normal 53 3 5 2 2" xfId="30727" xr:uid="{00000000-0005-0000-0000-00009C550000}"/>
    <cellStyle name="Normal 53 3 5 3" xfId="22684" xr:uid="{00000000-0005-0000-0000-00009D550000}"/>
    <cellStyle name="Normal 53 4" xfId="4838" xr:uid="{00000000-0005-0000-0000-00009E550000}"/>
    <cellStyle name="Normal 53 4 2" xfId="4839" xr:uid="{00000000-0005-0000-0000-00009F550000}"/>
    <cellStyle name="Normal 53 4 2 2" xfId="4840" xr:uid="{00000000-0005-0000-0000-0000A0550000}"/>
    <cellStyle name="Normal 53 4 2 2 2" xfId="4841" xr:uid="{00000000-0005-0000-0000-0000A1550000}"/>
    <cellStyle name="Normal 53 4 2 2 2 2" xfId="8819" xr:uid="{00000000-0005-0000-0000-0000A2550000}"/>
    <cellStyle name="Normal 53 4 2 2 2 2 2" xfId="17994" xr:uid="{00000000-0005-0000-0000-0000A3550000}"/>
    <cellStyle name="Normal 53 4 2 2 2 2 2 2" xfId="34568" xr:uid="{00000000-0005-0000-0000-0000A4550000}"/>
    <cellStyle name="Normal 53 4 2 2 2 2 3" xfId="26521" xr:uid="{00000000-0005-0000-0000-0000A5550000}"/>
    <cellStyle name="Normal 53 4 2 2 2 3" xfId="14185" xr:uid="{00000000-0005-0000-0000-0000A6550000}"/>
    <cellStyle name="Normal 53 4 2 2 2 3 2" xfId="30731" xr:uid="{00000000-0005-0000-0000-0000A7550000}"/>
    <cellStyle name="Normal 53 4 2 2 2 4" xfId="22688" xr:uid="{00000000-0005-0000-0000-0000A8550000}"/>
    <cellStyle name="Normal 53 4 2 2 3" xfId="8820" xr:uid="{00000000-0005-0000-0000-0000A9550000}"/>
    <cellStyle name="Normal 53 4 2 2 3 2" xfId="17995" xr:uid="{00000000-0005-0000-0000-0000AA550000}"/>
    <cellStyle name="Normal 53 4 2 2 3 2 2" xfId="34569" xr:uid="{00000000-0005-0000-0000-0000AB550000}"/>
    <cellStyle name="Normal 53 4 2 2 3 3" xfId="26522" xr:uid="{00000000-0005-0000-0000-0000AC550000}"/>
    <cellStyle name="Normal 53 4 2 2 4" xfId="14184" xr:uid="{00000000-0005-0000-0000-0000AD550000}"/>
    <cellStyle name="Normal 53 4 2 2 4 2" xfId="30730" xr:uid="{00000000-0005-0000-0000-0000AE550000}"/>
    <cellStyle name="Normal 53 4 2 2 5" xfId="22687" xr:uid="{00000000-0005-0000-0000-0000AF550000}"/>
    <cellStyle name="Normal 53 4 2 3" xfId="4842" xr:uid="{00000000-0005-0000-0000-0000B0550000}"/>
    <cellStyle name="Normal 53 4 2 3 2" xfId="8821" xr:uid="{00000000-0005-0000-0000-0000B1550000}"/>
    <cellStyle name="Normal 53 4 2 3 2 2" xfId="17996" xr:uid="{00000000-0005-0000-0000-0000B2550000}"/>
    <cellStyle name="Normal 53 4 2 3 2 2 2" xfId="34570" xr:uid="{00000000-0005-0000-0000-0000B3550000}"/>
    <cellStyle name="Normal 53 4 2 3 2 3" xfId="26523" xr:uid="{00000000-0005-0000-0000-0000B4550000}"/>
    <cellStyle name="Normal 53 4 2 3 3" xfId="14186" xr:uid="{00000000-0005-0000-0000-0000B5550000}"/>
    <cellStyle name="Normal 53 4 2 3 3 2" xfId="30732" xr:uid="{00000000-0005-0000-0000-0000B6550000}"/>
    <cellStyle name="Normal 53 4 2 3 4" xfId="22689" xr:uid="{00000000-0005-0000-0000-0000B7550000}"/>
    <cellStyle name="Normal 53 4 2 4" xfId="8822" xr:uid="{00000000-0005-0000-0000-0000B8550000}"/>
    <cellStyle name="Normal 53 4 2 4 2" xfId="17997" xr:uid="{00000000-0005-0000-0000-0000B9550000}"/>
    <cellStyle name="Normal 53 4 2 4 2 2" xfId="34571" xr:uid="{00000000-0005-0000-0000-0000BA550000}"/>
    <cellStyle name="Normal 53 4 2 4 3" xfId="26524" xr:uid="{00000000-0005-0000-0000-0000BB550000}"/>
    <cellStyle name="Normal 53 4 2 5" xfId="14183" xr:uid="{00000000-0005-0000-0000-0000BC550000}"/>
    <cellStyle name="Normal 53 4 2 5 2" xfId="30729" xr:uid="{00000000-0005-0000-0000-0000BD550000}"/>
    <cellStyle name="Normal 53 4 2 6" xfId="22686" xr:uid="{00000000-0005-0000-0000-0000BE550000}"/>
    <cellStyle name="Normal 53 4 3" xfId="4843" xr:uid="{00000000-0005-0000-0000-0000BF550000}"/>
    <cellStyle name="Normal 53 4 3 2" xfId="4844" xr:uid="{00000000-0005-0000-0000-0000C0550000}"/>
    <cellStyle name="Normal 53 4 3 2 2" xfId="8823" xr:uid="{00000000-0005-0000-0000-0000C1550000}"/>
    <cellStyle name="Normal 53 4 3 2 2 2" xfId="17998" xr:uid="{00000000-0005-0000-0000-0000C2550000}"/>
    <cellStyle name="Normal 53 4 3 2 2 2 2" xfId="34572" xr:uid="{00000000-0005-0000-0000-0000C3550000}"/>
    <cellStyle name="Normal 53 4 3 2 2 3" xfId="26525" xr:uid="{00000000-0005-0000-0000-0000C4550000}"/>
    <cellStyle name="Normal 53 4 3 2 3" xfId="14188" xr:uid="{00000000-0005-0000-0000-0000C5550000}"/>
    <cellStyle name="Normal 53 4 3 2 3 2" xfId="30734" xr:uid="{00000000-0005-0000-0000-0000C6550000}"/>
    <cellStyle name="Normal 53 4 3 2 4" xfId="22691" xr:uid="{00000000-0005-0000-0000-0000C7550000}"/>
    <cellStyle name="Normal 53 4 3 3" xfId="8824" xr:uid="{00000000-0005-0000-0000-0000C8550000}"/>
    <cellStyle name="Normal 53 4 3 3 2" xfId="17999" xr:uid="{00000000-0005-0000-0000-0000C9550000}"/>
    <cellStyle name="Normal 53 4 3 3 2 2" xfId="34573" xr:uid="{00000000-0005-0000-0000-0000CA550000}"/>
    <cellStyle name="Normal 53 4 3 3 3" xfId="26526" xr:uid="{00000000-0005-0000-0000-0000CB550000}"/>
    <cellStyle name="Normal 53 4 3 4" xfId="14187" xr:uid="{00000000-0005-0000-0000-0000CC550000}"/>
    <cellStyle name="Normal 53 4 3 4 2" xfId="30733" xr:uid="{00000000-0005-0000-0000-0000CD550000}"/>
    <cellStyle name="Normal 53 4 3 5" xfId="22690" xr:uid="{00000000-0005-0000-0000-0000CE550000}"/>
    <cellStyle name="Normal 53 4 4" xfId="4845" xr:uid="{00000000-0005-0000-0000-0000CF550000}"/>
    <cellStyle name="Normal 53 4 4 2" xfId="8825" xr:uid="{00000000-0005-0000-0000-0000D0550000}"/>
    <cellStyle name="Normal 53 4 4 2 2" xfId="18000" xr:uid="{00000000-0005-0000-0000-0000D1550000}"/>
    <cellStyle name="Normal 53 4 4 2 2 2" xfId="34574" xr:uid="{00000000-0005-0000-0000-0000D2550000}"/>
    <cellStyle name="Normal 53 4 4 2 3" xfId="26527" xr:uid="{00000000-0005-0000-0000-0000D3550000}"/>
    <cellStyle name="Normal 53 4 4 3" xfId="14189" xr:uid="{00000000-0005-0000-0000-0000D4550000}"/>
    <cellStyle name="Normal 53 4 4 3 2" xfId="30735" xr:uid="{00000000-0005-0000-0000-0000D5550000}"/>
    <cellStyle name="Normal 53 4 4 4" xfId="22692" xr:uid="{00000000-0005-0000-0000-0000D6550000}"/>
    <cellStyle name="Normal 53 4 5" xfId="8826" xr:uid="{00000000-0005-0000-0000-0000D7550000}"/>
    <cellStyle name="Normal 53 4 5 2" xfId="18001" xr:uid="{00000000-0005-0000-0000-0000D8550000}"/>
    <cellStyle name="Normal 53 4 5 2 2" xfId="34575" xr:uid="{00000000-0005-0000-0000-0000D9550000}"/>
    <cellStyle name="Normal 53 4 5 3" xfId="26528" xr:uid="{00000000-0005-0000-0000-0000DA550000}"/>
    <cellStyle name="Normal 53 4 6" xfId="14182" xr:uid="{00000000-0005-0000-0000-0000DB550000}"/>
    <cellStyle name="Normal 53 4 6 2" xfId="30728" xr:uid="{00000000-0005-0000-0000-0000DC550000}"/>
    <cellStyle name="Normal 53 4 7" xfId="22685" xr:uid="{00000000-0005-0000-0000-0000DD550000}"/>
    <cellStyle name="Normal 53 5" xfId="4846" xr:uid="{00000000-0005-0000-0000-0000DE550000}"/>
    <cellStyle name="Normal 53 5 2" xfId="4847" xr:uid="{00000000-0005-0000-0000-0000DF550000}"/>
    <cellStyle name="Normal 53 5 2 2" xfId="4848" xr:uid="{00000000-0005-0000-0000-0000E0550000}"/>
    <cellStyle name="Normal 53 5 2 2 2" xfId="4849" xr:uid="{00000000-0005-0000-0000-0000E1550000}"/>
    <cellStyle name="Normal 53 5 2 2 2 2" xfId="8827" xr:uid="{00000000-0005-0000-0000-0000E2550000}"/>
    <cellStyle name="Normal 53 5 2 2 2 2 2" xfId="18002" xr:uid="{00000000-0005-0000-0000-0000E3550000}"/>
    <cellStyle name="Normal 53 5 2 2 2 2 2 2" xfId="34576" xr:uid="{00000000-0005-0000-0000-0000E4550000}"/>
    <cellStyle name="Normal 53 5 2 2 2 2 3" xfId="26529" xr:uid="{00000000-0005-0000-0000-0000E5550000}"/>
    <cellStyle name="Normal 53 5 2 2 2 3" xfId="14193" xr:uid="{00000000-0005-0000-0000-0000E6550000}"/>
    <cellStyle name="Normal 53 5 2 2 2 3 2" xfId="30739" xr:uid="{00000000-0005-0000-0000-0000E7550000}"/>
    <cellStyle name="Normal 53 5 2 2 2 4" xfId="22696" xr:uid="{00000000-0005-0000-0000-0000E8550000}"/>
    <cellStyle name="Normal 53 5 2 2 3" xfId="8828" xr:uid="{00000000-0005-0000-0000-0000E9550000}"/>
    <cellStyle name="Normal 53 5 2 2 3 2" xfId="18003" xr:uid="{00000000-0005-0000-0000-0000EA550000}"/>
    <cellStyle name="Normal 53 5 2 2 3 2 2" xfId="34577" xr:uid="{00000000-0005-0000-0000-0000EB550000}"/>
    <cellStyle name="Normal 53 5 2 2 3 3" xfId="26530" xr:uid="{00000000-0005-0000-0000-0000EC550000}"/>
    <cellStyle name="Normal 53 5 2 2 4" xfId="14192" xr:uid="{00000000-0005-0000-0000-0000ED550000}"/>
    <cellStyle name="Normal 53 5 2 2 4 2" xfId="30738" xr:uid="{00000000-0005-0000-0000-0000EE550000}"/>
    <cellStyle name="Normal 53 5 2 2 5" xfId="22695" xr:uid="{00000000-0005-0000-0000-0000EF550000}"/>
    <cellStyle name="Normal 53 5 2 3" xfId="4850" xr:uid="{00000000-0005-0000-0000-0000F0550000}"/>
    <cellStyle name="Normal 53 5 2 3 2" xfId="8829" xr:uid="{00000000-0005-0000-0000-0000F1550000}"/>
    <cellStyle name="Normal 53 5 2 3 2 2" xfId="18004" xr:uid="{00000000-0005-0000-0000-0000F2550000}"/>
    <cellStyle name="Normal 53 5 2 3 2 2 2" xfId="34578" xr:uid="{00000000-0005-0000-0000-0000F3550000}"/>
    <cellStyle name="Normal 53 5 2 3 2 3" xfId="26531" xr:uid="{00000000-0005-0000-0000-0000F4550000}"/>
    <cellStyle name="Normal 53 5 2 3 3" xfId="14194" xr:uid="{00000000-0005-0000-0000-0000F5550000}"/>
    <cellStyle name="Normal 53 5 2 3 3 2" xfId="30740" xr:uid="{00000000-0005-0000-0000-0000F6550000}"/>
    <cellStyle name="Normal 53 5 2 3 4" xfId="22697" xr:uid="{00000000-0005-0000-0000-0000F7550000}"/>
    <cellStyle name="Normal 53 5 2 4" xfId="8830" xr:uid="{00000000-0005-0000-0000-0000F8550000}"/>
    <cellStyle name="Normal 53 5 2 4 2" xfId="18005" xr:uid="{00000000-0005-0000-0000-0000F9550000}"/>
    <cellStyle name="Normal 53 5 2 4 2 2" xfId="34579" xr:uid="{00000000-0005-0000-0000-0000FA550000}"/>
    <cellStyle name="Normal 53 5 2 4 3" xfId="26532" xr:uid="{00000000-0005-0000-0000-0000FB550000}"/>
    <cellStyle name="Normal 53 5 2 5" xfId="14191" xr:uid="{00000000-0005-0000-0000-0000FC550000}"/>
    <cellStyle name="Normal 53 5 2 5 2" xfId="30737" xr:uid="{00000000-0005-0000-0000-0000FD550000}"/>
    <cellStyle name="Normal 53 5 2 6" xfId="22694" xr:uid="{00000000-0005-0000-0000-0000FE550000}"/>
    <cellStyle name="Normal 53 5 3" xfId="4851" xr:uid="{00000000-0005-0000-0000-0000FF550000}"/>
    <cellStyle name="Normal 53 5 3 2" xfId="4852" xr:uid="{00000000-0005-0000-0000-000000560000}"/>
    <cellStyle name="Normal 53 5 3 2 2" xfId="8831" xr:uid="{00000000-0005-0000-0000-000001560000}"/>
    <cellStyle name="Normal 53 5 3 2 2 2" xfId="18006" xr:uid="{00000000-0005-0000-0000-000002560000}"/>
    <cellStyle name="Normal 53 5 3 2 2 2 2" xfId="34580" xr:uid="{00000000-0005-0000-0000-000003560000}"/>
    <cellStyle name="Normal 53 5 3 2 2 3" xfId="26533" xr:uid="{00000000-0005-0000-0000-000004560000}"/>
    <cellStyle name="Normal 53 5 3 2 3" xfId="14196" xr:uid="{00000000-0005-0000-0000-000005560000}"/>
    <cellStyle name="Normal 53 5 3 2 3 2" xfId="30742" xr:uid="{00000000-0005-0000-0000-000006560000}"/>
    <cellStyle name="Normal 53 5 3 2 4" xfId="22699" xr:uid="{00000000-0005-0000-0000-000007560000}"/>
    <cellStyle name="Normal 53 5 3 3" xfId="8832" xr:uid="{00000000-0005-0000-0000-000008560000}"/>
    <cellStyle name="Normal 53 5 3 3 2" xfId="18007" xr:uid="{00000000-0005-0000-0000-000009560000}"/>
    <cellStyle name="Normal 53 5 3 3 2 2" xfId="34581" xr:uid="{00000000-0005-0000-0000-00000A560000}"/>
    <cellStyle name="Normal 53 5 3 3 3" xfId="26534" xr:uid="{00000000-0005-0000-0000-00000B560000}"/>
    <cellStyle name="Normal 53 5 3 4" xfId="14195" xr:uid="{00000000-0005-0000-0000-00000C560000}"/>
    <cellStyle name="Normal 53 5 3 4 2" xfId="30741" xr:uid="{00000000-0005-0000-0000-00000D560000}"/>
    <cellStyle name="Normal 53 5 3 5" xfId="22698" xr:uid="{00000000-0005-0000-0000-00000E560000}"/>
    <cellStyle name="Normal 53 5 4" xfId="4853" xr:uid="{00000000-0005-0000-0000-00000F560000}"/>
    <cellStyle name="Normal 53 5 4 2" xfId="8833" xr:uid="{00000000-0005-0000-0000-000010560000}"/>
    <cellStyle name="Normal 53 5 4 2 2" xfId="18008" xr:uid="{00000000-0005-0000-0000-000011560000}"/>
    <cellStyle name="Normal 53 5 4 2 2 2" xfId="34582" xr:uid="{00000000-0005-0000-0000-000012560000}"/>
    <cellStyle name="Normal 53 5 4 2 3" xfId="26535" xr:uid="{00000000-0005-0000-0000-000013560000}"/>
    <cellStyle name="Normal 53 5 4 3" xfId="14197" xr:uid="{00000000-0005-0000-0000-000014560000}"/>
    <cellStyle name="Normal 53 5 4 3 2" xfId="30743" xr:uid="{00000000-0005-0000-0000-000015560000}"/>
    <cellStyle name="Normal 53 5 4 4" xfId="22700" xr:uid="{00000000-0005-0000-0000-000016560000}"/>
    <cellStyle name="Normal 53 5 5" xfId="8834" xr:uid="{00000000-0005-0000-0000-000017560000}"/>
    <cellStyle name="Normal 53 5 5 2" xfId="18009" xr:uid="{00000000-0005-0000-0000-000018560000}"/>
    <cellStyle name="Normal 53 5 5 2 2" xfId="34583" xr:uid="{00000000-0005-0000-0000-000019560000}"/>
    <cellStyle name="Normal 53 5 5 3" xfId="26536" xr:uid="{00000000-0005-0000-0000-00001A560000}"/>
    <cellStyle name="Normal 53 5 6" xfId="14190" xr:uid="{00000000-0005-0000-0000-00001B560000}"/>
    <cellStyle name="Normal 53 5 6 2" xfId="30736" xr:uid="{00000000-0005-0000-0000-00001C560000}"/>
    <cellStyle name="Normal 53 5 7" xfId="22693" xr:uid="{00000000-0005-0000-0000-00001D560000}"/>
    <cellStyle name="Normal 53 6" xfId="4854" xr:uid="{00000000-0005-0000-0000-00001E560000}"/>
    <cellStyle name="Normal 53 6 2" xfId="4855" xr:uid="{00000000-0005-0000-0000-00001F560000}"/>
    <cellStyle name="Normal 53 6 2 2" xfId="4856" xr:uid="{00000000-0005-0000-0000-000020560000}"/>
    <cellStyle name="Normal 53 6 2 2 2" xfId="8835" xr:uid="{00000000-0005-0000-0000-000021560000}"/>
    <cellStyle name="Normal 53 6 2 2 2 2" xfId="18010" xr:uid="{00000000-0005-0000-0000-000022560000}"/>
    <cellStyle name="Normal 53 6 2 2 2 2 2" xfId="34584" xr:uid="{00000000-0005-0000-0000-000023560000}"/>
    <cellStyle name="Normal 53 6 2 2 2 3" xfId="26537" xr:uid="{00000000-0005-0000-0000-000024560000}"/>
    <cellStyle name="Normal 53 6 2 2 3" xfId="14200" xr:uid="{00000000-0005-0000-0000-000025560000}"/>
    <cellStyle name="Normal 53 6 2 2 3 2" xfId="30746" xr:uid="{00000000-0005-0000-0000-000026560000}"/>
    <cellStyle name="Normal 53 6 2 2 4" xfId="22703" xr:uid="{00000000-0005-0000-0000-000027560000}"/>
    <cellStyle name="Normal 53 6 2 3" xfId="8836" xr:uid="{00000000-0005-0000-0000-000028560000}"/>
    <cellStyle name="Normal 53 6 2 3 2" xfId="18011" xr:uid="{00000000-0005-0000-0000-000029560000}"/>
    <cellStyle name="Normal 53 6 2 3 2 2" xfId="34585" xr:uid="{00000000-0005-0000-0000-00002A560000}"/>
    <cellStyle name="Normal 53 6 2 3 3" xfId="26538" xr:uid="{00000000-0005-0000-0000-00002B560000}"/>
    <cellStyle name="Normal 53 6 2 4" xfId="14199" xr:uid="{00000000-0005-0000-0000-00002C560000}"/>
    <cellStyle name="Normal 53 6 2 4 2" xfId="30745" xr:uid="{00000000-0005-0000-0000-00002D560000}"/>
    <cellStyle name="Normal 53 6 2 5" xfId="22702" xr:uid="{00000000-0005-0000-0000-00002E560000}"/>
    <cellStyle name="Normal 53 6 3" xfId="4857" xr:uid="{00000000-0005-0000-0000-00002F560000}"/>
    <cellStyle name="Normal 53 6 3 2" xfId="8837" xr:uid="{00000000-0005-0000-0000-000030560000}"/>
    <cellStyle name="Normal 53 6 3 2 2" xfId="18012" xr:uid="{00000000-0005-0000-0000-000031560000}"/>
    <cellStyle name="Normal 53 6 3 2 2 2" xfId="34586" xr:uid="{00000000-0005-0000-0000-000032560000}"/>
    <cellStyle name="Normal 53 6 3 2 3" xfId="26539" xr:uid="{00000000-0005-0000-0000-000033560000}"/>
    <cellStyle name="Normal 53 6 3 3" xfId="14201" xr:uid="{00000000-0005-0000-0000-000034560000}"/>
    <cellStyle name="Normal 53 6 3 3 2" xfId="30747" xr:uid="{00000000-0005-0000-0000-000035560000}"/>
    <cellStyle name="Normal 53 6 3 4" xfId="22704" xr:uid="{00000000-0005-0000-0000-000036560000}"/>
    <cellStyle name="Normal 53 6 4" xfId="8838" xr:uid="{00000000-0005-0000-0000-000037560000}"/>
    <cellStyle name="Normal 53 6 4 2" xfId="18013" xr:uid="{00000000-0005-0000-0000-000038560000}"/>
    <cellStyle name="Normal 53 6 4 2 2" xfId="34587" xr:uid="{00000000-0005-0000-0000-000039560000}"/>
    <cellStyle name="Normal 53 6 4 3" xfId="26540" xr:uid="{00000000-0005-0000-0000-00003A560000}"/>
    <cellStyle name="Normal 53 6 5" xfId="14198" xr:uid="{00000000-0005-0000-0000-00003B560000}"/>
    <cellStyle name="Normal 53 6 5 2" xfId="30744" xr:uid="{00000000-0005-0000-0000-00003C560000}"/>
    <cellStyle name="Normal 53 6 6" xfId="22701" xr:uid="{00000000-0005-0000-0000-00003D560000}"/>
    <cellStyle name="Normal 53 7" xfId="4858" xr:uid="{00000000-0005-0000-0000-00003E560000}"/>
    <cellStyle name="Normal 53 7 2" xfId="4859" xr:uid="{00000000-0005-0000-0000-00003F560000}"/>
    <cellStyle name="Normal 53 7 2 2" xfId="8839" xr:uid="{00000000-0005-0000-0000-000040560000}"/>
    <cellStyle name="Normal 53 7 2 2 2" xfId="18014" xr:uid="{00000000-0005-0000-0000-000041560000}"/>
    <cellStyle name="Normal 53 7 2 2 2 2" xfId="34588" xr:uid="{00000000-0005-0000-0000-000042560000}"/>
    <cellStyle name="Normal 53 7 2 2 3" xfId="26541" xr:uid="{00000000-0005-0000-0000-000043560000}"/>
    <cellStyle name="Normal 53 7 2 3" xfId="14203" xr:uid="{00000000-0005-0000-0000-000044560000}"/>
    <cellStyle name="Normal 53 7 2 3 2" xfId="30749" xr:uid="{00000000-0005-0000-0000-000045560000}"/>
    <cellStyle name="Normal 53 7 2 4" xfId="22706" xr:uid="{00000000-0005-0000-0000-000046560000}"/>
    <cellStyle name="Normal 53 7 3" xfId="8840" xr:uid="{00000000-0005-0000-0000-000047560000}"/>
    <cellStyle name="Normal 53 7 3 2" xfId="18015" xr:uid="{00000000-0005-0000-0000-000048560000}"/>
    <cellStyle name="Normal 53 7 3 2 2" xfId="34589" xr:uid="{00000000-0005-0000-0000-000049560000}"/>
    <cellStyle name="Normal 53 7 3 3" xfId="26542" xr:uid="{00000000-0005-0000-0000-00004A560000}"/>
    <cellStyle name="Normal 53 7 4" xfId="14202" xr:uid="{00000000-0005-0000-0000-00004B560000}"/>
    <cellStyle name="Normal 53 7 4 2" xfId="30748" xr:uid="{00000000-0005-0000-0000-00004C560000}"/>
    <cellStyle name="Normal 53 7 5" xfId="22705" xr:uid="{00000000-0005-0000-0000-00004D560000}"/>
    <cellStyle name="Normal 53 8" xfId="4860" xr:uid="{00000000-0005-0000-0000-00004E560000}"/>
    <cellStyle name="Normal 53 8 2" xfId="8841" xr:uid="{00000000-0005-0000-0000-00004F560000}"/>
    <cellStyle name="Normal 53 8 2 2" xfId="18016" xr:uid="{00000000-0005-0000-0000-000050560000}"/>
    <cellStyle name="Normal 53 8 2 2 2" xfId="34590" xr:uid="{00000000-0005-0000-0000-000051560000}"/>
    <cellStyle name="Normal 53 8 2 3" xfId="26543" xr:uid="{00000000-0005-0000-0000-000052560000}"/>
    <cellStyle name="Normal 53 8 3" xfId="14204" xr:uid="{00000000-0005-0000-0000-000053560000}"/>
    <cellStyle name="Normal 53 8 3 2" xfId="30750" xr:uid="{00000000-0005-0000-0000-000054560000}"/>
    <cellStyle name="Normal 53 8 4" xfId="22707" xr:uid="{00000000-0005-0000-0000-000055560000}"/>
    <cellStyle name="Normal 53 9" xfId="8842" xr:uid="{00000000-0005-0000-0000-000056560000}"/>
    <cellStyle name="Normal 53 9 2" xfId="18017" xr:uid="{00000000-0005-0000-0000-000057560000}"/>
    <cellStyle name="Normal 53 9 2 2" xfId="34591" xr:uid="{00000000-0005-0000-0000-000058560000}"/>
    <cellStyle name="Normal 53 9 3" xfId="26544" xr:uid="{00000000-0005-0000-0000-000059560000}"/>
    <cellStyle name="Normal 54" xfId="4861" xr:uid="{00000000-0005-0000-0000-00005A560000}"/>
    <cellStyle name="Normal 54 10" xfId="14205" xr:uid="{00000000-0005-0000-0000-00005B560000}"/>
    <cellStyle name="Normal 54 10 2" xfId="30751" xr:uid="{00000000-0005-0000-0000-00005C560000}"/>
    <cellStyle name="Normal 54 11" xfId="22708" xr:uid="{00000000-0005-0000-0000-00005D560000}"/>
    <cellStyle name="Normal 54 2" xfId="4862" xr:uid="{00000000-0005-0000-0000-00005E560000}"/>
    <cellStyle name="Normal 54 2 2" xfId="4863" xr:uid="{00000000-0005-0000-0000-00005F560000}"/>
    <cellStyle name="Normal 54 2 3" xfId="14206" xr:uid="{00000000-0005-0000-0000-000060560000}"/>
    <cellStyle name="Normal 54 2 3 2" xfId="30752" xr:uid="{00000000-0005-0000-0000-000061560000}"/>
    <cellStyle name="Normal 54 2 4" xfId="22709" xr:uid="{00000000-0005-0000-0000-000062560000}"/>
    <cellStyle name="Normal 54 3" xfId="4864" xr:uid="{00000000-0005-0000-0000-000063560000}"/>
    <cellStyle name="Normal 54 3 2" xfId="4865" xr:uid="{00000000-0005-0000-0000-000064560000}"/>
    <cellStyle name="Normal 54 3 2 2" xfId="4866" xr:uid="{00000000-0005-0000-0000-000065560000}"/>
    <cellStyle name="Normal 54 3 2 2 2" xfId="4867" xr:uid="{00000000-0005-0000-0000-000066560000}"/>
    <cellStyle name="Normal 54 3 2 2 2 2" xfId="8843" xr:uid="{00000000-0005-0000-0000-000067560000}"/>
    <cellStyle name="Normal 54 3 2 2 2 2 2" xfId="18018" xr:uid="{00000000-0005-0000-0000-000068560000}"/>
    <cellStyle name="Normal 54 3 2 2 2 2 2 2" xfId="34592" xr:uid="{00000000-0005-0000-0000-000069560000}"/>
    <cellStyle name="Normal 54 3 2 2 2 2 3" xfId="26545" xr:uid="{00000000-0005-0000-0000-00006A560000}"/>
    <cellStyle name="Normal 54 3 2 2 2 3" xfId="14209" xr:uid="{00000000-0005-0000-0000-00006B560000}"/>
    <cellStyle name="Normal 54 3 2 2 2 3 2" xfId="30755" xr:uid="{00000000-0005-0000-0000-00006C560000}"/>
    <cellStyle name="Normal 54 3 2 2 2 4" xfId="22712" xr:uid="{00000000-0005-0000-0000-00006D560000}"/>
    <cellStyle name="Normal 54 3 2 2 3" xfId="8844" xr:uid="{00000000-0005-0000-0000-00006E560000}"/>
    <cellStyle name="Normal 54 3 2 2 3 2" xfId="18019" xr:uid="{00000000-0005-0000-0000-00006F560000}"/>
    <cellStyle name="Normal 54 3 2 2 3 2 2" xfId="34593" xr:uid="{00000000-0005-0000-0000-000070560000}"/>
    <cellStyle name="Normal 54 3 2 2 3 3" xfId="26546" xr:uid="{00000000-0005-0000-0000-000071560000}"/>
    <cellStyle name="Normal 54 3 2 2 4" xfId="14208" xr:uid="{00000000-0005-0000-0000-000072560000}"/>
    <cellStyle name="Normal 54 3 2 2 4 2" xfId="30754" xr:uid="{00000000-0005-0000-0000-000073560000}"/>
    <cellStyle name="Normal 54 3 2 2 5" xfId="22711" xr:uid="{00000000-0005-0000-0000-000074560000}"/>
    <cellStyle name="Normal 54 3 2 3" xfId="4868" xr:uid="{00000000-0005-0000-0000-000075560000}"/>
    <cellStyle name="Normal 54 3 2 3 2" xfId="8845" xr:uid="{00000000-0005-0000-0000-000076560000}"/>
    <cellStyle name="Normal 54 3 2 3 2 2" xfId="18020" xr:uid="{00000000-0005-0000-0000-000077560000}"/>
    <cellStyle name="Normal 54 3 2 3 2 2 2" xfId="34594" xr:uid="{00000000-0005-0000-0000-000078560000}"/>
    <cellStyle name="Normal 54 3 2 3 2 3" xfId="26547" xr:uid="{00000000-0005-0000-0000-000079560000}"/>
    <cellStyle name="Normal 54 3 2 3 3" xfId="14210" xr:uid="{00000000-0005-0000-0000-00007A560000}"/>
    <cellStyle name="Normal 54 3 2 3 3 2" xfId="30756" xr:uid="{00000000-0005-0000-0000-00007B560000}"/>
    <cellStyle name="Normal 54 3 2 3 4" xfId="22713" xr:uid="{00000000-0005-0000-0000-00007C560000}"/>
    <cellStyle name="Normal 54 3 2 4" xfId="8846" xr:uid="{00000000-0005-0000-0000-00007D560000}"/>
    <cellStyle name="Normal 54 3 2 4 2" xfId="18021" xr:uid="{00000000-0005-0000-0000-00007E560000}"/>
    <cellStyle name="Normal 54 3 2 4 2 2" xfId="34595" xr:uid="{00000000-0005-0000-0000-00007F560000}"/>
    <cellStyle name="Normal 54 3 2 4 3" xfId="26548" xr:uid="{00000000-0005-0000-0000-000080560000}"/>
    <cellStyle name="Normal 54 3 2 5" xfId="14207" xr:uid="{00000000-0005-0000-0000-000081560000}"/>
    <cellStyle name="Normal 54 3 2 5 2" xfId="30753" xr:uid="{00000000-0005-0000-0000-000082560000}"/>
    <cellStyle name="Normal 54 3 2 6" xfId="22710" xr:uid="{00000000-0005-0000-0000-000083560000}"/>
    <cellStyle name="Normal 54 3 3" xfId="4869" xr:uid="{00000000-0005-0000-0000-000084560000}"/>
    <cellStyle name="Normal 54 3 3 2" xfId="4870" xr:uid="{00000000-0005-0000-0000-000085560000}"/>
    <cellStyle name="Normal 54 3 3 2 2" xfId="8847" xr:uid="{00000000-0005-0000-0000-000086560000}"/>
    <cellStyle name="Normal 54 3 3 2 2 2" xfId="18022" xr:uid="{00000000-0005-0000-0000-000087560000}"/>
    <cellStyle name="Normal 54 3 3 2 2 2 2" xfId="34596" xr:uid="{00000000-0005-0000-0000-000088560000}"/>
    <cellStyle name="Normal 54 3 3 2 2 3" xfId="26549" xr:uid="{00000000-0005-0000-0000-000089560000}"/>
    <cellStyle name="Normal 54 3 3 2 3" xfId="14212" xr:uid="{00000000-0005-0000-0000-00008A560000}"/>
    <cellStyle name="Normal 54 3 3 2 3 2" xfId="30758" xr:uid="{00000000-0005-0000-0000-00008B560000}"/>
    <cellStyle name="Normal 54 3 3 2 4" xfId="22715" xr:uid="{00000000-0005-0000-0000-00008C560000}"/>
    <cellStyle name="Normal 54 3 3 3" xfId="8848" xr:uid="{00000000-0005-0000-0000-00008D560000}"/>
    <cellStyle name="Normal 54 3 3 3 2" xfId="18023" xr:uid="{00000000-0005-0000-0000-00008E560000}"/>
    <cellStyle name="Normal 54 3 3 3 2 2" xfId="34597" xr:uid="{00000000-0005-0000-0000-00008F560000}"/>
    <cellStyle name="Normal 54 3 3 3 3" xfId="26550" xr:uid="{00000000-0005-0000-0000-000090560000}"/>
    <cellStyle name="Normal 54 3 3 4" xfId="14211" xr:uid="{00000000-0005-0000-0000-000091560000}"/>
    <cellStyle name="Normal 54 3 3 4 2" xfId="30757" xr:uid="{00000000-0005-0000-0000-000092560000}"/>
    <cellStyle name="Normal 54 3 3 5" xfId="22714" xr:uid="{00000000-0005-0000-0000-000093560000}"/>
    <cellStyle name="Normal 54 3 4" xfId="4871" xr:uid="{00000000-0005-0000-0000-000094560000}"/>
    <cellStyle name="Normal 54 3 4 2" xfId="8849" xr:uid="{00000000-0005-0000-0000-000095560000}"/>
    <cellStyle name="Normal 54 3 4 2 2" xfId="18024" xr:uid="{00000000-0005-0000-0000-000096560000}"/>
    <cellStyle name="Normal 54 3 4 2 2 2" xfId="34598" xr:uid="{00000000-0005-0000-0000-000097560000}"/>
    <cellStyle name="Normal 54 3 4 2 3" xfId="26551" xr:uid="{00000000-0005-0000-0000-000098560000}"/>
    <cellStyle name="Normal 54 3 4 3" xfId="14213" xr:uid="{00000000-0005-0000-0000-000099560000}"/>
    <cellStyle name="Normal 54 3 4 3 2" xfId="30759" xr:uid="{00000000-0005-0000-0000-00009A560000}"/>
    <cellStyle name="Normal 54 3 4 4" xfId="22716" xr:uid="{00000000-0005-0000-0000-00009B560000}"/>
    <cellStyle name="Normal 54 3 5" xfId="4872" xr:uid="{00000000-0005-0000-0000-00009C560000}"/>
    <cellStyle name="Normal 54 3 5 2" xfId="14214" xr:uid="{00000000-0005-0000-0000-00009D560000}"/>
    <cellStyle name="Normal 54 3 5 2 2" xfId="30760" xr:uid="{00000000-0005-0000-0000-00009E560000}"/>
    <cellStyle name="Normal 54 3 5 3" xfId="22717" xr:uid="{00000000-0005-0000-0000-00009F560000}"/>
    <cellStyle name="Normal 54 4" xfId="4873" xr:uid="{00000000-0005-0000-0000-0000A0560000}"/>
    <cellStyle name="Normal 54 4 2" xfId="4874" xr:uid="{00000000-0005-0000-0000-0000A1560000}"/>
    <cellStyle name="Normal 54 4 2 2" xfId="4875" xr:uid="{00000000-0005-0000-0000-0000A2560000}"/>
    <cellStyle name="Normal 54 4 2 2 2" xfId="4876" xr:uid="{00000000-0005-0000-0000-0000A3560000}"/>
    <cellStyle name="Normal 54 4 2 2 2 2" xfId="8850" xr:uid="{00000000-0005-0000-0000-0000A4560000}"/>
    <cellStyle name="Normal 54 4 2 2 2 2 2" xfId="18025" xr:uid="{00000000-0005-0000-0000-0000A5560000}"/>
    <cellStyle name="Normal 54 4 2 2 2 2 2 2" xfId="34599" xr:uid="{00000000-0005-0000-0000-0000A6560000}"/>
    <cellStyle name="Normal 54 4 2 2 2 2 3" xfId="26552" xr:uid="{00000000-0005-0000-0000-0000A7560000}"/>
    <cellStyle name="Normal 54 4 2 2 2 3" xfId="14218" xr:uid="{00000000-0005-0000-0000-0000A8560000}"/>
    <cellStyle name="Normal 54 4 2 2 2 3 2" xfId="30764" xr:uid="{00000000-0005-0000-0000-0000A9560000}"/>
    <cellStyle name="Normal 54 4 2 2 2 4" xfId="22721" xr:uid="{00000000-0005-0000-0000-0000AA560000}"/>
    <cellStyle name="Normal 54 4 2 2 3" xfId="8851" xr:uid="{00000000-0005-0000-0000-0000AB560000}"/>
    <cellStyle name="Normal 54 4 2 2 3 2" xfId="18026" xr:uid="{00000000-0005-0000-0000-0000AC560000}"/>
    <cellStyle name="Normal 54 4 2 2 3 2 2" xfId="34600" xr:uid="{00000000-0005-0000-0000-0000AD560000}"/>
    <cellStyle name="Normal 54 4 2 2 3 3" xfId="26553" xr:uid="{00000000-0005-0000-0000-0000AE560000}"/>
    <cellStyle name="Normal 54 4 2 2 4" xfId="14217" xr:uid="{00000000-0005-0000-0000-0000AF560000}"/>
    <cellStyle name="Normal 54 4 2 2 4 2" xfId="30763" xr:uid="{00000000-0005-0000-0000-0000B0560000}"/>
    <cellStyle name="Normal 54 4 2 2 5" xfId="22720" xr:uid="{00000000-0005-0000-0000-0000B1560000}"/>
    <cellStyle name="Normal 54 4 2 3" xfId="4877" xr:uid="{00000000-0005-0000-0000-0000B2560000}"/>
    <cellStyle name="Normal 54 4 2 3 2" xfId="8852" xr:uid="{00000000-0005-0000-0000-0000B3560000}"/>
    <cellStyle name="Normal 54 4 2 3 2 2" xfId="18027" xr:uid="{00000000-0005-0000-0000-0000B4560000}"/>
    <cellStyle name="Normal 54 4 2 3 2 2 2" xfId="34601" xr:uid="{00000000-0005-0000-0000-0000B5560000}"/>
    <cellStyle name="Normal 54 4 2 3 2 3" xfId="26554" xr:uid="{00000000-0005-0000-0000-0000B6560000}"/>
    <cellStyle name="Normal 54 4 2 3 3" xfId="14219" xr:uid="{00000000-0005-0000-0000-0000B7560000}"/>
    <cellStyle name="Normal 54 4 2 3 3 2" xfId="30765" xr:uid="{00000000-0005-0000-0000-0000B8560000}"/>
    <cellStyle name="Normal 54 4 2 3 4" xfId="22722" xr:uid="{00000000-0005-0000-0000-0000B9560000}"/>
    <cellStyle name="Normal 54 4 2 4" xfId="8853" xr:uid="{00000000-0005-0000-0000-0000BA560000}"/>
    <cellStyle name="Normal 54 4 2 4 2" xfId="18028" xr:uid="{00000000-0005-0000-0000-0000BB560000}"/>
    <cellStyle name="Normal 54 4 2 4 2 2" xfId="34602" xr:uid="{00000000-0005-0000-0000-0000BC560000}"/>
    <cellStyle name="Normal 54 4 2 4 3" xfId="26555" xr:uid="{00000000-0005-0000-0000-0000BD560000}"/>
    <cellStyle name="Normal 54 4 2 5" xfId="14216" xr:uid="{00000000-0005-0000-0000-0000BE560000}"/>
    <cellStyle name="Normal 54 4 2 5 2" xfId="30762" xr:uid="{00000000-0005-0000-0000-0000BF560000}"/>
    <cellStyle name="Normal 54 4 2 6" xfId="22719" xr:uid="{00000000-0005-0000-0000-0000C0560000}"/>
    <cellStyle name="Normal 54 4 3" xfId="4878" xr:uid="{00000000-0005-0000-0000-0000C1560000}"/>
    <cellStyle name="Normal 54 4 3 2" xfId="4879" xr:uid="{00000000-0005-0000-0000-0000C2560000}"/>
    <cellStyle name="Normal 54 4 3 2 2" xfId="8854" xr:uid="{00000000-0005-0000-0000-0000C3560000}"/>
    <cellStyle name="Normal 54 4 3 2 2 2" xfId="18029" xr:uid="{00000000-0005-0000-0000-0000C4560000}"/>
    <cellStyle name="Normal 54 4 3 2 2 2 2" xfId="34603" xr:uid="{00000000-0005-0000-0000-0000C5560000}"/>
    <cellStyle name="Normal 54 4 3 2 2 3" xfId="26556" xr:uid="{00000000-0005-0000-0000-0000C6560000}"/>
    <cellStyle name="Normal 54 4 3 2 3" xfId="14221" xr:uid="{00000000-0005-0000-0000-0000C7560000}"/>
    <cellStyle name="Normal 54 4 3 2 3 2" xfId="30767" xr:uid="{00000000-0005-0000-0000-0000C8560000}"/>
    <cellStyle name="Normal 54 4 3 2 4" xfId="22724" xr:uid="{00000000-0005-0000-0000-0000C9560000}"/>
    <cellStyle name="Normal 54 4 3 3" xfId="8855" xr:uid="{00000000-0005-0000-0000-0000CA560000}"/>
    <cellStyle name="Normal 54 4 3 3 2" xfId="18030" xr:uid="{00000000-0005-0000-0000-0000CB560000}"/>
    <cellStyle name="Normal 54 4 3 3 2 2" xfId="34604" xr:uid="{00000000-0005-0000-0000-0000CC560000}"/>
    <cellStyle name="Normal 54 4 3 3 3" xfId="26557" xr:uid="{00000000-0005-0000-0000-0000CD560000}"/>
    <cellStyle name="Normal 54 4 3 4" xfId="14220" xr:uid="{00000000-0005-0000-0000-0000CE560000}"/>
    <cellStyle name="Normal 54 4 3 4 2" xfId="30766" xr:uid="{00000000-0005-0000-0000-0000CF560000}"/>
    <cellStyle name="Normal 54 4 3 5" xfId="22723" xr:uid="{00000000-0005-0000-0000-0000D0560000}"/>
    <cellStyle name="Normal 54 4 4" xfId="4880" xr:uid="{00000000-0005-0000-0000-0000D1560000}"/>
    <cellStyle name="Normal 54 4 4 2" xfId="8856" xr:uid="{00000000-0005-0000-0000-0000D2560000}"/>
    <cellStyle name="Normal 54 4 4 2 2" xfId="18031" xr:uid="{00000000-0005-0000-0000-0000D3560000}"/>
    <cellStyle name="Normal 54 4 4 2 2 2" xfId="34605" xr:uid="{00000000-0005-0000-0000-0000D4560000}"/>
    <cellStyle name="Normal 54 4 4 2 3" xfId="26558" xr:uid="{00000000-0005-0000-0000-0000D5560000}"/>
    <cellStyle name="Normal 54 4 4 3" xfId="14222" xr:uid="{00000000-0005-0000-0000-0000D6560000}"/>
    <cellStyle name="Normal 54 4 4 3 2" xfId="30768" xr:uid="{00000000-0005-0000-0000-0000D7560000}"/>
    <cellStyle name="Normal 54 4 4 4" xfId="22725" xr:uid="{00000000-0005-0000-0000-0000D8560000}"/>
    <cellStyle name="Normal 54 4 5" xfId="8857" xr:uid="{00000000-0005-0000-0000-0000D9560000}"/>
    <cellStyle name="Normal 54 4 5 2" xfId="18032" xr:uid="{00000000-0005-0000-0000-0000DA560000}"/>
    <cellStyle name="Normal 54 4 5 2 2" xfId="34606" xr:uid="{00000000-0005-0000-0000-0000DB560000}"/>
    <cellStyle name="Normal 54 4 5 3" xfId="26559" xr:uid="{00000000-0005-0000-0000-0000DC560000}"/>
    <cellStyle name="Normal 54 4 6" xfId="14215" xr:uid="{00000000-0005-0000-0000-0000DD560000}"/>
    <cellStyle name="Normal 54 4 6 2" xfId="30761" xr:uid="{00000000-0005-0000-0000-0000DE560000}"/>
    <cellStyle name="Normal 54 4 7" xfId="22718" xr:uid="{00000000-0005-0000-0000-0000DF560000}"/>
    <cellStyle name="Normal 54 5" xfId="4881" xr:uid="{00000000-0005-0000-0000-0000E0560000}"/>
    <cellStyle name="Normal 54 5 2" xfId="4882" xr:uid="{00000000-0005-0000-0000-0000E1560000}"/>
    <cellStyle name="Normal 54 5 2 2" xfId="4883" xr:uid="{00000000-0005-0000-0000-0000E2560000}"/>
    <cellStyle name="Normal 54 5 2 2 2" xfId="4884" xr:uid="{00000000-0005-0000-0000-0000E3560000}"/>
    <cellStyle name="Normal 54 5 2 2 2 2" xfId="8858" xr:uid="{00000000-0005-0000-0000-0000E4560000}"/>
    <cellStyle name="Normal 54 5 2 2 2 2 2" xfId="18033" xr:uid="{00000000-0005-0000-0000-0000E5560000}"/>
    <cellStyle name="Normal 54 5 2 2 2 2 2 2" xfId="34607" xr:uid="{00000000-0005-0000-0000-0000E6560000}"/>
    <cellStyle name="Normal 54 5 2 2 2 2 3" xfId="26560" xr:uid="{00000000-0005-0000-0000-0000E7560000}"/>
    <cellStyle name="Normal 54 5 2 2 2 3" xfId="14226" xr:uid="{00000000-0005-0000-0000-0000E8560000}"/>
    <cellStyle name="Normal 54 5 2 2 2 3 2" xfId="30772" xr:uid="{00000000-0005-0000-0000-0000E9560000}"/>
    <cellStyle name="Normal 54 5 2 2 2 4" xfId="22729" xr:uid="{00000000-0005-0000-0000-0000EA560000}"/>
    <cellStyle name="Normal 54 5 2 2 3" xfId="8859" xr:uid="{00000000-0005-0000-0000-0000EB560000}"/>
    <cellStyle name="Normal 54 5 2 2 3 2" xfId="18034" xr:uid="{00000000-0005-0000-0000-0000EC560000}"/>
    <cellStyle name="Normal 54 5 2 2 3 2 2" xfId="34608" xr:uid="{00000000-0005-0000-0000-0000ED560000}"/>
    <cellStyle name="Normal 54 5 2 2 3 3" xfId="26561" xr:uid="{00000000-0005-0000-0000-0000EE560000}"/>
    <cellStyle name="Normal 54 5 2 2 4" xfId="14225" xr:uid="{00000000-0005-0000-0000-0000EF560000}"/>
    <cellStyle name="Normal 54 5 2 2 4 2" xfId="30771" xr:uid="{00000000-0005-0000-0000-0000F0560000}"/>
    <cellStyle name="Normal 54 5 2 2 5" xfId="22728" xr:uid="{00000000-0005-0000-0000-0000F1560000}"/>
    <cellStyle name="Normal 54 5 2 3" xfId="4885" xr:uid="{00000000-0005-0000-0000-0000F2560000}"/>
    <cellStyle name="Normal 54 5 2 3 2" xfId="8860" xr:uid="{00000000-0005-0000-0000-0000F3560000}"/>
    <cellStyle name="Normal 54 5 2 3 2 2" xfId="18035" xr:uid="{00000000-0005-0000-0000-0000F4560000}"/>
    <cellStyle name="Normal 54 5 2 3 2 2 2" xfId="34609" xr:uid="{00000000-0005-0000-0000-0000F5560000}"/>
    <cellStyle name="Normal 54 5 2 3 2 3" xfId="26562" xr:uid="{00000000-0005-0000-0000-0000F6560000}"/>
    <cellStyle name="Normal 54 5 2 3 3" xfId="14227" xr:uid="{00000000-0005-0000-0000-0000F7560000}"/>
    <cellStyle name="Normal 54 5 2 3 3 2" xfId="30773" xr:uid="{00000000-0005-0000-0000-0000F8560000}"/>
    <cellStyle name="Normal 54 5 2 3 4" xfId="22730" xr:uid="{00000000-0005-0000-0000-0000F9560000}"/>
    <cellStyle name="Normal 54 5 2 4" xfId="8861" xr:uid="{00000000-0005-0000-0000-0000FA560000}"/>
    <cellStyle name="Normal 54 5 2 4 2" xfId="18036" xr:uid="{00000000-0005-0000-0000-0000FB560000}"/>
    <cellStyle name="Normal 54 5 2 4 2 2" xfId="34610" xr:uid="{00000000-0005-0000-0000-0000FC560000}"/>
    <cellStyle name="Normal 54 5 2 4 3" xfId="26563" xr:uid="{00000000-0005-0000-0000-0000FD560000}"/>
    <cellStyle name="Normal 54 5 2 5" xfId="14224" xr:uid="{00000000-0005-0000-0000-0000FE560000}"/>
    <cellStyle name="Normal 54 5 2 5 2" xfId="30770" xr:uid="{00000000-0005-0000-0000-0000FF560000}"/>
    <cellStyle name="Normal 54 5 2 6" xfId="22727" xr:uid="{00000000-0005-0000-0000-000000570000}"/>
    <cellStyle name="Normal 54 5 3" xfId="4886" xr:uid="{00000000-0005-0000-0000-000001570000}"/>
    <cellStyle name="Normal 54 5 3 2" xfId="4887" xr:uid="{00000000-0005-0000-0000-000002570000}"/>
    <cellStyle name="Normal 54 5 3 2 2" xfId="8862" xr:uid="{00000000-0005-0000-0000-000003570000}"/>
    <cellStyle name="Normal 54 5 3 2 2 2" xfId="18037" xr:uid="{00000000-0005-0000-0000-000004570000}"/>
    <cellStyle name="Normal 54 5 3 2 2 2 2" xfId="34611" xr:uid="{00000000-0005-0000-0000-000005570000}"/>
    <cellStyle name="Normal 54 5 3 2 2 3" xfId="26564" xr:uid="{00000000-0005-0000-0000-000006570000}"/>
    <cellStyle name="Normal 54 5 3 2 3" xfId="14229" xr:uid="{00000000-0005-0000-0000-000007570000}"/>
    <cellStyle name="Normal 54 5 3 2 3 2" xfId="30775" xr:uid="{00000000-0005-0000-0000-000008570000}"/>
    <cellStyle name="Normal 54 5 3 2 4" xfId="22732" xr:uid="{00000000-0005-0000-0000-000009570000}"/>
    <cellStyle name="Normal 54 5 3 3" xfId="8863" xr:uid="{00000000-0005-0000-0000-00000A570000}"/>
    <cellStyle name="Normal 54 5 3 3 2" xfId="18038" xr:uid="{00000000-0005-0000-0000-00000B570000}"/>
    <cellStyle name="Normal 54 5 3 3 2 2" xfId="34612" xr:uid="{00000000-0005-0000-0000-00000C570000}"/>
    <cellStyle name="Normal 54 5 3 3 3" xfId="26565" xr:uid="{00000000-0005-0000-0000-00000D570000}"/>
    <cellStyle name="Normal 54 5 3 4" xfId="14228" xr:uid="{00000000-0005-0000-0000-00000E570000}"/>
    <cellStyle name="Normal 54 5 3 4 2" xfId="30774" xr:uid="{00000000-0005-0000-0000-00000F570000}"/>
    <cellStyle name="Normal 54 5 3 5" xfId="22731" xr:uid="{00000000-0005-0000-0000-000010570000}"/>
    <cellStyle name="Normal 54 5 4" xfId="4888" xr:uid="{00000000-0005-0000-0000-000011570000}"/>
    <cellStyle name="Normal 54 5 4 2" xfId="8864" xr:uid="{00000000-0005-0000-0000-000012570000}"/>
    <cellStyle name="Normal 54 5 4 2 2" xfId="18039" xr:uid="{00000000-0005-0000-0000-000013570000}"/>
    <cellStyle name="Normal 54 5 4 2 2 2" xfId="34613" xr:uid="{00000000-0005-0000-0000-000014570000}"/>
    <cellStyle name="Normal 54 5 4 2 3" xfId="26566" xr:uid="{00000000-0005-0000-0000-000015570000}"/>
    <cellStyle name="Normal 54 5 4 3" xfId="14230" xr:uid="{00000000-0005-0000-0000-000016570000}"/>
    <cellStyle name="Normal 54 5 4 3 2" xfId="30776" xr:uid="{00000000-0005-0000-0000-000017570000}"/>
    <cellStyle name="Normal 54 5 4 4" xfId="22733" xr:uid="{00000000-0005-0000-0000-000018570000}"/>
    <cellStyle name="Normal 54 5 5" xfId="8865" xr:uid="{00000000-0005-0000-0000-000019570000}"/>
    <cellStyle name="Normal 54 5 5 2" xfId="18040" xr:uid="{00000000-0005-0000-0000-00001A570000}"/>
    <cellStyle name="Normal 54 5 5 2 2" xfId="34614" xr:uid="{00000000-0005-0000-0000-00001B570000}"/>
    <cellStyle name="Normal 54 5 5 3" xfId="26567" xr:uid="{00000000-0005-0000-0000-00001C570000}"/>
    <cellStyle name="Normal 54 5 6" xfId="14223" xr:uid="{00000000-0005-0000-0000-00001D570000}"/>
    <cellStyle name="Normal 54 5 6 2" xfId="30769" xr:uid="{00000000-0005-0000-0000-00001E570000}"/>
    <cellStyle name="Normal 54 5 7" xfId="22726" xr:uid="{00000000-0005-0000-0000-00001F570000}"/>
    <cellStyle name="Normal 54 6" xfId="4889" xr:uid="{00000000-0005-0000-0000-000020570000}"/>
    <cellStyle name="Normal 54 6 2" xfId="4890" xr:uid="{00000000-0005-0000-0000-000021570000}"/>
    <cellStyle name="Normal 54 6 2 2" xfId="4891" xr:uid="{00000000-0005-0000-0000-000022570000}"/>
    <cellStyle name="Normal 54 6 2 2 2" xfId="8866" xr:uid="{00000000-0005-0000-0000-000023570000}"/>
    <cellStyle name="Normal 54 6 2 2 2 2" xfId="18041" xr:uid="{00000000-0005-0000-0000-000024570000}"/>
    <cellStyle name="Normal 54 6 2 2 2 2 2" xfId="34615" xr:uid="{00000000-0005-0000-0000-000025570000}"/>
    <cellStyle name="Normal 54 6 2 2 2 3" xfId="26568" xr:uid="{00000000-0005-0000-0000-000026570000}"/>
    <cellStyle name="Normal 54 6 2 2 3" xfId="14233" xr:uid="{00000000-0005-0000-0000-000027570000}"/>
    <cellStyle name="Normal 54 6 2 2 3 2" xfId="30779" xr:uid="{00000000-0005-0000-0000-000028570000}"/>
    <cellStyle name="Normal 54 6 2 2 4" xfId="22736" xr:uid="{00000000-0005-0000-0000-000029570000}"/>
    <cellStyle name="Normal 54 6 2 3" xfId="8867" xr:uid="{00000000-0005-0000-0000-00002A570000}"/>
    <cellStyle name="Normal 54 6 2 3 2" xfId="18042" xr:uid="{00000000-0005-0000-0000-00002B570000}"/>
    <cellStyle name="Normal 54 6 2 3 2 2" xfId="34616" xr:uid="{00000000-0005-0000-0000-00002C570000}"/>
    <cellStyle name="Normal 54 6 2 3 3" xfId="26569" xr:uid="{00000000-0005-0000-0000-00002D570000}"/>
    <cellStyle name="Normal 54 6 2 4" xfId="14232" xr:uid="{00000000-0005-0000-0000-00002E570000}"/>
    <cellStyle name="Normal 54 6 2 4 2" xfId="30778" xr:uid="{00000000-0005-0000-0000-00002F570000}"/>
    <cellStyle name="Normal 54 6 2 5" xfId="22735" xr:uid="{00000000-0005-0000-0000-000030570000}"/>
    <cellStyle name="Normal 54 6 3" xfId="4892" xr:uid="{00000000-0005-0000-0000-000031570000}"/>
    <cellStyle name="Normal 54 6 3 2" xfId="8868" xr:uid="{00000000-0005-0000-0000-000032570000}"/>
    <cellStyle name="Normal 54 6 3 2 2" xfId="18043" xr:uid="{00000000-0005-0000-0000-000033570000}"/>
    <cellStyle name="Normal 54 6 3 2 2 2" xfId="34617" xr:uid="{00000000-0005-0000-0000-000034570000}"/>
    <cellStyle name="Normal 54 6 3 2 3" xfId="26570" xr:uid="{00000000-0005-0000-0000-000035570000}"/>
    <cellStyle name="Normal 54 6 3 3" xfId="14234" xr:uid="{00000000-0005-0000-0000-000036570000}"/>
    <cellStyle name="Normal 54 6 3 3 2" xfId="30780" xr:uid="{00000000-0005-0000-0000-000037570000}"/>
    <cellStyle name="Normal 54 6 3 4" xfId="22737" xr:uid="{00000000-0005-0000-0000-000038570000}"/>
    <cellStyle name="Normal 54 6 4" xfId="8869" xr:uid="{00000000-0005-0000-0000-000039570000}"/>
    <cellStyle name="Normal 54 6 4 2" xfId="18044" xr:uid="{00000000-0005-0000-0000-00003A570000}"/>
    <cellStyle name="Normal 54 6 4 2 2" xfId="34618" xr:uid="{00000000-0005-0000-0000-00003B570000}"/>
    <cellStyle name="Normal 54 6 4 3" xfId="26571" xr:uid="{00000000-0005-0000-0000-00003C570000}"/>
    <cellStyle name="Normal 54 6 5" xfId="14231" xr:uid="{00000000-0005-0000-0000-00003D570000}"/>
    <cellStyle name="Normal 54 6 5 2" xfId="30777" xr:uid="{00000000-0005-0000-0000-00003E570000}"/>
    <cellStyle name="Normal 54 6 6" xfId="22734" xr:uid="{00000000-0005-0000-0000-00003F570000}"/>
    <cellStyle name="Normal 54 7" xfId="4893" xr:uid="{00000000-0005-0000-0000-000040570000}"/>
    <cellStyle name="Normal 54 7 2" xfId="4894" xr:uid="{00000000-0005-0000-0000-000041570000}"/>
    <cellStyle name="Normal 54 7 2 2" xfId="8870" xr:uid="{00000000-0005-0000-0000-000042570000}"/>
    <cellStyle name="Normal 54 7 2 2 2" xfId="18045" xr:uid="{00000000-0005-0000-0000-000043570000}"/>
    <cellStyle name="Normal 54 7 2 2 2 2" xfId="34619" xr:uid="{00000000-0005-0000-0000-000044570000}"/>
    <cellStyle name="Normal 54 7 2 2 3" xfId="26572" xr:uid="{00000000-0005-0000-0000-000045570000}"/>
    <cellStyle name="Normal 54 7 2 3" xfId="14236" xr:uid="{00000000-0005-0000-0000-000046570000}"/>
    <cellStyle name="Normal 54 7 2 3 2" xfId="30782" xr:uid="{00000000-0005-0000-0000-000047570000}"/>
    <cellStyle name="Normal 54 7 2 4" xfId="22739" xr:uid="{00000000-0005-0000-0000-000048570000}"/>
    <cellStyle name="Normal 54 7 3" xfId="8871" xr:uid="{00000000-0005-0000-0000-000049570000}"/>
    <cellStyle name="Normal 54 7 3 2" xfId="18046" xr:uid="{00000000-0005-0000-0000-00004A570000}"/>
    <cellStyle name="Normal 54 7 3 2 2" xfId="34620" xr:uid="{00000000-0005-0000-0000-00004B570000}"/>
    <cellStyle name="Normal 54 7 3 3" xfId="26573" xr:uid="{00000000-0005-0000-0000-00004C570000}"/>
    <cellStyle name="Normal 54 7 4" xfId="14235" xr:uid="{00000000-0005-0000-0000-00004D570000}"/>
    <cellStyle name="Normal 54 7 4 2" xfId="30781" xr:uid="{00000000-0005-0000-0000-00004E570000}"/>
    <cellStyle name="Normal 54 7 5" xfId="22738" xr:uid="{00000000-0005-0000-0000-00004F570000}"/>
    <cellStyle name="Normal 54 8" xfId="4895" xr:uid="{00000000-0005-0000-0000-000050570000}"/>
    <cellStyle name="Normal 54 8 2" xfId="8872" xr:uid="{00000000-0005-0000-0000-000051570000}"/>
    <cellStyle name="Normal 54 8 2 2" xfId="18047" xr:uid="{00000000-0005-0000-0000-000052570000}"/>
    <cellStyle name="Normal 54 8 2 2 2" xfId="34621" xr:uid="{00000000-0005-0000-0000-000053570000}"/>
    <cellStyle name="Normal 54 8 2 3" xfId="26574" xr:uid="{00000000-0005-0000-0000-000054570000}"/>
    <cellStyle name="Normal 54 8 3" xfId="14237" xr:uid="{00000000-0005-0000-0000-000055570000}"/>
    <cellStyle name="Normal 54 8 3 2" xfId="30783" xr:uid="{00000000-0005-0000-0000-000056570000}"/>
    <cellStyle name="Normal 54 8 4" xfId="22740" xr:uid="{00000000-0005-0000-0000-000057570000}"/>
    <cellStyle name="Normal 54 9" xfId="8873" xr:uid="{00000000-0005-0000-0000-000058570000}"/>
    <cellStyle name="Normal 54 9 2" xfId="18048" xr:uid="{00000000-0005-0000-0000-000059570000}"/>
    <cellStyle name="Normal 54 9 2 2" xfId="34622" xr:uid="{00000000-0005-0000-0000-00005A570000}"/>
    <cellStyle name="Normal 54 9 3" xfId="26575" xr:uid="{00000000-0005-0000-0000-00005B570000}"/>
    <cellStyle name="Normal 55" xfId="4896" xr:uid="{00000000-0005-0000-0000-00005C570000}"/>
    <cellStyle name="Normal 55 10" xfId="14238" xr:uid="{00000000-0005-0000-0000-00005D570000}"/>
    <cellStyle name="Normal 55 10 2" xfId="30784" xr:uid="{00000000-0005-0000-0000-00005E570000}"/>
    <cellStyle name="Normal 55 11" xfId="22741" xr:uid="{00000000-0005-0000-0000-00005F570000}"/>
    <cellStyle name="Normal 55 2" xfId="4897" xr:uid="{00000000-0005-0000-0000-000060570000}"/>
    <cellStyle name="Normal 55 2 2" xfId="4898" xr:uid="{00000000-0005-0000-0000-000061570000}"/>
    <cellStyle name="Normal 55 2 3" xfId="14239" xr:uid="{00000000-0005-0000-0000-000062570000}"/>
    <cellStyle name="Normal 55 2 3 2" xfId="30785" xr:uid="{00000000-0005-0000-0000-000063570000}"/>
    <cellStyle name="Normal 55 2 4" xfId="22742" xr:uid="{00000000-0005-0000-0000-000064570000}"/>
    <cellStyle name="Normal 55 3" xfId="4899" xr:uid="{00000000-0005-0000-0000-000065570000}"/>
    <cellStyle name="Normal 55 3 2" xfId="4900" xr:uid="{00000000-0005-0000-0000-000066570000}"/>
    <cellStyle name="Normal 55 3 2 2" xfId="4901" xr:uid="{00000000-0005-0000-0000-000067570000}"/>
    <cellStyle name="Normal 55 3 2 2 2" xfId="4902" xr:uid="{00000000-0005-0000-0000-000068570000}"/>
    <cellStyle name="Normal 55 3 2 2 2 2" xfId="8874" xr:uid="{00000000-0005-0000-0000-000069570000}"/>
    <cellStyle name="Normal 55 3 2 2 2 2 2" xfId="18049" xr:uid="{00000000-0005-0000-0000-00006A570000}"/>
    <cellStyle name="Normal 55 3 2 2 2 2 2 2" xfId="34623" xr:uid="{00000000-0005-0000-0000-00006B570000}"/>
    <cellStyle name="Normal 55 3 2 2 2 2 3" xfId="26576" xr:uid="{00000000-0005-0000-0000-00006C570000}"/>
    <cellStyle name="Normal 55 3 2 2 2 3" xfId="14242" xr:uid="{00000000-0005-0000-0000-00006D570000}"/>
    <cellStyle name="Normal 55 3 2 2 2 3 2" xfId="30788" xr:uid="{00000000-0005-0000-0000-00006E570000}"/>
    <cellStyle name="Normal 55 3 2 2 2 4" xfId="22745" xr:uid="{00000000-0005-0000-0000-00006F570000}"/>
    <cellStyle name="Normal 55 3 2 2 3" xfId="8875" xr:uid="{00000000-0005-0000-0000-000070570000}"/>
    <cellStyle name="Normal 55 3 2 2 3 2" xfId="18050" xr:uid="{00000000-0005-0000-0000-000071570000}"/>
    <cellStyle name="Normal 55 3 2 2 3 2 2" xfId="34624" xr:uid="{00000000-0005-0000-0000-000072570000}"/>
    <cellStyle name="Normal 55 3 2 2 3 3" xfId="26577" xr:uid="{00000000-0005-0000-0000-000073570000}"/>
    <cellStyle name="Normal 55 3 2 2 4" xfId="14241" xr:uid="{00000000-0005-0000-0000-000074570000}"/>
    <cellStyle name="Normal 55 3 2 2 4 2" xfId="30787" xr:uid="{00000000-0005-0000-0000-000075570000}"/>
    <cellStyle name="Normal 55 3 2 2 5" xfId="22744" xr:uid="{00000000-0005-0000-0000-000076570000}"/>
    <cellStyle name="Normal 55 3 2 3" xfId="4903" xr:uid="{00000000-0005-0000-0000-000077570000}"/>
    <cellStyle name="Normal 55 3 2 3 2" xfId="8876" xr:uid="{00000000-0005-0000-0000-000078570000}"/>
    <cellStyle name="Normal 55 3 2 3 2 2" xfId="18051" xr:uid="{00000000-0005-0000-0000-000079570000}"/>
    <cellStyle name="Normal 55 3 2 3 2 2 2" xfId="34625" xr:uid="{00000000-0005-0000-0000-00007A570000}"/>
    <cellStyle name="Normal 55 3 2 3 2 3" xfId="26578" xr:uid="{00000000-0005-0000-0000-00007B570000}"/>
    <cellStyle name="Normal 55 3 2 3 3" xfId="14243" xr:uid="{00000000-0005-0000-0000-00007C570000}"/>
    <cellStyle name="Normal 55 3 2 3 3 2" xfId="30789" xr:uid="{00000000-0005-0000-0000-00007D570000}"/>
    <cellStyle name="Normal 55 3 2 3 4" xfId="22746" xr:uid="{00000000-0005-0000-0000-00007E570000}"/>
    <cellStyle name="Normal 55 3 2 4" xfId="8877" xr:uid="{00000000-0005-0000-0000-00007F570000}"/>
    <cellStyle name="Normal 55 3 2 4 2" xfId="18052" xr:uid="{00000000-0005-0000-0000-000080570000}"/>
    <cellStyle name="Normal 55 3 2 4 2 2" xfId="34626" xr:uid="{00000000-0005-0000-0000-000081570000}"/>
    <cellStyle name="Normal 55 3 2 4 3" xfId="26579" xr:uid="{00000000-0005-0000-0000-000082570000}"/>
    <cellStyle name="Normal 55 3 2 5" xfId="14240" xr:uid="{00000000-0005-0000-0000-000083570000}"/>
    <cellStyle name="Normal 55 3 2 5 2" xfId="30786" xr:uid="{00000000-0005-0000-0000-000084570000}"/>
    <cellStyle name="Normal 55 3 2 6" xfId="22743" xr:uid="{00000000-0005-0000-0000-000085570000}"/>
    <cellStyle name="Normal 55 3 3" xfId="4904" xr:uid="{00000000-0005-0000-0000-000086570000}"/>
    <cellStyle name="Normal 55 3 3 2" xfId="4905" xr:uid="{00000000-0005-0000-0000-000087570000}"/>
    <cellStyle name="Normal 55 3 3 2 2" xfId="8878" xr:uid="{00000000-0005-0000-0000-000088570000}"/>
    <cellStyle name="Normal 55 3 3 2 2 2" xfId="18053" xr:uid="{00000000-0005-0000-0000-000089570000}"/>
    <cellStyle name="Normal 55 3 3 2 2 2 2" xfId="34627" xr:uid="{00000000-0005-0000-0000-00008A570000}"/>
    <cellStyle name="Normal 55 3 3 2 2 3" xfId="26580" xr:uid="{00000000-0005-0000-0000-00008B570000}"/>
    <cellStyle name="Normal 55 3 3 2 3" xfId="14245" xr:uid="{00000000-0005-0000-0000-00008C570000}"/>
    <cellStyle name="Normal 55 3 3 2 3 2" xfId="30791" xr:uid="{00000000-0005-0000-0000-00008D570000}"/>
    <cellStyle name="Normal 55 3 3 2 4" xfId="22748" xr:uid="{00000000-0005-0000-0000-00008E570000}"/>
    <cellStyle name="Normal 55 3 3 3" xfId="8879" xr:uid="{00000000-0005-0000-0000-00008F570000}"/>
    <cellStyle name="Normal 55 3 3 3 2" xfId="18054" xr:uid="{00000000-0005-0000-0000-000090570000}"/>
    <cellStyle name="Normal 55 3 3 3 2 2" xfId="34628" xr:uid="{00000000-0005-0000-0000-000091570000}"/>
    <cellStyle name="Normal 55 3 3 3 3" xfId="26581" xr:uid="{00000000-0005-0000-0000-000092570000}"/>
    <cellStyle name="Normal 55 3 3 4" xfId="14244" xr:uid="{00000000-0005-0000-0000-000093570000}"/>
    <cellStyle name="Normal 55 3 3 4 2" xfId="30790" xr:uid="{00000000-0005-0000-0000-000094570000}"/>
    <cellStyle name="Normal 55 3 3 5" xfId="22747" xr:uid="{00000000-0005-0000-0000-000095570000}"/>
    <cellStyle name="Normal 55 3 4" xfId="4906" xr:uid="{00000000-0005-0000-0000-000096570000}"/>
    <cellStyle name="Normal 55 3 4 2" xfId="8880" xr:uid="{00000000-0005-0000-0000-000097570000}"/>
    <cellStyle name="Normal 55 3 4 2 2" xfId="18055" xr:uid="{00000000-0005-0000-0000-000098570000}"/>
    <cellStyle name="Normal 55 3 4 2 2 2" xfId="34629" xr:uid="{00000000-0005-0000-0000-000099570000}"/>
    <cellStyle name="Normal 55 3 4 2 3" xfId="26582" xr:uid="{00000000-0005-0000-0000-00009A570000}"/>
    <cellStyle name="Normal 55 3 4 3" xfId="14246" xr:uid="{00000000-0005-0000-0000-00009B570000}"/>
    <cellStyle name="Normal 55 3 4 3 2" xfId="30792" xr:uid="{00000000-0005-0000-0000-00009C570000}"/>
    <cellStyle name="Normal 55 3 4 4" xfId="22749" xr:uid="{00000000-0005-0000-0000-00009D570000}"/>
    <cellStyle name="Normal 55 3 5" xfId="4907" xr:uid="{00000000-0005-0000-0000-00009E570000}"/>
    <cellStyle name="Normal 55 3 5 2" xfId="14247" xr:uid="{00000000-0005-0000-0000-00009F570000}"/>
    <cellStyle name="Normal 55 3 5 2 2" xfId="30793" xr:uid="{00000000-0005-0000-0000-0000A0570000}"/>
    <cellStyle name="Normal 55 3 5 3" xfId="22750" xr:uid="{00000000-0005-0000-0000-0000A1570000}"/>
    <cellStyle name="Normal 55 4" xfId="4908" xr:uid="{00000000-0005-0000-0000-0000A2570000}"/>
    <cellStyle name="Normal 55 4 2" xfId="4909" xr:uid="{00000000-0005-0000-0000-0000A3570000}"/>
    <cellStyle name="Normal 55 4 2 2" xfId="4910" xr:uid="{00000000-0005-0000-0000-0000A4570000}"/>
    <cellStyle name="Normal 55 4 2 2 2" xfId="4911" xr:uid="{00000000-0005-0000-0000-0000A5570000}"/>
    <cellStyle name="Normal 55 4 2 2 2 2" xfId="8881" xr:uid="{00000000-0005-0000-0000-0000A6570000}"/>
    <cellStyle name="Normal 55 4 2 2 2 2 2" xfId="18056" xr:uid="{00000000-0005-0000-0000-0000A7570000}"/>
    <cellStyle name="Normal 55 4 2 2 2 2 2 2" xfId="34630" xr:uid="{00000000-0005-0000-0000-0000A8570000}"/>
    <cellStyle name="Normal 55 4 2 2 2 2 3" xfId="26583" xr:uid="{00000000-0005-0000-0000-0000A9570000}"/>
    <cellStyle name="Normal 55 4 2 2 2 3" xfId="14251" xr:uid="{00000000-0005-0000-0000-0000AA570000}"/>
    <cellStyle name="Normal 55 4 2 2 2 3 2" xfId="30797" xr:uid="{00000000-0005-0000-0000-0000AB570000}"/>
    <cellStyle name="Normal 55 4 2 2 2 4" xfId="22754" xr:uid="{00000000-0005-0000-0000-0000AC570000}"/>
    <cellStyle name="Normal 55 4 2 2 3" xfId="8882" xr:uid="{00000000-0005-0000-0000-0000AD570000}"/>
    <cellStyle name="Normal 55 4 2 2 3 2" xfId="18057" xr:uid="{00000000-0005-0000-0000-0000AE570000}"/>
    <cellStyle name="Normal 55 4 2 2 3 2 2" xfId="34631" xr:uid="{00000000-0005-0000-0000-0000AF570000}"/>
    <cellStyle name="Normal 55 4 2 2 3 3" xfId="26584" xr:uid="{00000000-0005-0000-0000-0000B0570000}"/>
    <cellStyle name="Normal 55 4 2 2 4" xfId="14250" xr:uid="{00000000-0005-0000-0000-0000B1570000}"/>
    <cellStyle name="Normal 55 4 2 2 4 2" xfId="30796" xr:uid="{00000000-0005-0000-0000-0000B2570000}"/>
    <cellStyle name="Normal 55 4 2 2 5" xfId="22753" xr:uid="{00000000-0005-0000-0000-0000B3570000}"/>
    <cellStyle name="Normal 55 4 2 3" xfId="4912" xr:uid="{00000000-0005-0000-0000-0000B4570000}"/>
    <cellStyle name="Normal 55 4 2 3 2" xfId="8883" xr:uid="{00000000-0005-0000-0000-0000B5570000}"/>
    <cellStyle name="Normal 55 4 2 3 2 2" xfId="18058" xr:uid="{00000000-0005-0000-0000-0000B6570000}"/>
    <cellStyle name="Normal 55 4 2 3 2 2 2" xfId="34632" xr:uid="{00000000-0005-0000-0000-0000B7570000}"/>
    <cellStyle name="Normal 55 4 2 3 2 3" xfId="26585" xr:uid="{00000000-0005-0000-0000-0000B8570000}"/>
    <cellStyle name="Normal 55 4 2 3 3" xfId="14252" xr:uid="{00000000-0005-0000-0000-0000B9570000}"/>
    <cellStyle name="Normal 55 4 2 3 3 2" xfId="30798" xr:uid="{00000000-0005-0000-0000-0000BA570000}"/>
    <cellStyle name="Normal 55 4 2 3 4" xfId="22755" xr:uid="{00000000-0005-0000-0000-0000BB570000}"/>
    <cellStyle name="Normal 55 4 2 4" xfId="8884" xr:uid="{00000000-0005-0000-0000-0000BC570000}"/>
    <cellStyle name="Normal 55 4 2 4 2" xfId="18059" xr:uid="{00000000-0005-0000-0000-0000BD570000}"/>
    <cellStyle name="Normal 55 4 2 4 2 2" xfId="34633" xr:uid="{00000000-0005-0000-0000-0000BE570000}"/>
    <cellStyle name="Normal 55 4 2 4 3" xfId="26586" xr:uid="{00000000-0005-0000-0000-0000BF570000}"/>
    <cellStyle name="Normal 55 4 2 5" xfId="14249" xr:uid="{00000000-0005-0000-0000-0000C0570000}"/>
    <cellStyle name="Normal 55 4 2 5 2" xfId="30795" xr:uid="{00000000-0005-0000-0000-0000C1570000}"/>
    <cellStyle name="Normal 55 4 2 6" xfId="22752" xr:uid="{00000000-0005-0000-0000-0000C2570000}"/>
    <cellStyle name="Normal 55 4 3" xfId="4913" xr:uid="{00000000-0005-0000-0000-0000C3570000}"/>
    <cellStyle name="Normal 55 4 3 2" xfId="4914" xr:uid="{00000000-0005-0000-0000-0000C4570000}"/>
    <cellStyle name="Normal 55 4 3 2 2" xfId="8885" xr:uid="{00000000-0005-0000-0000-0000C5570000}"/>
    <cellStyle name="Normal 55 4 3 2 2 2" xfId="18060" xr:uid="{00000000-0005-0000-0000-0000C6570000}"/>
    <cellStyle name="Normal 55 4 3 2 2 2 2" xfId="34634" xr:uid="{00000000-0005-0000-0000-0000C7570000}"/>
    <cellStyle name="Normal 55 4 3 2 2 3" xfId="26587" xr:uid="{00000000-0005-0000-0000-0000C8570000}"/>
    <cellStyle name="Normal 55 4 3 2 3" xfId="14254" xr:uid="{00000000-0005-0000-0000-0000C9570000}"/>
    <cellStyle name="Normal 55 4 3 2 3 2" xfId="30800" xr:uid="{00000000-0005-0000-0000-0000CA570000}"/>
    <cellStyle name="Normal 55 4 3 2 4" xfId="22757" xr:uid="{00000000-0005-0000-0000-0000CB570000}"/>
    <cellStyle name="Normal 55 4 3 3" xfId="8886" xr:uid="{00000000-0005-0000-0000-0000CC570000}"/>
    <cellStyle name="Normal 55 4 3 3 2" xfId="18061" xr:uid="{00000000-0005-0000-0000-0000CD570000}"/>
    <cellStyle name="Normal 55 4 3 3 2 2" xfId="34635" xr:uid="{00000000-0005-0000-0000-0000CE570000}"/>
    <cellStyle name="Normal 55 4 3 3 3" xfId="26588" xr:uid="{00000000-0005-0000-0000-0000CF570000}"/>
    <cellStyle name="Normal 55 4 3 4" xfId="14253" xr:uid="{00000000-0005-0000-0000-0000D0570000}"/>
    <cellStyle name="Normal 55 4 3 4 2" xfId="30799" xr:uid="{00000000-0005-0000-0000-0000D1570000}"/>
    <cellStyle name="Normal 55 4 3 5" xfId="22756" xr:uid="{00000000-0005-0000-0000-0000D2570000}"/>
    <cellStyle name="Normal 55 4 4" xfId="4915" xr:uid="{00000000-0005-0000-0000-0000D3570000}"/>
    <cellStyle name="Normal 55 4 4 2" xfId="8887" xr:uid="{00000000-0005-0000-0000-0000D4570000}"/>
    <cellStyle name="Normal 55 4 4 2 2" xfId="18062" xr:uid="{00000000-0005-0000-0000-0000D5570000}"/>
    <cellStyle name="Normal 55 4 4 2 2 2" xfId="34636" xr:uid="{00000000-0005-0000-0000-0000D6570000}"/>
    <cellStyle name="Normal 55 4 4 2 3" xfId="26589" xr:uid="{00000000-0005-0000-0000-0000D7570000}"/>
    <cellStyle name="Normal 55 4 4 3" xfId="14255" xr:uid="{00000000-0005-0000-0000-0000D8570000}"/>
    <cellStyle name="Normal 55 4 4 3 2" xfId="30801" xr:uid="{00000000-0005-0000-0000-0000D9570000}"/>
    <cellStyle name="Normal 55 4 4 4" xfId="22758" xr:uid="{00000000-0005-0000-0000-0000DA570000}"/>
    <cellStyle name="Normal 55 4 5" xfId="8888" xr:uid="{00000000-0005-0000-0000-0000DB570000}"/>
    <cellStyle name="Normal 55 4 5 2" xfId="18063" xr:uid="{00000000-0005-0000-0000-0000DC570000}"/>
    <cellStyle name="Normal 55 4 5 2 2" xfId="34637" xr:uid="{00000000-0005-0000-0000-0000DD570000}"/>
    <cellStyle name="Normal 55 4 5 3" xfId="26590" xr:uid="{00000000-0005-0000-0000-0000DE570000}"/>
    <cellStyle name="Normal 55 4 6" xfId="14248" xr:uid="{00000000-0005-0000-0000-0000DF570000}"/>
    <cellStyle name="Normal 55 4 6 2" xfId="30794" xr:uid="{00000000-0005-0000-0000-0000E0570000}"/>
    <cellStyle name="Normal 55 4 7" xfId="22751" xr:uid="{00000000-0005-0000-0000-0000E1570000}"/>
    <cellStyle name="Normal 55 5" xfId="4916" xr:uid="{00000000-0005-0000-0000-0000E2570000}"/>
    <cellStyle name="Normal 55 5 2" xfId="4917" xr:uid="{00000000-0005-0000-0000-0000E3570000}"/>
    <cellStyle name="Normal 55 5 2 2" xfId="4918" xr:uid="{00000000-0005-0000-0000-0000E4570000}"/>
    <cellStyle name="Normal 55 5 2 2 2" xfId="4919" xr:uid="{00000000-0005-0000-0000-0000E5570000}"/>
    <cellStyle name="Normal 55 5 2 2 2 2" xfId="8889" xr:uid="{00000000-0005-0000-0000-0000E6570000}"/>
    <cellStyle name="Normal 55 5 2 2 2 2 2" xfId="18064" xr:uid="{00000000-0005-0000-0000-0000E7570000}"/>
    <cellStyle name="Normal 55 5 2 2 2 2 2 2" xfId="34638" xr:uid="{00000000-0005-0000-0000-0000E8570000}"/>
    <cellStyle name="Normal 55 5 2 2 2 2 3" xfId="26591" xr:uid="{00000000-0005-0000-0000-0000E9570000}"/>
    <cellStyle name="Normal 55 5 2 2 2 3" xfId="14259" xr:uid="{00000000-0005-0000-0000-0000EA570000}"/>
    <cellStyle name="Normal 55 5 2 2 2 3 2" xfId="30805" xr:uid="{00000000-0005-0000-0000-0000EB570000}"/>
    <cellStyle name="Normal 55 5 2 2 2 4" xfId="22762" xr:uid="{00000000-0005-0000-0000-0000EC570000}"/>
    <cellStyle name="Normal 55 5 2 2 3" xfId="8890" xr:uid="{00000000-0005-0000-0000-0000ED570000}"/>
    <cellStyle name="Normal 55 5 2 2 3 2" xfId="18065" xr:uid="{00000000-0005-0000-0000-0000EE570000}"/>
    <cellStyle name="Normal 55 5 2 2 3 2 2" xfId="34639" xr:uid="{00000000-0005-0000-0000-0000EF570000}"/>
    <cellStyle name="Normal 55 5 2 2 3 3" xfId="26592" xr:uid="{00000000-0005-0000-0000-0000F0570000}"/>
    <cellStyle name="Normal 55 5 2 2 4" xfId="14258" xr:uid="{00000000-0005-0000-0000-0000F1570000}"/>
    <cellStyle name="Normal 55 5 2 2 4 2" xfId="30804" xr:uid="{00000000-0005-0000-0000-0000F2570000}"/>
    <cellStyle name="Normal 55 5 2 2 5" xfId="22761" xr:uid="{00000000-0005-0000-0000-0000F3570000}"/>
    <cellStyle name="Normal 55 5 2 3" xfId="4920" xr:uid="{00000000-0005-0000-0000-0000F4570000}"/>
    <cellStyle name="Normal 55 5 2 3 2" xfId="8891" xr:uid="{00000000-0005-0000-0000-0000F5570000}"/>
    <cellStyle name="Normal 55 5 2 3 2 2" xfId="18066" xr:uid="{00000000-0005-0000-0000-0000F6570000}"/>
    <cellStyle name="Normal 55 5 2 3 2 2 2" xfId="34640" xr:uid="{00000000-0005-0000-0000-0000F7570000}"/>
    <cellStyle name="Normal 55 5 2 3 2 3" xfId="26593" xr:uid="{00000000-0005-0000-0000-0000F8570000}"/>
    <cellStyle name="Normal 55 5 2 3 3" xfId="14260" xr:uid="{00000000-0005-0000-0000-0000F9570000}"/>
    <cellStyle name="Normal 55 5 2 3 3 2" xfId="30806" xr:uid="{00000000-0005-0000-0000-0000FA570000}"/>
    <cellStyle name="Normal 55 5 2 3 4" xfId="22763" xr:uid="{00000000-0005-0000-0000-0000FB570000}"/>
    <cellStyle name="Normal 55 5 2 4" xfId="8892" xr:uid="{00000000-0005-0000-0000-0000FC570000}"/>
    <cellStyle name="Normal 55 5 2 4 2" xfId="18067" xr:uid="{00000000-0005-0000-0000-0000FD570000}"/>
    <cellStyle name="Normal 55 5 2 4 2 2" xfId="34641" xr:uid="{00000000-0005-0000-0000-0000FE570000}"/>
    <cellStyle name="Normal 55 5 2 4 3" xfId="26594" xr:uid="{00000000-0005-0000-0000-0000FF570000}"/>
    <cellStyle name="Normal 55 5 2 5" xfId="14257" xr:uid="{00000000-0005-0000-0000-000000580000}"/>
    <cellStyle name="Normal 55 5 2 5 2" xfId="30803" xr:uid="{00000000-0005-0000-0000-000001580000}"/>
    <cellStyle name="Normal 55 5 2 6" xfId="22760" xr:uid="{00000000-0005-0000-0000-000002580000}"/>
    <cellStyle name="Normal 55 5 3" xfId="4921" xr:uid="{00000000-0005-0000-0000-000003580000}"/>
    <cellStyle name="Normal 55 5 3 2" xfId="4922" xr:uid="{00000000-0005-0000-0000-000004580000}"/>
    <cellStyle name="Normal 55 5 3 2 2" xfId="8893" xr:uid="{00000000-0005-0000-0000-000005580000}"/>
    <cellStyle name="Normal 55 5 3 2 2 2" xfId="18068" xr:uid="{00000000-0005-0000-0000-000006580000}"/>
    <cellStyle name="Normal 55 5 3 2 2 2 2" xfId="34642" xr:uid="{00000000-0005-0000-0000-000007580000}"/>
    <cellStyle name="Normal 55 5 3 2 2 3" xfId="26595" xr:uid="{00000000-0005-0000-0000-000008580000}"/>
    <cellStyle name="Normal 55 5 3 2 3" xfId="14262" xr:uid="{00000000-0005-0000-0000-000009580000}"/>
    <cellStyle name="Normal 55 5 3 2 3 2" xfId="30808" xr:uid="{00000000-0005-0000-0000-00000A580000}"/>
    <cellStyle name="Normal 55 5 3 2 4" xfId="22765" xr:uid="{00000000-0005-0000-0000-00000B580000}"/>
    <cellStyle name="Normal 55 5 3 3" xfId="8894" xr:uid="{00000000-0005-0000-0000-00000C580000}"/>
    <cellStyle name="Normal 55 5 3 3 2" xfId="18069" xr:uid="{00000000-0005-0000-0000-00000D580000}"/>
    <cellStyle name="Normal 55 5 3 3 2 2" xfId="34643" xr:uid="{00000000-0005-0000-0000-00000E580000}"/>
    <cellStyle name="Normal 55 5 3 3 3" xfId="26596" xr:uid="{00000000-0005-0000-0000-00000F580000}"/>
    <cellStyle name="Normal 55 5 3 4" xfId="14261" xr:uid="{00000000-0005-0000-0000-000010580000}"/>
    <cellStyle name="Normal 55 5 3 4 2" xfId="30807" xr:uid="{00000000-0005-0000-0000-000011580000}"/>
    <cellStyle name="Normal 55 5 3 5" xfId="22764" xr:uid="{00000000-0005-0000-0000-000012580000}"/>
    <cellStyle name="Normal 55 5 4" xfId="4923" xr:uid="{00000000-0005-0000-0000-000013580000}"/>
    <cellStyle name="Normal 55 5 4 2" xfId="8895" xr:uid="{00000000-0005-0000-0000-000014580000}"/>
    <cellStyle name="Normal 55 5 4 2 2" xfId="18070" xr:uid="{00000000-0005-0000-0000-000015580000}"/>
    <cellStyle name="Normal 55 5 4 2 2 2" xfId="34644" xr:uid="{00000000-0005-0000-0000-000016580000}"/>
    <cellStyle name="Normal 55 5 4 2 3" xfId="26597" xr:uid="{00000000-0005-0000-0000-000017580000}"/>
    <cellStyle name="Normal 55 5 4 3" xfId="14263" xr:uid="{00000000-0005-0000-0000-000018580000}"/>
    <cellStyle name="Normal 55 5 4 3 2" xfId="30809" xr:uid="{00000000-0005-0000-0000-000019580000}"/>
    <cellStyle name="Normal 55 5 4 4" xfId="22766" xr:uid="{00000000-0005-0000-0000-00001A580000}"/>
    <cellStyle name="Normal 55 5 5" xfId="8896" xr:uid="{00000000-0005-0000-0000-00001B580000}"/>
    <cellStyle name="Normal 55 5 5 2" xfId="18071" xr:uid="{00000000-0005-0000-0000-00001C580000}"/>
    <cellStyle name="Normal 55 5 5 2 2" xfId="34645" xr:uid="{00000000-0005-0000-0000-00001D580000}"/>
    <cellStyle name="Normal 55 5 5 3" xfId="26598" xr:uid="{00000000-0005-0000-0000-00001E580000}"/>
    <cellStyle name="Normal 55 5 6" xfId="14256" xr:uid="{00000000-0005-0000-0000-00001F580000}"/>
    <cellStyle name="Normal 55 5 6 2" xfId="30802" xr:uid="{00000000-0005-0000-0000-000020580000}"/>
    <cellStyle name="Normal 55 5 7" xfId="22759" xr:uid="{00000000-0005-0000-0000-000021580000}"/>
    <cellStyle name="Normal 55 6" xfId="4924" xr:uid="{00000000-0005-0000-0000-000022580000}"/>
    <cellStyle name="Normal 55 6 2" xfId="4925" xr:uid="{00000000-0005-0000-0000-000023580000}"/>
    <cellStyle name="Normal 55 6 2 2" xfId="4926" xr:uid="{00000000-0005-0000-0000-000024580000}"/>
    <cellStyle name="Normal 55 6 2 2 2" xfId="8897" xr:uid="{00000000-0005-0000-0000-000025580000}"/>
    <cellStyle name="Normal 55 6 2 2 2 2" xfId="18072" xr:uid="{00000000-0005-0000-0000-000026580000}"/>
    <cellStyle name="Normal 55 6 2 2 2 2 2" xfId="34646" xr:uid="{00000000-0005-0000-0000-000027580000}"/>
    <cellStyle name="Normal 55 6 2 2 2 3" xfId="26599" xr:uid="{00000000-0005-0000-0000-000028580000}"/>
    <cellStyle name="Normal 55 6 2 2 3" xfId="14266" xr:uid="{00000000-0005-0000-0000-000029580000}"/>
    <cellStyle name="Normal 55 6 2 2 3 2" xfId="30812" xr:uid="{00000000-0005-0000-0000-00002A580000}"/>
    <cellStyle name="Normal 55 6 2 2 4" xfId="22769" xr:uid="{00000000-0005-0000-0000-00002B580000}"/>
    <cellStyle name="Normal 55 6 2 3" xfId="8898" xr:uid="{00000000-0005-0000-0000-00002C580000}"/>
    <cellStyle name="Normal 55 6 2 3 2" xfId="18073" xr:uid="{00000000-0005-0000-0000-00002D580000}"/>
    <cellStyle name="Normal 55 6 2 3 2 2" xfId="34647" xr:uid="{00000000-0005-0000-0000-00002E580000}"/>
    <cellStyle name="Normal 55 6 2 3 3" xfId="26600" xr:uid="{00000000-0005-0000-0000-00002F580000}"/>
    <cellStyle name="Normal 55 6 2 4" xfId="14265" xr:uid="{00000000-0005-0000-0000-000030580000}"/>
    <cellStyle name="Normal 55 6 2 4 2" xfId="30811" xr:uid="{00000000-0005-0000-0000-000031580000}"/>
    <cellStyle name="Normal 55 6 2 5" xfId="22768" xr:uid="{00000000-0005-0000-0000-000032580000}"/>
    <cellStyle name="Normal 55 6 3" xfId="4927" xr:uid="{00000000-0005-0000-0000-000033580000}"/>
    <cellStyle name="Normal 55 6 3 2" xfId="8899" xr:uid="{00000000-0005-0000-0000-000034580000}"/>
    <cellStyle name="Normal 55 6 3 2 2" xfId="18074" xr:uid="{00000000-0005-0000-0000-000035580000}"/>
    <cellStyle name="Normal 55 6 3 2 2 2" xfId="34648" xr:uid="{00000000-0005-0000-0000-000036580000}"/>
    <cellStyle name="Normal 55 6 3 2 3" xfId="26601" xr:uid="{00000000-0005-0000-0000-000037580000}"/>
    <cellStyle name="Normal 55 6 3 3" xfId="14267" xr:uid="{00000000-0005-0000-0000-000038580000}"/>
    <cellStyle name="Normal 55 6 3 3 2" xfId="30813" xr:uid="{00000000-0005-0000-0000-000039580000}"/>
    <cellStyle name="Normal 55 6 3 4" xfId="22770" xr:uid="{00000000-0005-0000-0000-00003A580000}"/>
    <cellStyle name="Normal 55 6 4" xfId="8900" xr:uid="{00000000-0005-0000-0000-00003B580000}"/>
    <cellStyle name="Normal 55 6 4 2" xfId="18075" xr:uid="{00000000-0005-0000-0000-00003C580000}"/>
    <cellStyle name="Normal 55 6 4 2 2" xfId="34649" xr:uid="{00000000-0005-0000-0000-00003D580000}"/>
    <cellStyle name="Normal 55 6 4 3" xfId="26602" xr:uid="{00000000-0005-0000-0000-00003E580000}"/>
    <cellStyle name="Normal 55 6 5" xfId="14264" xr:uid="{00000000-0005-0000-0000-00003F580000}"/>
    <cellStyle name="Normal 55 6 5 2" xfId="30810" xr:uid="{00000000-0005-0000-0000-000040580000}"/>
    <cellStyle name="Normal 55 6 6" xfId="22767" xr:uid="{00000000-0005-0000-0000-000041580000}"/>
    <cellStyle name="Normal 55 7" xfId="4928" xr:uid="{00000000-0005-0000-0000-000042580000}"/>
    <cellStyle name="Normal 55 7 2" xfId="4929" xr:uid="{00000000-0005-0000-0000-000043580000}"/>
    <cellStyle name="Normal 55 7 2 2" xfId="8901" xr:uid="{00000000-0005-0000-0000-000044580000}"/>
    <cellStyle name="Normal 55 7 2 2 2" xfId="18076" xr:uid="{00000000-0005-0000-0000-000045580000}"/>
    <cellStyle name="Normal 55 7 2 2 2 2" xfId="34650" xr:uid="{00000000-0005-0000-0000-000046580000}"/>
    <cellStyle name="Normal 55 7 2 2 3" xfId="26603" xr:uid="{00000000-0005-0000-0000-000047580000}"/>
    <cellStyle name="Normal 55 7 2 3" xfId="14269" xr:uid="{00000000-0005-0000-0000-000048580000}"/>
    <cellStyle name="Normal 55 7 2 3 2" xfId="30815" xr:uid="{00000000-0005-0000-0000-000049580000}"/>
    <cellStyle name="Normal 55 7 2 4" xfId="22772" xr:uid="{00000000-0005-0000-0000-00004A580000}"/>
    <cellStyle name="Normal 55 7 3" xfId="8902" xr:uid="{00000000-0005-0000-0000-00004B580000}"/>
    <cellStyle name="Normal 55 7 3 2" xfId="18077" xr:uid="{00000000-0005-0000-0000-00004C580000}"/>
    <cellStyle name="Normal 55 7 3 2 2" xfId="34651" xr:uid="{00000000-0005-0000-0000-00004D580000}"/>
    <cellStyle name="Normal 55 7 3 3" xfId="26604" xr:uid="{00000000-0005-0000-0000-00004E580000}"/>
    <cellStyle name="Normal 55 7 4" xfId="14268" xr:uid="{00000000-0005-0000-0000-00004F580000}"/>
    <cellStyle name="Normal 55 7 4 2" xfId="30814" xr:uid="{00000000-0005-0000-0000-000050580000}"/>
    <cellStyle name="Normal 55 7 5" xfId="22771" xr:uid="{00000000-0005-0000-0000-000051580000}"/>
    <cellStyle name="Normal 55 8" xfId="4930" xr:uid="{00000000-0005-0000-0000-000052580000}"/>
    <cellStyle name="Normal 55 8 2" xfId="8903" xr:uid="{00000000-0005-0000-0000-000053580000}"/>
    <cellStyle name="Normal 55 8 2 2" xfId="18078" xr:uid="{00000000-0005-0000-0000-000054580000}"/>
    <cellStyle name="Normal 55 8 2 2 2" xfId="34652" xr:uid="{00000000-0005-0000-0000-000055580000}"/>
    <cellStyle name="Normal 55 8 2 3" xfId="26605" xr:uid="{00000000-0005-0000-0000-000056580000}"/>
    <cellStyle name="Normal 55 8 3" xfId="14270" xr:uid="{00000000-0005-0000-0000-000057580000}"/>
    <cellStyle name="Normal 55 8 3 2" xfId="30816" xr:uid="{00000000-0005-0000-0000-000058580000}"/>
    <cellStyle name="Normal 55 8 4" xfId="22773" xr:uid="{00000000-0005-0000-0000-000059580000}"/>
    <cellStyle name="Normal 55 9" xfId="8904" xr:uid="{00000000-0005-0000-0000-00005A580000}"/>
    <cellStyle name="Normal 55 9 2" xfId="18079" xr:uid="{00000000-0005-0000-0000-00005B580000}"/>
    <cellStyle name="Normal 55 9 2 2" xfId="34653" xr:uid="{00000000-0005-0000-0000-00005C580000}"/>
    <cellStyle name="Normal 55 9 3" xfId="26606" xr:uid="{00000000-0005-0000-0000-00005D580000}"/>
    <cellStyle name="Normal 56" xfId="4931" xr:uid="{00000000-0005-0000-0000-00005E580000}"/>
    <cellStyle name="Normal 56 10" xfId="14271" xr:uid="{00000000-0005-0000-0000-00005F580000}"/>
    <cellStyle name="Normal 56 10 2" xfId="30817" xr:uid="{00000000-0005-0000-0000-000060580000}"/>
    <cellStyle name="Normal 56 11" xfId="22774" xr:uid="{00000000-0005-0000-0000-000061580000}"/>
    <cellStyle name="Normal 56 2" xfId="4932" xr:uid="{00000000-0005-0000-0000-000062580000}"/>
    <cellStyle name="Normal 56 2 2" xfId="4933" xr:uid="{00000000-0005-0000-0000-000063580000}"/>
    <cellStyle name="Normal 56 2 3" xfId="14272" xr:uid="{00000000-0005-0000-0000-000064580000}"/>
    <cellStyle name="Normal 56 2 3 2" xfId="30818" xr:uid="{00000000-0005-0000-0000-000065580000}"/>
    <cellStyle name="Normal 56 2 4" xfId="22775" xr:uid="{00000000-0005-0000-0000-000066580000}"/>
    <cellStyle name="Normal 56 3" xfId="4934" xr:uid="{00000000-0005-0000-0000-000067580000}"/>
    <cellStyle name="Normal 56 3 2" xfId="4935" xr:uid="{00000000-0005-0000-0000-000068580000}"/>
    <cellStyle name="Normal 56 3 2 2" xfId="4936" xr:uid="{00000000-0005-0000-0000-000069580000}"/>
    <cellStyle name="Normal 56 3 2 2 2" xfId="4937" xr:uid="{00000000-0005-0000-0000-00006A580000}"/>
    <cellStyle name="Normal 56 3 2 2 2 2" xfId="8905" xr:uid="{00000000-0005-0000-0000-00006B580000}"/>
    <cellStyle name="Normal 56 3 2 2 2 2 2" xfId="18080" xr:uid="{00000000-0005-0000-0000-00006C580000}"/>
    <cellStyle name="Normal 56 3 2 2 2 2 2 2" xfId="34654" xr:uid="{00000000-0005-0000-0000-00006D580000}"/>
    <cellStyle name="Normal 56 3 2 2 2 2 3" xfId="26607" xr:uid="{00000000-0005-0000-0000-00006E580000}"/>
    <cellStyle name="Normal 56 3 2 2 2 3" xfId="14275" xr:uid="{00000000-0005-0000-0000-00006F580000}"/>
    <cellStyle name="Normal 56 3 2 2 2 3 2" xfId="30821" xr:uid="{00000000-0005-0000-0000-000070580000}"/>
    <cellStyle name="Normal 56 3 2 2 2 4" xfId="22778" xr:uid="{00000000-0005-0000-0000-000071580000}"/>
    <cellStyle name="Normal 56 3 2 2 3" xfId="8906" xr:uid="{00000000-0005-0000-0000-000072580000}"/>
    <cellStyle name="Normal 56 3 2 2 3 2" xfId="18081" xr:uid="{00000000-0005-0000-0000-000073580000}"/>
    <cellStyle name="Normal 56 3 2 2 3 2 2" xfId="34655" xr:uid="{00000000-0005-0000-0000-000074580000}"/>
    <cellStyle name="Normal 56 3 2 2 3 3" xfId="26608" xr:uid="{00000000-0005-0000-0000-000075580000}"/>
    <cellStyle name="Normal 56 3 2 2 4" xfId="14274" xr:uid="{00000000-0005-0000-0000-000076580000}"/>
    <cellStyle name="Normal 56 3 2 2 4 2" xfId="30820" xr:uid="{00000000-0005-0000-0000-000077580000}"/>
    <cellStyle name="Normal 56 3 2 2 5" xfId="22777" xr:uid="{00000000-0005-0000-0000-000078580000}"/>
    <cellStyle name="Normal 56 3 2 3" xfId="4938" xr:uid="{00000000-0005-0000-0000-000079580000}"/>
    <cellStyle name="Normal 56 3 2 3 2" xfId="8907" xr:uid="{00000000-0005-0000-0000-00007A580000}"/>
    <cellStyle name="Normal 56 3 2 3 2 2" xfId="18082" xr:uid="{00000000-0005-0000-0000-00007B580000}"/>
    <cellStyle name="Normal 56 3 2 3 2 2 2" xfId="34656" xr:uid="{00000000-0005-0000-0000-00007C580000}"/>
    <cellStyle name="Normal 56 3 2 3 2 3" xfId="26609" xr:uid="{00000000-0005-0000-0000-00007D580000}"/>
    <cellStyle name="Normal 56 3 2 3 3" xfId="14276" xr:uid="{00000000-0005-0000-0000-00007E580000}"/>
    <cellStyle name="Normal 56 3 2 3 3 2" xfId="30822" xr:uid="{00000000-0005-0000-0000-00007F580000}"/>
    <cellStyle name="Normal 56 3 2 3 4" xfId="22779" xr:uid="{00000000-0005-0000-0000-000080580000}"/>
    <cellStyle name="Normal 56 3 2 4" xfId="8908" xr:uid="{00000000-0005-0000-0000-000081580000}"/>
    <cellStyle name="Normal 56 3 2 4 2" xfId="18083" xr:uid="{00000000-0005-0000-0000-000082580000}"/>
    <cellStyle name="Normal 56 3 2 4 2 2" xfId="34657" xr:uid="{00000000-0005-0000-0000-000083580000}"/>
    <cellStyle name="Normal 56 3 2 4 3" xfId="26610" xr:uid="{00000000-0005-0000-0000-000084580000}"/>
    <cellStyle name="Normal 56 3 2 5" xfId="14273" xr:uid="{00000000-0005-0000-0000-000085580000}"/>
    <cellStyle name="Normal 56 3 2 5 2" xfId="30819" xr:uid="{00000000-0005-0000-0000-000086580000}"/>
    <cellStyle name="Normal 56 3 2 6" xfId="22776" xr:uid="{00000000-0005-0000-0000-000087580000}"/>
    <cellStyle name="Normal 56 3 3" xfId="4939" xr:uid="{00000000-0005-0000-0000-000088580000}"/>
    <cellStyle name="Normal 56 3 3 2" xfId="4940" xr:uid="{00000000-0005-0000-0000-000089580000}"/>
    <cellStyle name="Normal 56 3 3 2 2" xfId="8909" xr:uid="{00000000-0005-0000-0000-00008A580000}"/>
    <cellStyle name="Normal 56 3 3 2 2 2" xfId="18084" xr:uid="{00000000-0005-0000-0000-00008B580000}"/>
    <cellStyle name="Normal 56 3 3 2 2 2 2" xfId="34658" xr:uid="{00000000-0005-0000-0000-00008C580000}"/>
    <cellStyle name="Normal 56 3 3 2 2 3" xfId="26611" xr:uid="{00000000-0005-0000-0000-00008D580000}"/>
    <cellStyle name="Normal 56 3 3 2 3" xfId="14278" xr:uid="{00000000-0005-0000-0000-00008E580000}"/>
    <cellStyle name="Normal 56 3 3 2 3 2" xfId="30824" xr:uid="{00000000-0005-0000-0000-00008F580000}"/>
    <cellStyle name="Normal 56 3 3 2 4" xfId="22781" xr:uid="{00000000-0005-0000-0000-000090580000}"/>
    <cellStyle name="Normal 56 3 3 3" xfId="8910" xr:uid="{00000000-0005-0000-0000-000091580000}"/>
    <cellStyle name="Normal 56 3 3 3 2" xfId="18085" xr:uid="{00000000-0005-0000-0000-000092580000}"/>
    <cellStyle name="Normal 56 3 3 3 2 2" xfId="34659" xr:uid="{00000000-0005-0000-0000-000093580000}"/>
    <cellStyle name="Normal 56 3 3 3 3" xfId="26612" xr:uid="{00000000-0005-0000-0000-000094580000}"/>
    <cellStyle name="Normal 56 3 3 4" xfId="14277" xr:uid="{00000000-0005-0000-0000-000095580000}"/>
    <cellStyle name="Normal 56 3 3 4 2" xfId="30823" xr:uid="{00000000-0005-0000-0000-000096580000}"/>
    <cellStyle name="Normal 56 3 3 5" xfId="22780" xr:uid="{00000000-0005-0000-0000-000097580000}"/>
    <cellStyle name="Normal 56 3 4" xfId="4941" xr:uid="{00000000-0005-0000-0000-000098580000}"/>
    <cellStyle name="Normal 56 3 4 2" xfId="8911" xr:uid="{00000000-0005-0000-0000-000099580000}"/>
    <cellStyle name="Normal 56 3 4 2 2" xfId="18086" xr:uid="{00000000-0005-0000-0000-00009A580000}"/>
    <cellStyle name="Normal 56 3 4 2 2 2" xfId="34660" xr:uid="{00000000-0005-0000-0000-00009B580000}"/>
    <cellStyle name="Normal 56 3 4 2 3" xfId="26613" xr:uid="{00000000-0005-0000-0000-00009C580000}"/>
    <cellStyle name="Normal 56 3 4 3" xfId="14279" xr:uid="{00000000-0005-0000-0000-00009D580000}"/>
    <cellStyle name="Normal 56 3 4 3 2" xfId="30825" xr:uid="{00000000-0005-0000-0000-00009E580000}"/>
    <cellStyle name="Normal 56 3 4 4" xfId="22782" xr:uid="{00000000-0005-0000-0000-00009F580000}"/>
    <cellStyle name="Normal 56 3 5" xfId="4942" xr:uid="{00000000-0005-0000-0000-0000A0580000}"/>
    <cellStyle name="Normal 56 3 5 2" xfId="14280" xr:uid="{00000000-0005-0000-0000-0000A1580000}"/>
    <cellStyle name="Normal 56 3 5 2 2" xfId="30826" xr:uid="{00000000-0005-0000-0000-0000A2580000}"/>
    <cellStyle name="Normal 56 3 5 3" xfId="22783" xr:uid="{00000000-0005-0000-0000-0000A3580000}"/>
    <cellStyle name="Normal 56 4" xfId="4943" xr:uid="{00000000-0005-0000-0000-0000A4580000}"/>
    <cellStyle name="Normal 56 4 2" xfId="4944" xr:uid="{00000000-0005-0000-0000-0000A5580000}"/>
    <cellStyle name="Normal 56 4 2 2" xfId="4945" xr:uid="{00000000-0005-0000-0000-0000A6580000}"/>
    <cellStyle name="Normal 56 4 2 2 2" xfId="4946" xr:uid="{00000000-0005-0000-0000-0000A7580000}"/>
    <cellStyle name="Normal 56 4 2 2 2 2" xfId="8912" xr:uid="{00000000-0005-0000-0000-0000A8580000}"/>
    <cellStyle name="Normal 56 4 2 2 2 2 2" xfId="18087" xr:uid="{00000000-0005-0000-0000-0000A9580000}"/>
    <cellStyle name="Normal 56 4 2 2 2 2 2 2" xfId="34661" xr:uid="{00000000-0005-0000-0000-0000AA580000}"/>
    <cellStyle name="Normal 56 4 2 2 2 2 3" xfId="26614" xr:uid="{00000000-0005-0000-0000-0000AB580000}"/>
    <cellStyle name="Normal 56 4 2 2 2 3" xfId="14284" xr:uid="{00000000-0005-0000-0000-0000AC580000}"/>
    <cellStyle name="Normal 56 4 2 2 2 3 2" xfId="30830" xr:uid="{00000000-0005-0000-0000-0000AD580000}"/>
    <cellStyle name="Normal 56 4 2 2 2 4" xfId="22787" xr:uid="{00000000-0005-0000-0000-0000AE580000}"/>
    <cellStyle name="Normal 56 4 2 2 3" xfId="8913" xr:uid="{00000000-0005-0000-0000-0000AF580000}"/>
    <cellStyle name="Normal 56 4 2 2 3 2" xfId="18088" xr:uid="{00000000-0005-0000-0000-0000B0580000}"/>
    <cellStyle name="Normal 56 4 2 2 3 2 2" xfId="34662" xr:uid="{00000000-0005-0000-0000-0000B1580000}"/>
    <cellStyle name="Normal 56 4 2 2 3 3" xfId="26615" xr:uid="{00000000-0005-0000-0000-0000B2580000}"/>
    <cellStyle name="Normal 56 4 2 2 4" xfId="14283" xr:uid="{00000000-0005-0000-0000-0000B3580000}"/>
    <cellStyle name="Normal 56 4 2 2 4 2" xfId="30829" xr:uid="{00000000-0005-0000-0000-0000B4580000}"/>
    <cellStyle name="Normal 56 4 2 2 5" xfId="22786" xr:uid="{00000000-0005-0000-0000-0000B5580000}"/>
    <cellStyle name="Normal 56 4 2 3" xfId="4947" xr:uid="{00000000-0005-0000-0000-0000B6580000}"/>
    <cellStyle name="Normal 56 4 2 3 2" xfId="8914" xr:uid="{00000000-0005-0000-0000-0000B7580000}"/>
    <cellStyle name="Normal 56 4 2 3 2 2" xfId="18089" xr:uid="{00000000-0005-0000-0000-0000B8580000}"/>
    <cellStyle name="Normal 56 4 2 3 2 2 2" xfId="34663" xr:uid="{00000000-0005-0000-0000-0000B9580000}"/>
    <cellStyle name="Normal 56 4 2 3 2 3" xfId="26616" xr:uid="{00000000-0005-0000-0000-0000BA580000}"/>
    <cellStyle name="Normal 56 4 2 3 3" xfId="14285" xr:uid="{00000000-0005-0000-0000-0000BB580000}"/>
    <cellStyle name="Normal 56 4 2 3 3 2" xfId="30831" xr:uid="{00000000-0005-0000-0000-0000BC580000}"/>
    <cellStyle name="Normal 56 4 2 3 4" xfId="22788" xr:uid="{00000000-0005-0000-0000-0000BD580000}"/>
    <cellStyle name="Normal 56 4 2 4" xfId="8915" xr:uid="{00000000-0005-0000-0000-0000BE580000}"/>
    <cellStyle name="Normal 56 4 2 4 2" xfId="18090" xr:uid="{00000000-0005-0000-0000-0000BF580000}"/>
    <cellStyle name="Normal 56 4 2 4 2 2" xfId="34664" xr:uid="{00000000-0005-0000-0000-0000C0580000}"/>
    <cellStyle name="Normal 56 4 2 4 3" xfId="26617" xr:uid="{00000000-0005-0000-0000-0000C1580000}"/>
    <cellStyle name="Normal 56 4 2 5" xfId="14282" xr:uid="{00000000-0005-0000-0000-0000C2580000}"/>
    <cellStyle name="Normal 56 4 2 5 2" xfId="30828" xr:uid="{00000000-0005-0000-0000-0000C3580000}"/>
    <cellStyle name="Normal 56 4 2 6" xfId="22785" xr:uid="{00000000-0005-0000-0000-0000C4580000}"/>
    <cellStyle name="Normal 56 4 3" xfId="4948" xr:uid="{00000000-0005-0000-0000-0000C5580000}"/>
    <cellStyle name="Normal 56 4 3 2" xfId="4949" xr:uid="{00000000-0005-0000-0000-0000C6580000}"/>
    <cellStyle name="Normal 56 4 3 2 2" xfId="8916" xr:uid="{00000000-0005-0000-0000-0000C7580000}"/>
    <cellStyle name="Normal 56 4 3 2 2 2" xfId="18091" xr:uid="{00000000-0005-0000-0000-0000C8580000}"/>
    <cellStyle name="Normal 56 4 3 2 2 2 2" xfId="34665" xr:uid="{00000000-0005-0000-0000-0000C9580000}"/>
    <cellStyle name="Normal 56 4 3 2 2 3" xfId="26618" xr:uid="{00000000-0005-0000-0000-0000CA580000}"/>
    <cellStyle name="Normal 56 4 3 2 3" xfId="14287" xr:uid="{00000000-0005-0000-0000-0000CB580000}"/>
    <cellStyle name="Normal 56 4 3 2 3 2" xfId="30833" xr:uid="{00000000-0005-0000-0000-0000CC580000}"/>
    <cellStyle name="Normal 56 4 3 2 4" xfId="22790" xr:uid="{00000000-0005-0000-0000-0000CD580000}"/>
    <cellStyle name="Normal 56 4 3 3" xfId="8917" xr:uid="{00000000-0005-0000-0000-0000CE580000}"/>
    <cellStyle name="Normal 56 4 3 3 2" xfId="18092" xr:uid="{00000000-0005-0000-0000-0000CF580000}"/>
    <cellStyle name="Normal 56 4 3 3 2 2" xfId="34666" xr:uid="{00000000-0005-0000-0000-0000D0580000}"/>
    <cellStyle name="Normal 56 4 3 3 3" xfId="26619" xr:uid="{00000000-0005-0000-0000-0000D1580000}"/>
    <cellStyle name="Normal 56 4 3 4" xfId="14286" xr:uid="{00000000-0005-0000-0000-0000D2580000}"/>
    <cellStyle name="Normal 56 4 3 4 2" xfId="30832" xr:uid="{00000000-0005-0000-0000-0000D3580000}"/>
    <cellStyle name="Normal 56 4 3 5" xfId="22789" xr:uid="{00000000-0005-0000-0000-0000D4580000}"/>
    <cellStyle name="Normal 56 4 4" xfId="4950" xr:uid="{00000000-0005-0000-0000-0000D5580000}"/>
    <cellStyle name="Normal 56 4 4 2" xfId="8918" xr:uid="{00000000-0005-0000-0000-0000D6580000}"/>
    <cellStyle name="Normal 56 4 4 2 2" xfId="18093" xr:uid="{00000000-0005-0000-0000-0000D7580000}"/>
    <cellStyle name="Normal 56 4 4 2 2 2" xfId="34667" xr:uid="{00000000-0005-0000-0000-0000D8580000}"/>
    <cellStyle name="Normal 56 4 4 2 3" xfId="26620" xr:uid="{00000000-0005-0000-0000-0000D9580000}"/>
    <cellStyle name="Normal 56 4 4 3" xfId="14288" xr:uid="{00000000-0005-0000-0000-0000DA580000}"/>
    <cellStyle name="Normal 56 4 4 3 2" xfId="30834" xr:uid="{00000000-0005-0000-0000-0000DB580000}"/>
    <cellStyle name="Normal 56 4 4 4" xfId="22791" xr:uid="{00000000-0005-0000-0000-0000DC580000}"/>
    <cellStyle name="Normal 56 4 5" xfId="8919" xr:uid="{00000000-0005-0000-0000-0000DD580000}"/>
    <cellStyle name="Normal 56 4 5 2" xfId="18094" xr:uid="{00000000-0005-0000-0000-0000DE580000}"/>
    <cellStyle name="Normal 56 4 5 2 2" xfId="34668" xr:uid="{00000000-0005-0000-0000-0000DF580000}"/>
    <cellStyle name="Normal 56 4 5 3" xfId="26621" xr:uid="{00000000-0005-0000-0000-0000E0580000}"/>
    <cellStyle name="Normal 56 4 6" xfId="14281" xr:uid="{00000000-0005-0000-0000-0000E1580000}"/>
    <cellStyle name="Normal 56 4 6 2" xfId="30827" xr:uid="{00000000-0005-0000-0000-0000E2580000}"/>
    <cellStyle name="Normal 56 4 7" xfId="22784" xr:uid="{00000000-0005-0000-0000-0000E3580000}"/>
    <cellStyle name="Normal 56 5" xfId="4951" xr:uid="{00000000-0005-0000-0000-0000E4580000}"/>
    <cellStyle name="Normal 56 5 2" xfId="4952" xr:uid="{00000000-0005-0000-0000-0000E5580000}"/>
    <cellStyle name="Normal 56 5 2 2" xfId="4953" xr:uid="{00000000-0005-0000-0000-0000E6580000}"/>
    <cellStyle name="Normal 56 5 2 2 2" xfId="4954" xr:uid="{00000000-0005-0000-0000-0000E7580000}"/>
    <cellStyle name="Normal 56 5 2 2 2 2" xfId="8920" xr:uid="{00000000-0005-0000-0000-0000E8580000}"/>
    <cellStyle name="Normal 56 5 2 2 2 2 2" xfId="18095" xr:uid="{00000000-0005-0000-0000-0000E9580000}"/>
    <cellStyle name="Normal 56 5 2 2 2 2 2 2" xfId="34669" xr:uid="{00000000-0005-0000-0000-0000EA580000}"/>
    <cellStyle name="Normal 56 5 2 2 2 2 3" xfId="26622" xr:uid="{00000000-0005-0000-0000-0000EB580000}"/>
    <cellStyle name="Normal 56 5 2 2 2 3" xfId="14292" xr:uid="{00000000-0005-0000-0000-0000EC580000}"/>
    <cellStyle name="Normal 56 5 2 2 2 3 2" xfId="30838" xr:uid="{00000000-0005-0000-0000-0000ED580000}"/>
    <cellStyle name="Normal 56 5 2 2 2 4" xfId="22795" xr:uid="{00000000-0005-0000-0000-0000EE580000}"/>
    <cellStyle name="Normal 56 5 2 2 3" xfId="8921" xr:uid="{00000000-0005-0000-0000-0000EF580000}"/>
    <cellStyle name="Normal 56 5 2 2 3 2" xfId="18096" xr:uid="{00000000-0005-0000-0000-0000F0580000}"/>
    <cellStyle name="Normal 56 5 2 2 3 2 2" xfId="34670" xr:uid="{00000000-0005-0000-0000-0000F1580000}"/>
    <cellStyle name="Normal 56 5 2 2 3 3" xfId="26623" xr:uid="{00000000-0005-0000-0000-0000F2580000}"/>
    <cellStyle name="Normal 56 5 2 2 4" xfId="14291" xr:uid="{00000000-0005-0000-0000-0000F3580000}"/>
    <cellStyle name="Normal 56 5 2 2 4 2" xfId="30837" xr:uid="{00000000-0005-0000-0000-0000F4580000}"/>
    <cellStyle name="Normal 56 5 2 2 5" xfId="22794" xr:uid="{00000000-0005-0000-0000-0000F5580000}"/>
    <cellStyle name="Normal 56 5 2 3" xfId="4955" xr:uid="{00000000-0005-0000-0000-0000F6580000}"/>
    <cellStyle name="Normal 56 5 2 3 2" xfId="8922" xr:uid="{00000000-0005-0000-0000-0000F7580000}"/>
    <cellStyle name="Normal 56 5 2 3 2 2" xfId="18097" xr:uid="{00000000-0005-0000-0000-0000F8580000}"/>
    <cellStyle name="Normal 56 5 2 3 2 2 2" xfId="34671" xr:uid="{00000000-0005-0000-0000-0000F9580000}"/>
    <cellStyle name="Normal 56 5 2 3 2 3" xfId="26624" xr:uid="{00000000-0005-0000-0000-0000FA580000}"/>
    <cellStyle name="Normal 56 5 2 3 3" xfId="14293" xr:uid="{00000000-0005-0000-0000-0000FB580000}"/>
    <cellStyle name="Normal 56 5 2 3 3 2" xfId="30839" xr:uid="{00000000-0005-0000-0000-0000FC580000}"/>
    <cellStyle name="Normal 56 5 2 3 4" xfId="22796" xr:uid="{00000000-0005-0000-0000-0000FD580000}"/>
    <cellStyle name="Normal 56 5 2 4" xfId="8923" xr:uid="{00000000-0005-0000-0000-0000FE580000}"/>
    <cellStyle name="Normal 56 5 2 4 2" xfId="18098" xr:uid="{00000000-0005-0000-0000-0000FF580000}"/>
    <cellStyle name="Normal 56 5 2 4 2 2" xfId="34672" xr:uid="{00000000-0005-0000-0000-000000590000}"/>
    <cellStyle name="Normal 56 5 2 4 3" xfId="26625" xr:uid="{00000000-0005-0000-0000-000001590000}"/>
    <cellStyle name="Normal 56 5 2 5" xfId="14290" xr:uid="{00000000-0005-0000-0000-000002590000}"/>
    <cellStyle name="Normal 56 5 2 5 2" xfId="30836" xr:uid="{00000000-0005-0000-0000-000003590000}"/>
    <cellStyle name="Normal 56 5 2 6" xfId="22793" xr:uid="{00000000-0005-0000-0000-000004590000}"/>
    <cellStyle name="Normal 56 5 3" xfId="4956" xr:uid="{00000000-0005-0000-0000-000005590000}"/>
    <cellStyle name="Normal 56 5 3 2" xfId="4957" xr:uid="{00000000-0005-0000-0000-000006590000}"/>
    <cellStyle name="Normal 56 5 3 2 2" xfId="8924" xr:uid="{00000000-0005-0000-0000-000007590000}"/>
    <cellStyle name="Normal 56 5 3 2 2 2" xfId="18099" xr:uid="{00000000-0005-0000-0000-000008590000}"/>
    <cellStyle name="Normal 56 5 3 2 2 2 2" xfId="34673" xr:uid="{00000000-0005-0000-0000-000009590000}"/>
    <cellStyle name="Normal 56 5 3 2 2 3" xfId="26626" xr:uid="{00000000-0005-0000-0000-00000A590000}"/>
    <cellStyle name="Normal 56 5 3 2 3" xfId="14295" xr:uid="{00000000-0005-0000-0000-00000B590000}"/>
    <cellStyle name="Normal 56 5 3 2 3 2" xfId="30841" xr:uid="{00000000-0005-0000-0000-00000C590000}"/>
    <cellStyle name="Normal 56 5 3 2 4" xfId="22798" xr:uid="{00000000-0005-0000-0000-00000D590000}"/>
    <cellStyle name="Normal 56 5 3 3" xfId="8925" xr:uid="{00000000-0005-0000-0000-00000E590000}"/>
    <cellStyle name="Normal 56 5 3 3 2" xfId="18100" xr:uid="{00000000-0005-0000-0000-00000F590000}"/>
    <cellStyle name="Normal 56 5 3 3 2 2" xfId="34674" xr:uid="{00000000-0005-0000-0000-000010590000}"/>
    <cellStyle name="Normal 56 5 3 3 3" xfId="26627" xr:uid="{00000000-0005-0000-0000-000011590000}"/>
    <cellStyle name="Normal 56 5 3 4" xfId="14294" xr:uid="{00000000-0005-0000-0000-000012590000}"/>
    <cellStyle name="Normal 56 5 3 4 2" xfId="30840" xr:uid="{00000000-0005-0000-0000-000013590000}"/>
    <cellStyle name="Normal 56 5 3 5" xfId="22797" xr:uid="{00000000-0005-0000-0000-000014590000}"/>
    <cellStyle name="Normal 56 5 4" xfId="4958" xr:uid="{00000000-0005-0000-0000-000015590000}"/>
    <cellStyle name="Normal 56 5 4 2" xfId="8926" xr:uid="{00000000-0005-0000-0000-000016590000}"/>
    <cellStyle name="Normal 56 5 4 2 2" xfId="18101" xr:uid="{00000000-0005-0000-0000-000017590000}"/>
    <cellStyle name="Normal 56 5 4 2 2 2" xfId="34675" xr:uid="{00000000-0005-0000-0000-000018590000}"/>
    <cellStyle name="Normal 56 5 4 2 3" xfId="26628" xr:uid="{00000000-0005-0000-0000-000019590000}"/>
    <cellStyle name="Normal 56 5 4 3" xfId="14296" xr:uid="{00000000-0005-0000-0000-00001A590000}"/>
    <cellStyle name="Normal 56 5 4 3 2" xfId="30842" xr:uid="{00000000-0005-0000-0000-00001B590000}"/>
    <cellStyle name="Normal 56 5 4 4" xfId="22799" xr:uid="{00000000-0005-0000-0000-00001C590000}"/>
    <cellStyle name="Normal 56 5 5" xfId="8927" xr:uid="{00000000-0005-0000-0000-00001D590000}"/>
    <cellStyle name="Normal 56 5 5 2" xfId="18102" xr:uid="{00000000-0005-0000-0000-00001E590000}"/>
    <cellStyle name="Normal 56 5 5 2 2" xfId="34676" xr:uid="{00000000-0005-0000-0000-00001F590000}"/>
    <cellStyle name="Normal 56 5 5 3" xfId="26629" xr:uid="{00000000-0005-0000-0000-000020590000}"/>
    <cellStyle name="Normal 56 5 6" xfId="14289" xr:uid="{00000000-0005-0000-0000-000021590000}"/>
    <cellStyle name="Normal 56 5 6 2" xfId="30835" xr:uid="{00000000-0005-0000-0000-000022590000}"/>
    <cellStyle name="Normal 56 5 7" xfId="22792" xr:uid="{00000000-0005-0000-0000-000023590000}"/>
    <cellStyle name="Normal 56 6" xfId="4959" xr:uid="{00000000-0005-0000-0000-000024590000}"/>
    <cellStyle name="Normal 56 6 2" xfId="4960" xr:uid="{00000000-0005-0000-0000-000025590000}"/>
    <cellStyle name="Normal 56 6 2 2" xfId="4961" xr:uid="{00000000-0005-0000-0000-000026590000}"/>
    <cellStyle name="Normal 56 6 2 2 2" xfId="8928" xr:uid="{00000000-0005-0000-0000-000027590000}"/>
    <cellStyle name="Normal 56 6 2 2 2 2" xfId="18103" xr:uid="{00000000-0005-0000-0000-000028590000}"/>
    <cellStyle name="Normal 56 6 2 2 2 2 2" xfId="34677" xr:uid="{00000000-0005-0000-0000-000029590000}"/>
    <cellStyle name="Normal 56 6 2 2 2 3" xfId="26630" xr:uid="{00000000-0005-0000-0000-00002A590000}"/>
    <cellStyle name="Normal 56 6 2 2 3" xfId="14299" xr:uid="{00000000-0005-0000-0000-00002B590000}"/>
    <cellStyle name="Normal 56 6 2 2 3 2" xfId="30845" xr:uid="{00000000-0005-0000-0000-00002C590000}"/>
    <cellStyle name="Normal 56 6 2 2 4" xfId="22802" xr:uid="{00000000-0005-0000-0000-00002D590000}"/>
    <cellStyle name="Normal 56 6 2 3" xfId="8929" xr:uid="{00000000-0005-0000-0000-00002E590000}"/>
    <cellStyle name="Normal 56 6 2 3 2" xfId="18104" xr:uid="{00000000-0005-0000-0000-00002F590000}"/>
    <cellStyle name="Normal 56 6 2 3 2 2" xfId="34678" xr:uid="{00000000-0005-0000-0000-000030590000}"/>
    <cellStyle name="Normal 56 6 2 3 3" xfId="26631" xr:uid="{00000000-0005-0000-0000-000031590000}"/>
    <cellStyle name="Normal 56 6 2 4" xfId="14298" xr:uid="{00000000-0005-0000-0000-000032590000}"/>
    <cellStyle name="Normal 56 6 2 4 2" xfId="30844" xr:uid="{00000000-0005-0000-0000-000033590000}"/>
    <cellStyle name="Normal 56 6 2 5" xfId="22801" xr:uid="{00000000-0005-0000-0000-000034590000}"/>
    <cellStyle name="Normal 56 6 3" xfId="4962" xr:uid="{00000000-0005-0000-0000-000035590000}"/>
    <cellStyle name="Normal 56 6 3 2" xfId="8930" xr:uid="{00000000-0005-0000-0000-000036590000}"/>
    <cellStyle name="Normal 56 6 3 2 2" xfId="18105" xr:uid="{00000000-0005-0000-0000-000037590000}"/>
    <cellStyle name="Normal 56 6 3 2 2 2" xfId="34679" xr:uid="{00000000-0005-0000-0000-000038590000}"/>
    <cellStyle name="Normal 56 6 3 2 3" xfId="26632" xr:uid="{00000000-0005-0000-0000-000039590000}"/>
    <cellStyle name="Normal 56 6 3 3" xfId="14300" xr:uid="{00000000-0005-0000-0000-00003A590000}"/>
    <cellStyle name="Normal 56 6 3 3 2" xfId="30846" xr:uid="{00000000-0005-0000-0000-00003B590000}"/>
    <cellStyle name="Normal 56 6 3 4" xfId="22803" xr:uid="{00000000-0005-0000-0000-00003C590000}"/>
    <cellStyle name="Normal 56 6 4" xfId="8931" xr:uid="{00000000-0005-0000-0000-00003D590000}"/>
    <cellStyle name="Normal 56 6 4 2" xfId="18106" xr:uid="{00000000-0005-0000-0000-00003E590000}"/>
    <cellStyle name="Normal 56 6 4 2 2" xfId="34680" xr:uid="{00000000-0005-0000-0000-00003F590000}"/>
    <cellStyle name="Normal 56 6 4 3" xfId="26633" xr:uid="{00000000-0005-0000-0000-000040590000}"/>
    <cellStyle name="Normal 56 6 5" xfId="14297" xr:uid="{00000000-0005-0000-0000-000041590000}"/>
    <cellStyle name="Normal 56 6 5 2" xfId="30843" xr:uid="{00000000-0005-0000-0000-000042590000}"/>
    <cellStyle name="Normal 56 6 6" xfId="22800" xr:uid="{00000000-0005-0000-0000-000043590000}"/>
    <cellStyle name="Normal 56 7" xfId="4963" xr:uid="{00000000-0005-0000-0000-000044590000}"/>
    <cellStyle name="Normal 56 7 2" xfId="4964" xr:uid="{00000000-0005-0000-0000-000045590000}"/>
    <cellStyle name="Normal 56 7 2 2" xfId="8932" xr:uid="{00000000-0005-0000-0000-000046590000}"/>
    <cellStyle name="Normal 56 7 2 2 2" xfId="18107" xr:uid="{00000000-0005-0000-0000-000047590000}"/>
    <cellStyle name="Normal 56 7 2 2 2 2" xfId="34681" xr:uid="{00000000-0005-0000-0000-000048590000}"/>
    <cellStyle name="Normal 56 7 2 2 3" xfId="26634" xr:uid="{00000000-0005-0000-0000-000049590000}"/>
    <cellStyle name="Normal 56 7 2 3" xfId="14302" xr:uid="{00000000-0005-0000-0000-00004A590000}"/>
    <cellStyle name="Normal 56 7 2 3 2" xfId="30848" xr:uid="{00000000-0005-0000-0000-00004B590000}"/>
    <cellStyle name="Normal 56 7 2 4" xfId="22805" xr:uid="{00000000-0005-0000-0000-00004C590000}"/>
    <cellStyle name="Normal 56 7 3" xfId="8933" xr:uid="{00000000-0005-0000-0000-00004D590000}"/>
    <cellStyle name="Normal 56 7 3 2" xfId="18108" xr:uid="{00000000-0005-0000-0000-00004E590000}"/>
    <cellStyle name="Normal 56 7 3 2 2" xfId="34682" xr:uid="{00000000-0005-0000-0000-00004F590000}"/>
    <cellStyle name="Normal 56 7 3 3" xfId="26635" xr:uid="{00000000-0005-0000-0000-000050590000}"/>
    <cellStyle name="Normal 56 7 4" xfId="14301" xr:uid="{00000000-0005-0000-0000-000051590000}"/>
    <cellStyle name="Normal 56 7 4 2" xfId="30847" xr:uid="{00000000-0005-0000-0000-000052590000}"/>
    <cellStyle name="Normal 56 7 5" xfId="22804" xr:uid="{00000000-0005-0000-0000-000053590000}"/>
    <cellStyle name="Normal 56 8" xfId="4965" xr:uid="{00000000-0005-0000-0000-000054590000}"/>
    <cellStyle name="Normal 56 8 2" xfId="8934" xr:uid="{00000000-0005-0000-0000-000055590000}"/>
    <cellStyle name="Normal 56 8 2 2" xfId="18109" xr:uid="{00000000-0005-0000-0000-000056590000}"/>
    <cellStyle name="Normal 56 8 2 2 2" xfId="34683" xr:uid="{00000000-0005-0000-0000-000057590000}"/>
    <cellStyle name="Normal 56 8 2 3" xfId="26636" xr:uid="{00000000-0005-0000-0000-000058590000}"/>
    <cellStyle name="Normal 56 8 3" xfId="14303" xr:uid="{00000000-0005-0000-0000-000059590000}"/>
    <cellStyle name="Normal 56 8 3 2" xfId="30849" xr:uid="{00000000-0005-0000-0000-00005A590000}"/>
    <cellStyle name="Normal 56 8 4" xfId="22806" xr:uid="{00000000-0005-0000-0000-00005B590000}"/>
    <cellStyle name="Normal 56 9" xfId="8935" xr:uid="{00000000-0005-0000-0000-00005C590000}"/>
    <cellStyle name="Normal 56 9 2" xfId="18110" xr:uid="{00000000-0005-0000-0000-00005D590000}"/>
    <cellStyle name="Normal 56 9 2 2" xfId="34684" xr:uid="{00000000-0005-0000-0000-00005E590000}"/>
    <cellStyle name="Normal 56 9 3" xfId="26637" xr:uid="{00000000-0005-0000-0000-00005F590000}"/>
    <cellStyle name="Normal 57" xfId="4966" xr:uid="{00000000-0005-0000-0000-000060590000}"/>
    <cellStyle name="Normal 57 10" xfId="14304" xr:uid="{00000000-0005-0000-0000-000061590000}"/>
    <cellStyle name="Normal 57 10 2" xfId="30850" xr:uid="{00000000-0005-0000-0000-000062590000}"/>
    <cellStyle name="Normal 57 11" xfId="22807" xr:uid="{00000000-0005-0000-0000-000063590000}"/>
    <cellStyle name="Normal 57 2" xfId="4967" xr:uid="{00000000-0005-0000-0000-000064590000}"/>
    <cellStyle name="Normal 57 2 2" xfId="4968" xr:uid="{00000000-0005-0000-0000-000065590000}"/>
    <cellStyle name="Normal 57 2 3" xfId="14305" xr:uid="{00000000-0005-0000-0000-000066590000}"/>
    <cellStyle name="Normal 57 2 3 2" xfId="30851" xr:uid="{00000000-0005-0000-0000-000067590000}"/>
    <cellStyle name="Normal 57 2 4" xfId="22808" xr:uid="{00000000-0005-0000-0000-000068590000}"/>
    <cellStyle name="Normal 57 3" xfId="4969" xr:uid="{00000000-0005-0000-0000-000069590000}"/>
    <cellStyle name="Normal 57 3 2" xfId="4970" xr:uid="{00000000-0005-0000-0000-00006A590000}"/>
    <cellStyle name="Normal 57 3 2 2" xfId="4971" xr:uid="{00000000-0005-0000-0000-00006B590000}"/>
    <cellStyle name="Normal 57 3 2 2 2" xfId="4972" xr:uid="{00000000-0005-0000-0000-00006C590000}"/>
    <cellStyle name="Normal 57 3 2 2 2 2" xfId="8936" xr:uid="{00000000-0005-0000-0000-00006D590000}"/>
    <cellStyle name="Normal 57 3 2 2 2 2 2" xfId="18111" xr:uid="{00000000-0005-0000-0000-00006E590000}"/>
    <cellStyle name="Normal 57 3 2 2 2 2 2 2" xfId="34685" xr:uid="{00000000-0005-0000-0000-00006F590000}"/>
    <cellStyle name="Normal 57 3 2 2 2 2 3" xfId="26638" xr:uid="{00000000-0005-0000-0000-000070590000}"/>
    <cellStyle name="Normal 57 3 2 2 2 3" xfId="14308" xr:uid="{00000000-0005-0000-0000-000071590000}"/>
    <cellStyle name="Normal 57 3 2 2 2 3 2" xfId="30854" xr:uid="{00000000-0005-0000-0000-000072590000}"/>
    <cellStyle name="Normal 57 3 2 2 2 4" xfId="22811" xr:uid="{00000000-0005-0000-0000-000073590000}"/>
    <cellStyle name="Normal 57 3 2 2 3" xfId="8937" xr:uid="{00000000-0005-0000-0000-000074590000}"/>
    <cellStyle name="Normal 57 3 2 2 3 2" xfId="18112" xr:uid="{00000000-0005-0000-0000-000075590000}"/>
    <cellStyle name="Normal 57 3 2 2 3 2 2" xfId="34686" xr:uid="{00000000-0005-0000-0000-000076590000}"/>
    <cellStyle name="Normal 57 3 2 2 3 3" xfId="26639" xr:uid="{00000000-0005-0000-0000-000077590000}"/>
    <cellStyle name="Normal 57 3 2 2 4" xfId="14307" xr:uid="{00000000-0005-0000-0000-000078590000}"/>
    <cellStyle name="Normal 57 3 2 2 4 2" xfId="30853" xr:uid="{00000000-0005-0000-0000-000079590000}"/>
    <cellStyle name="Normal 57 3 2 2 5" xfId="22810" xr:uid="{00000000-0005-0000-0000-00007A590000}"/>
    <cellStyle name="Normal 57 3 2 3" xfId="4973" xr:uid="{00000000-0005-0000-0000-00007B590000}"/>
    <cellStyle name="Normal 57 3 2 3 2" xfId="8938" xr:uid="{00000000-0005-0000-0000-00007C590000}"/>
    <cellStyle name="Normal 57 3 2 3 2 2" xfId="18113" xr:uid="{00000000-0005-0000-0000-00007D590000}"/>
    <cellStyle name="Normal 57 3 2 3 2 2 2" xfId="34687" xr:uid="{00000000-0005-0000-0000-00007E590000}"/>
    <cellStyle name="Normal 57 3 2 3 2 3" xfId="26640" xr:uid="{00000000-0005-0000-0000-00007F590000}"/>
    <cellStyle name="Normal 57 3 2 3 3" xfId="14309" xr:uid="{00000000-0005-0000-0000-000080590000}"/>
    <cellStyle name="Normal 57 3 2 3 3 2" xfId="30855" xr:uid="{00000000-0005-0000-0000-000081590000}"/>
    <cellStyle name="Normal 57 3 2 3 4" xfId="22812" xr:uid="{00000000-0005-0000-0000-000082590000}"/>
    <cellStyle name="Normal 57 3 2 4" xfId="8939" xr:uid="{00000000-0005-0000-0000-000083590000}"/>
    <cellStyle name="Normal 57 3 2 4 2" xfId="18114" xr:uid="{00000000-0005-0000-0000-000084590000}"/>
    <cellStyle name="Normal 57 3 2 4 2 2" xfId="34688" xr:uid="{00000000-0005-0000-0000-000085590000}"/>
    <cellStyle name="Normal 57 3 2 4 3" xfId="26641" xr:uid="{00000000-0005-0000-0000-000086590000}"/>
    <cellStyle name="Normal 57 3 2 5" xfId="14306" xr:uid="{00000000-0005-0000-0000-000087590000}"/>
    <cellStyle name="Normal 57 3 2 5 2" xfId="30852" xr:uid="{00000000-0005-0000-0000-000088590000}"/>
    <cellStyle name="Normal 57 3 2 6" xfId="22809" xr:uid="{00000000-0005-0000-0000-000089590000}"/>
    <cellStyle name="Normal 57 3 3" xfId="4974" xr:uid="{00000000-0005-0000-0000-00008A590000}"/>
    <cellStyle name="Normal 57 3 3 2" xfId="4975" xr:uid="{00000000-0005-0000-0000-00008B590000}"/>
    <cellStyle name="Normal 57 3 3 2 2" xfId="8940" xr:uid="{00000000-0005-0000-0000-00008C590000}"/>
    <cellStyle name="Normal 57 3 3 2 2 2" xfId="18115" xr:uid="{00000000-0005-0000-0000-00008D590000}"/>
    <cellStyle name="Normal 57 3 3 2 2 2 2" xfId="34689" xr:uid="{00000000-0005-0000-0000-00008E590000}"/>
    <cellStyle name="Normal 57 3 3 2 2 3" xfId="26642" xr:uid="{00000000-0005-0000-0000-00008F590000}"/>
    <cellStyle name="Normal 57 3 3 2 3" xfId="14311" xr:uid="{00000000-0005-0000-0000-000090590000}"/>
    <cellStyle name="Normal 57 3 3 2 3 2" xfId="30857" xr:uid="{00000000-0005-0000-0000-000091590000}"/>
    <cellStyle name="Normal 57 3 3 2 4" xfId="22814" xr:uid="{00000000-0005-0000-0000-000092590000}"/>
    <cellStyle name="Normal 57 3 3 3" xfId="8941" xr:uid="{00000000-0005-0000-0000-000093590000}"/>
    <cellStyle name="Normal 57 3 3 3 2" xfId="18116" xr:uid="{00000000-0005-0000-0000-000094590000}"/>
    <cellStyle name="Normal 57 3 3 3 2 2" xfId="34690" xr:uid="{00000000-0005-0000-0000-000095590000}"/>
    <cellStyle name="Normal 57 3 3 3 3" xfId="26643" xr:uid="{00000000-0005-0000-0000-000096590000}"/>
    <cellStyle name="Normal 57 3 3 4" xfId="14310" xr:uid="{00000000-0005-0000-0000-000097590000}"/>
    <cellStyle name="Normal 57 3 3 4 2" xfId="30856" xr:uid="{00000000-0005-0000-0000-000098590000}"/>
    <cellStyle name="Normal 57 3 3 5" xfId="22813" xr:uid="{00000000-0005-0000-0000-000099590000}"/>
    <cellStyle name="Normal 57 3 4" xfId="4976" xr:uid="{00000000-0005-0000-0000-00009A590000}"/>
    <cellStyle name="Normal 57 3 4 2" xfId="8942" xr:uid="{00000000-0005-0000-0000-00009B590000}"/>
    <cellStyle name="Normal 57 3 4 2 2" xfId="18117" xr:uid="{00000000-0005-0000-0000-00009C590000}"/>
    <cellStyle name="Normal 57 3 4 2 2 2" xfId="34691" xr:uid="{00000000-0005-0000-0000-00009D590000}"/>
    <cellStyle name="Normal 57 3 4 2 3" xfId="26644" xr:uid="{00000000-0005-0000-0000-00009E590000}"/>
    <cellStyle name="Normal 57 3 4 3" xfId="14312" xr:uid="{00000000-0005-0000-0000-00009F590000}"/>
    <cellStyle name="Normal 57 3 4 3 2" xfId="30858" xr:uid="{00000000-0005-0000-0000-0000A0590000}"/>
    <cellStyle name="Normal 57 3 4 4" xfId="22815" xr:uid="{00000000-0005-0000-0000-0000A1590000}"/>
    <cellStyle name="Normal 57 3 5" xfId="4977" xr:uid="{00000000-0005-0000-0000-0000A2590000}"/>
    <cellStyle name="Normal 57 3 5 2" xfId="14313" xr:uid="{00000000-0005-0000-0000-0000A3590000}"/>
    <cellStyle name="Normal 57 3 5 2 2" xfId="30859" xr:uid="{00000000-0005-0000-0000-0000A4590000}"/>
    <cellStyle name="Normal 57 3 5 3" xfId="22816" xr:uid="{00000000-0005-0000-0000-0000A5590000}"/>
    <cellStyle name="Normal 57 4" xfId="4978" xr:uid="{00000000-0005-0000-0000-0000A6590000}"/>
    <cellStyle name="Normal 57 4 2" xfId="4979" xr:uid="{00000000-0005-0000-0000-0000A7590000}"/>
    <cellStyle name="Normal 57 4 2 2" xfId="4980" xr:uid="{00000000-0005-0000-0000-0000A8590000}"/>
    <cellStyle name="Normal 57 4 2 2 2" xfId="4981" xr:uid="{00000000-0005-0000-0000-0000A9590000}"/>
    <cellStyle name="Normal 57 4 2 2 2 2" xfId="8943" xr:uid="{00000000-0005-0000-0000-0000AA590000}"/>
    <cellStyle name="Normal 57 4 2 2 2 2 2" xfId="18118" xr:uid="{00000000-0005-0000-0000-0000AB590000}"/>
    <cellStyle name="Normal 57 4 2 2 2 2 2 2" xfId="34692" xr:uid="{00000000-0005-0000-0000-0000AC590000}"/>
    <cellStyle name="Normal 57 4 2 2 2 2 3" xfId="26645" xr:uid="{00000000-0005-0000-0000-0000AD590000}"/>
    <cellStyle name="Normal 57 4 2 2 2 3" xfId="14317" xr:uid="{00000000-0005-0000-0000-0000AE590000}"/>
    <cellStyle name="Normal 57 4 2 2 2 3 2" xfId="30863" xr:uid="{00000000-0005-0000-0000-0000AF590000}"/>
    <cellStyle name="Normal 57 4 2 2 2 4" xfId="22820" xr:uid="{00000000-0005-0000-0000-0000B0590000}"/>
    <cellStyle name="Normal 57 4 2 2 3" xfId="8944" xr:uid="{00000000-0005-0000-0000-0000B1590000}"/>
    <cellStyle name="Normal 57 4 2 2 3 2" xfId="18119" xr:uid="{00000000-0005-0000-0000-0000B2590000}"/>
    <cellStyle name="Normal 57 4 2 2 3 2 2" xfId="34693" xr:uid="{00000000-0005-0000-0000-0000B3590000}"/>
    <cellStyle name="Normal 57 4 2 2 3 3" xfId="26646" xr:uid="{00000000-0005-0000-0000-0000B4590000}"/>
    <cellStyle name="Normal 57 4 2 2 4" xfId="14316" xr:uid="{00000000-0005-0000-0000-0000B5590000}"/>
    <cellStyle name="Normal 57 4 2 2 4 2" xfId="30862" xr:uid="{00000000-0005-0000-0000-0000B6590000}"/>
    <cellStyle name="Normal 57 4 2 2 5" xfId="22819" xr:uid="{00000000-0005-0000-0000-0000B7590000}"/>
    <cellStyle name="Normal 57 4 2 3" xfId="4982" xr:uid="{00000000-0005-0000-0000-0000B8590000}"/>
    <cellStyle name="Normal 57 4 2 3 2" xfId="8945" xr:uid="{00000000-0005-0000-0000-0000B9590000}"/>
    <cellStyle name="Normal 57 4 2 3 2 2" xfId="18120" xr:uid="{00000000-0005-0000-0000-0000BA590000}"/>
    <cellStyle name="Normal 57 4 2 3 2 2 2" xfId="34694" xr:uid="{00000000-0005-0000-0000-0000BB590000}"/>
    <cellStyle name="Normal 57 4 2 3 2 3" xfId="26647" xr:uid="{00000000-0005-0000-0000-0000BC590000}"/>
    <cellStyle name="Normal 57 4 2 3 3" xfId="14318" xr:uid="{00000000-0005-0000-0000-0000BD590000}"/>
    <cellStyle name="Normal 57 4 2 3 3 2" xfId="30864" xr:uid="{00000000-0005-0000-0000-0000BE590000}"/>
    <cellStyle name="Normal 57 4 2 3 4" xfId="22821" xr:uid="{00000000-0005-0000-0000-0000BF590000}"/>
    <cellStyle name="Normal 57 4 2 4" xfId="8946" xr:uid="{00000000-0005-0000-0000-0000C0590000}"/>
    <cellStyle name="Normal 57 4 2 4 2" xfId="18121" xr:uid="{00000000-0005-0000-0000-0000C1590000}"/>
    <cellStyle name="Normal 57 4 2 4 2 2" xfId="34695" xr:uid="{00000000-0005-0000-0000-0000C2590000}"/>
    <cellStyle name="Normal 57 4 2 4 3" xfId="26648" xr:uid="{00000000-0005-0000-0000-0000C3590000}"/>
    <cellStyle name="Normal 57 4 2 5" xfId="14315" xr:uid="{00000000-0005-0000-0000-0000C4590000}"/>
    <cellStyle name="Normal 57 4 2 5 2" xfId="30861" xr:uid="{00000000-0005-0000-0000-0000C5590000}"/>
    <cellStyle name="Normal 57 4 2 6" xfId="22818" xr:uid="{00000000-0005-0000-0000-0000C6590000}"/>
    <cellStyle name="Normal 57 4 3" xfId="4983" xr:uid="{00000000-0005-0000-0000-0000C7590000}"/>
    <cellStyle name="Normal 57 4 3 2" xfId="4984" xr:uid="{00000000-0005-0000-0000-0000C8590000}"/>
    <cellStyle name="Normal 57 4 3 2 2" xfId="8947" xr:uid="{00000000-0005-0000-0000-0000C9590000}"/>
    <cellStyle name="Normal 57 4 3 2 2 2" xfId="18122" xr:uid="{00000000-0005-0000-0000-0000CA590000}"/>
    <cellStyle name="Normal 57 4 3 2 2 2 2" xfId="34696" xr:uid="{00000000-0005-0000-0000-0000CB590000}"/>
    <cellStyle name="Normal 57 4 3 2 2 3" xfId="26649" xr:uid="{00000000-0005-0000-0000-0000CC590000}"/>
    <cellStyle name="Normal 57 4 3 2 3" xfId="14320" xr:uid="{00000000-0005-0000-0000-0000CD590000}"/>
    <cellStyle name="Normal 57 4 3 2 3 2" xfId="30866" xr:uid="{00000000-0005-0000-0000-0000CE590000}"/>
    <cellStyle name="Normal 57 4 3 2 4" xfId="22823" xr:uid="{00000000-0005-0000-0000-0000CF590000}"/>
    <cellStyle name="Normal 57 4 3 3" xfId="8948" xr:uid="{00000000-0005-0000-0000-0000D0590000}"/>
    <cellStyle name="Normal 57 4 3 3 2" xfId="18123" xr:uid="{00000000-0005-0000-0000-0000D1590000}"/>
    <cellStyle name="Normal 57 4 3 3 2 2" xfId="34697" xr:uid="{00000000-0005-0000-0000-0000D2590000}"/>
    <cellStyle name="Normal 57 4 3 3 3" xfId="26650" xr:uid="{00000000-0005-0000-0000-0000D3590000}"/>
    <cellStyle name="Normal 57 4 3 4" xfId="14319" xr:uid="{00000000-0005-0000-0000-0000D4590000}"/>
    <cellStyle name="Normal 57 4 3 4 2" xfId="30865" xr:uid="{00000000-0005-0000-0000-0000D5590000}"/>
    <cellStyle name="Normal 57 4 3 5" xfId="22822" xr:uid="{00000000-0005-0000-0000-0000D6590000}"/>
    <cellStyle name="Normal 57 4 4" xfId="4985" xr:uid="{00000000-0005-0000-0000-0000D7590000}"/>
    <cellStyle name="Normal 57 4 4 2" xfId="8949" xr:uid="{00000000-0005-0000-0000-0000D8590000}"/>
    <cellStyle name="Normal 57 4 4 2 2" xfId="18124" xr:uid="{00000000-0005-0000-0000-0000D9590000}"/>
    <cellStyle name="Normal 57 4 4 2 2 2" xfId="34698" xr:uid="{00000000-0005-0000-0000-0000DA590000}"/>
    <cellStyle name="Normal 57 4 4 2 3" xfId="26651" xr:uid="{00000000-0005-0000-0000-0000DB590000}"/>
    <cellStyle name="Normal 57 4 4 3" xfId="14321" xr:uid="{00000000-0005-0000-0000-0000DC590000}"/>
    <cellStyle name="Normal 57 4 4 3 2" xfId="30867" xr:uid="{00000000-0005-0000-0000-0000DD590000}"/>
    <cellStyle name="Normal 57 4 4 4" xfId="22824" xr:uid="{00000000-0005-0000-0000-0000DE590000}"/>
    <cellStyle name="Normal 57 4 5" xfId="8950" xr:uid="{00000000-0005-0000-0000-0000DF590000}"/>
    <cellStyle name="Normal 57 4 5 2" xfId="18125" xr:uid="{00000000-0005-0000-0000-0000E0590000}"/>
    <cellStyle name="Normal 57 4 5 2 2" xfId="34699" xr:uid="{00000000-0005-0000-0000-0000E1590000}"/>
    <cellStyle name="Normal 57 4 5 3" xfId="26652" xr:uid="{00000000-0005-0000-0000-0000E2590000}"/>
    <cellStyle name="Normal 57 4 6" xfId="14314" xr:uid="{00000000-0005-0000-0000-0000E3590000}"/>
    <cellStyle name="Normal 57 4 6 2" xfId="30860" xr:uid="{00000000-0005-0000-0000-0000E4590000}"/>
    <cellStyle name="Normal 57 4 7" xfId="22817" xr:uid="{00000000-0005-0000-0000-0000E5590000}"/>
    <cellStyle name="Normal 57 5" xfId="4986" xr:uid="{00000000-0005-0000-0000-0000E6590000}"/>
    <cellStyle name="Normal 57 5 2" xfId="4987" xr:uid="{00000000-0005-0000-0000-0000E7590000}"/>
    <cellStyle name="Normal 57 5 2 2" xfId="4988" xr:uid="{00000000-0005-0000-0000-0000E8590000}"/>
    <cellStyle name="Normal 57 5 2 2 2" xfId="4989" xr:uid="{00000000-0005-0000-0000-0000E9590000}"/>
    <cellStyle name="Normal 57 5 2 2 2 2" xfId="8951" xr:uid="{00000000-0005-0000-0000-0000EA590000}"/>
    <cellStyle name="Normal 57 5 2 2 2 2 2" xfId="18126" xr:uid="{00000000-0005-0000-0000-0000EB590000}"/>
    <cellStyle name="Normal 57 5 2 2 2 2 2 2" xfId="34700" xr:uid="{00000000-0005-0000-0000-0000EC590000}"/>
    <cellStyle name="Normal 57 5 2 2 2 2 3" xfId="26653" xr:uid="{00000000-0005-0000-0000-0000ED590000}"/>
    <cellStyle name="Normal 57 5 2 2 2 3" xfId="14325" xr:uid="{00000000-0005-0000-0000-0000EE590000}"/>
    <cellStyle name="Normal 57 5 2 2 2 3 2" xfId="30871" xr:uid="{00000000-0005-0000-0000-0000EF590000}"/>
    <cellStyle name="Normal 57 5 2 2 2 4" xfId="22828" xr:uid="{00000000-0005-0000-0000-0000F0590000}"/>
    <cellStyle name="Normal 57 5 2 2 3" xfId="8952" xr:uid="{00000000-0005-0000-0000-0000F1590000}"/>
    <cellStyle name="Normal 57 5 2 2 3 2" xfId="18127" xr:uid="{00000000-0005-0000-0000-0000F2590000}"/>
    <cellStyle name="Normal 57 5 2 2 3 2 2" xfId="34701" xr:uid="{00000000-0005-0000-0000-0000F3590000}"/>
    <cellStyle name="Normal 57 5 2 2 3 3" xfId="26654" xr:uid="{00000000-0005-0000-0000-0000F4590000}"/>
    <cellStyle name="Normal 57 5 2 2 4" xfId="14324" xr:uid="{00000000-0005-0000-0000-0000F5590000}"/>
    <cellStyle name="Normal 57 5 2 2 4 2" xfId="30870" xr:uid="{00000000-0005-0000-0000-0000F6590000}"/>
    <cellStyle name="Normal 57 5 2 2 5" xfId="22827" xr:uid="{00000000-0005-0000-0000-0000F7590000}"/>
    <cellStyle name="Normal 57 5 2 3" xfId="4990" xr:uid="{00000000-0005-0000-0000-0000F8590000}"/>
    <cellStyle name="Normal 57 5 2 3 2" xfId="8953" xr:uid="{00000000-0005-0000-0000-0000F9590000}"/>
    <cellStyle name="Normal 57 5 2 3 2 2" xfId="18128" xr:uid="{00000000-0005-0000-0000-0000FA590000}"/>
    <cellStyle name="Normal 57 5 2 3 2 2 2" xfId="34702" xr:uid="{00000000-0005-0000-0000-0000FB590000}"/>
    <cellStyle name="Normal 57 5 2 3 2 3" xfId="26655" xr:uid="{00000000-0005-0000-0000-0000FC590000}"/>
    <cellStyle name="Normal 57 5 2 3 3" xfId="14326" xr:uid="{00000000-0005-0000-0000-0000FD590000}"/>
    <cellStyle name="Normal 57 5 2 3 3 2" xfId="30872" xr:uid="{00000000-0005-0000-0000-0000FE590000}"/>
    <cellStyle name="Normal 57 5 2 3 4" xfId="22829" xr:uid="{00000000-0005-0000-0000-0000FF590000}"/>
    <cellStyle name="Normal 57 5 2 4" xfId="8954" xr:uid="{00000000-0005-0000-0000-0000005A0000}"/>
    <cellStyle name="Normal 57 5 2 4 2" xfId="18129" xr:uid="{00000000-0005-0000-0000-0000015A0000}"/>
    <cellStyle name="Normal 57 5 2 4 2 2" xfId="34703" xr:uid="{00000000-0005-0000-0000-0000025A0000}"/>
    <cellStyle name="Normal 57 5 2 4 3" xfId="26656" xr:uid="{00000000-0005-0000-0000-0000035A0000}"/>
    <cellStyle name="Normal 57 5 2 5" xfId="14323" xr:uid="{00000000-0005-0000-0000-0000045A0000}"/>
    <cellStyle name="Normal 57 5 2 5 2" xfId="30869" xr:uid="{00000000-0005-0000-0000-0000055A0000}"/>
    <cellStyle name="Normal 57 5 2 6" xfId="22826" xr:uid="{00000000-0005-0000-0000-0000065A0000}"/>
    <cellStyle name="Normal 57 5 3" xfId="4991" xr:uid="{00000000-0005-0000-0000-0000075A0000}"/>
    <cellStyle name="Normal 57 5 3 2" xfId="4992" xr:uid="{00000000-0005-0000-0000-0000085A0000}"/>
    <cellStyle name="Normal 57 5 3 2 2" xfId="8955" xr:uid="{00000000-0005-0000-0000-0000095A0000}"/>
    <cellStyle name="Normal 57 5 3 2 2 2" xfId="18130" xr:uid="{00000000-0005-0000-0000-00000A5A0000}"/>
    <cellStyle name="Normal 57 5 3 2 2 2 2" xfId="34704" xr:uid="{00000000-0005-0000-0000-00000B5A0000}"/>
    <cellStyle name="Normal 57 5 3 2 2 3" xfId="26657" xr:uid="{00000000-0005-0000-0000-00000C5A0000}"/>
    <cellStyle name="Normal 57 5 3 2 3" xfId="14328" xr:uid="{00000000-0005-0000-0000-00000D5A0000}"/>
    <cellStyle name="Normal 57 5 3 2 3 2" xfId="30874" xr:uid="{00000000-0005-0000-0000-00000E5A0000}"/>
    <cellStyle name="Normal 57 5 3 2 4" xfId="22831" xr:uid="{00000000-0005-0000-0000-00000F5A0000}"/>
    <cellStyle name="Normal 57 5 3 3" xfId="8956" xr:uid="{00000000-0005-0000-0000-0000105A0000}"/>
    <cellStyle name="Normal 57 5 3 3 2" xfId="18131" xr:uid="{00000000-0005-0000-0000-0000115A0000}"/>
    <cellStyle name="Normal 57 5 3 3 2 2" xfId="34705" xr:uid="{00000000-0005-0000-0000-0000125A0000}"/>
    <cellStyle name="Normal 57 5 3 3 3" xfId="26658" xr:uid="{00000000-0005-0000-0000-0000135A0000}"/>
    <cellStyle name="Normal 57 5 3 4" xfId="14327" xr:uid="{00000000-0005-0000-0000-0000145A0000}"/>
    <cellStyle name="Normal 57 5 3 4 2" xfId="30873" xr:uid="{00000000-0005-0000-0000-0000155A0000}"/>
    <cellStyle name="Normal 57 5 3 5" xfId="22830" xr:uid="{00000000-0005-0000-0000-0000165A0000}"/>
    <cellStyle name="Normal 57 5 4" xfId="4993" xr:uid="{00000000-0005-0000-0000-0000175A0000}"/>
    <cellStyle name="Normal 57 5 4 2" xfId="8957" xr:uid="{00000000-0005-0000-0000-0000185A0000}"/>
    <cellStyle name="Normal 57 5 4 2 2" xfId="18132" xr:uid="{00000000-0005-0000-0000-0000195A0000}"/>
    <cellStyle name="Normal 57 5 4 2 2 2" xfId="34706" xr:uid="{00000000-0005-0000-0000-00001A5A0000}"/>
    <cellStyle name="Normal 57 5 4 2 3" xfId="26659" xr:uid="{00000000-0005-0000-0000-00001B5A0000}"/>
    <cellStyle name="Normal 57 5 4 3" xfId="14329" xr:uid="{00000000-0005-0000-0000-00001C5A0000}"/>
    <cellStyle name="Normal 57 5 4 3 2" xfId="30875" xr:uid="{00000000-0005-0000-0000-00001D5A0000}"/>
    <cellStyle name="Normal 57 5 4 4" xfId="22832" xr:uid="{00000000-0005-0000-0000-00001E5A0000}"/>
    <cellStyle name="Normal 57 5 5" xfId="8958" xr:uid="{00000000-0005-0000-0000-00001F5A0000}"/>
    <cellStyle name="Normal 57 5 5 2" xfId="18133" xr:uid="{00000000-0005-0000-0000-0000205A0000}"/>
    <cellStyle name="Normal 57 5 5 2 2" xfId="34707" xr:uid="{00000000-0005-0000-0000-0000215A0000}"/>
    <cellStyle name="Normal 57 5 5 3" xfId="26660" xr:uid="{00000000-0005-0000-0000-0000225A0000}"/>
    <cellStyle name="Normal 57 5 6" xfId="14322" xr:uid="{00000000-0005-0000-0000-0000235A0000}"/>
    <cellStyle name="Normal 57 5 6 2" xfId="30868" xr:uid="{00000000-0005-0000-0000-0000245A0000}"/>
    <cellStyle name="Normal 57 5 7" xfId="22825" xr:uid="{00000000-0005-0000-0000-0000255A0000}"/>
    <cellStyle name="Normal 57 6" xfId="4994" xr:uid="{00000000-0005-0000-0000-0000265A0000}"/>
    <cellStyle name="Normal 57 6 2" xfId="4995" xr:uid="{00000000-0005-0000-0000-0000275A0000}"/>
    <cellStyle name="Normal 57 6 2 2" xfId="4996" xr:uid="{00000000-0005-0000-0000-0000285A0000}"/>
    <cellStyle name="Normal 57 6 2 2 2" xfId="8959" xr:uid="{00000000-0005-0000-0000-0000295A0000}"/>
    <cellStyle name="Normal 57 6 2 2 2 2" xfId="18134" xr:uid="{00000000-0005-0000-0000-00002A5A0000}"/>
    <cellStyle name="Normal 57 6 2 2 2 2 2" xfId="34708" xr:uid="{00000000-0005-0000-0000-00002B5A0000}"/>
    <cellStyle name="Normal 57 6 2 2 2 3" xfId="26661" xr:uid="{00000000-0005-0000-0000-00002C5A0000}"/>
    <cellStyle name="Normal 57 6 2 2 3" xfId="14332" xr:uid="{00000000-0005-0000-0000-00002D5A0000}"/>
    <cellStyle name="Normal 57 6 2 2 3 2" xfId="30878" xr:uid="{00000000-0005-0000-0000-00002E5A0000}"/>
    <cellStyle name="Normal 57 6 2 2 4" xfId="22835" xr:uid="{00000000-0005-0000-0000-00002F5A0000}"/>
    <cellStyle name="Normal 57 6 2 3" xfId="8960" xr:uid="{00000000-0005-0000-0000-0000305A0000}"/>
    <cellStyle name="Normal 57 6 2 3 2" xfId="18135" xr:uid="{00000000-0005-0000-0000-0000315A0000}"/>
    <cellStyle name="Normal 57 6 2 3 2 2" xfId="34709" xr:uid="{00000000-0005-0000-0000-0000325A0000}"/>
    <cellStyle name="Normal 57 6 2 3 3" xfId="26662" xr:uid="{00000000-0005-0000-0000-0000335A0000}"/>
    <cellStyle name="Normal 57 6 2 4" xfId="14331" xr:uid="{00000000-0005-0000-0000-0000345A0000}"/>
    <cellStyle name="Normal 57 6 2 4 2" xfId="30877" xr:uid="{00000000-0005-0000-0000-0000355A0000}"/>
    <cellStyle name="Normal 57 6 2 5" xfId="22834" xr:uid="{00000000-0005-0000-0000-0000365A0000}"/>
    <cellStyle name="Normal 57 6 3" xfId="4997" xr:uid="{00000000-0005-0000-0000-0000375A0000}"/>
    <cellStyle name="Normal 57 6 3 2" xfId="8961" xr:uid="{00000000-0005-0000-0000-0000385A0000}"/>
    <cellStyle name="Normal 57 6 3 2 2" xfId="18136" xr:uid="{00000000-0005-0000-0000-0000395A0000}"/>
    <cellStyle name="Normal 57 6 3 2 2 2" xfId="34710" xr:uid="{00000000-0005-0000-0000-00003A5A0000}"/>
    <cellStyle name="Normal 57 6 3 2 3" xfId="26663" xr:uid="{00000000-0005-0000-0000-00003B5A0000}"/>
    <cellStyle name="Normal 57 6 3 3" xfId="14333" xr:uid="{00000000-0005-0000-0000-00003C5A0000}"/>
    <cellStyle name="Normal 57 6 3 3 2" xfId="30879" xr:uid="{00000000-0005-0000-0000-00003D5A0000}"/>
    <cellStyle name="Normal 57 6 3 4" xfId="22836" xr:uid="{00000000-0005-0000-0000-00003E5A0000}"/>
    <cellStyle name="Normal 57 6 4" xfId="8962" xr:uid="{00000000-0005-0000-0000-00003F5A0000}"/>
    <cellStyle name="Normal 57 6 4 2" xfId="18137" xr:uid="{00000000-0005-0000-0000-0000405A0000}"/>
    <cellStyle name="Normal 57 6 4 2 2" xfId="34711" xr:uid="{00000000-0005-0000-0000-0000415A0000}"/>
    <cellStyle name="Normal 57 6 4 3" xfId="26664" xr:uid="{00000000-0005-0000-0000-0000425A0000}"/>
    <cellStyle name="Normal 57 6 5" xfId="14330" xr:uid="{00000000-0005-0000-0000-0000435A0000}"/>
    <cellStyle name="Normal 57 6 5 2" xfId="30876" xr:uid="{00000000-0005-0000-0000-0000445A0000}"/>
    <cellStyle name="Normal 57 6 6" xfId="22833" xr:uid="{00000000-0005-0000-0000-0000455A0000}"/>
    <cellStyle name="Normal 57 7" xfId="4998" xr:uid="{00000000-0005-0000-0000-0000465A0000}"/>
    <cellStyle name="Normal 57 7 2" xfId="4999" xr:uid="{00000000-0005-0000-0000-0000475A0000}"/>
    <cellStyle name="Normal 57 7 2 2" xfId="8963" xr:uid="{00000000-0005-0000-0000-0000485A0000}"/>
    <cellStyle name="Normal 57 7 2 2 2" xfId="18138" xr:uid="{00000000-0005-0000-0000-0000495A0000}"/>
    <cellStyle name="Normal 57 7 2 2 2 2" xfId="34712" xr:uid="{00000000-0005-0000-0000-00004A5A0000}"/>
    <cellStyle name="Normal 57 7 2 2 3" xfId="26665" xr:uid="{00000000-0005-0000-0000-00004B5A0000}"/>
    <cellStyle name="Normal 57 7 2 3" xfId="14335" xr:uid="{00000000-0005-0000-0000-00004C5A0000}"/>
    <cellStyle name="Normal 57 7 2 3 2" xfId="30881" xr:uid="{00000000-0005-0000-0000-00004D5A0000}"/>
    <cellStyle name="Normal 57 7 2 4" xfId="22838" xr:uid="{00000000-0005-0000-0000-00004E5A0000}"/>
    <cellStyle name="Normal 57 7 3" xfId="8964" xr:uid="{00000000-0005-0000-0000-00004F5A0000}"/>
    <cellStyle name="Normal 57 7 3 2" xfId="18139" xr:uid="{00000000-0005-0000-0000-0000505A0000}"/>
    <cellStyle name="Normal 57 7 3 2 2" xfId="34713" xr:uid="{00000000-0005-0000-0000-0000515A0000}"/>
    <cellStyle name="Normal 57 7 3 3" xfId="26666" xr:uid="{00000000-0005-0000-0000-0000525A0000}"/>
    <cellStyle name="Normal 57 7 4" xfId="14334" xr:uid="{00000000-0005-0000-0000-0000535A0000}"/>
    <cellStyle name="Normal 57 7 4 2" xfId="30880" xr:uid="{00000000-0005-0000-0000-0000545A0000}"/>
    <cellStyle name="Normal 57 7 5" xfId="22837" xr:uid="{00000000-0005-0000-0000-0000555A0000}"/>
    <cellStyle name="Normal 57 8" xfId="5000" xr:uid="{00000000-0005-0000-0000-0000565A0000}"/>
    <cellStyle name="Normal 57 8 2" xfId="8965" xr:uid="{00000000-0005-0000-0000-0000575A0000}"/>
    <cellStyle name="Normal 57 8 2 2" xfId="18140" xr:uid="{00000000-0005-0000-0000-0000585A0000}"/>
    <cellStyle name="Normal 57 8 2 2 2" xfId="34714" xr:uid="{00000000-0005-0000-0000-0000595A0000}"/>
    <cellStyle name="Normal 57 8 2 3" xfId="26667" xr:uid="{00000000-0005-0000-0000-00005A5A0000}"/>
    <cellStyle name="Normal 57 8 3" xfId="14336" xr:uid="{00000000-0005-0000-0000-00005B5A0000}"/>
    <cellStyle name="Normal 57 8 3 2" xfId="30882" xr:uid="{00000000-0005-0000-0000-00005C5A0000}"/>
    <cellStyle name="Normal 57 8 4" xfId="22839" xr:uid="{00000000-0005-0000-0000-00005D5A0000}"/>
    <cellStyle name="Normal 57 9" xfId="8966" xr:uid="{00000000-0005-0000-0000-00005E5A0000}"/>
    <cellStyle name="Normal 57 9 2" xfId="18141" xr:uid="{00000000-0005-0000-0000-00005F5A0000}"/>
    <cellStyle name="Normal 57 9 2 2" xfId="34715" xr:uid="{00000000-0005-0000-0000-0000605A0000}"/>
    <cellStyle name="Normal 57 9 3" xfId="26668" xr:uid="{00000000-0005-0000-0000-0000615A0000}"/>
    <cellStyle name="Normal 58" xfId="5001" xr:uid="{00000000-0005-0000-0000-0000625A0000}"/>
    <cellStyle name="Normal 58 10" xfId="14337" xr:uid="{00000000-0005-0000-0000-0000635A0000}"/>
    <cellStyle name="Normal 58 10 2" xfId="30883" xr:uid="{00000000-0005-0000-0000-0000645A0000}"/>
    <cellStyle name="Normal 58 11" xfId="22840" xr:uid="{00000000-0005-0000-0000-0000655A0000}"/>
    <cellStyle name="Normal 58 2" xfId="5002" xr:uid="{00000000-0005-0000-0000-0000665A0000}"/>
    <cellStyle name="Normal 58 2 2" xfId="5003" xr:uid="{00000000-0005-0000-0000-0000675A0000}"/>
    <cellStyle name="Normal 58 2 3" xfId="14338" xr:uid="{00000000-0005-0000-0000-0000685A0000}"/>
    <cellStyle name="Normal 58 2 3 2" xfId="30884" xr:uid="{00000000-0005-0000-0000-0000695A0000}"/>
    <cellStyle name="Normal 58 2 4" xfId="22841" xr:uid="{00000000-0005-0000-0000-00006A5A0000}"/>
    <cellStyle name="Normal 58 3" xfId="5004" xr:uid="{00000000-0005-0000-0000-00006B5A0000}"/>
    <cellStyle name="Normal 58 3 2" xfId="5005" xr:uid="{00000000-0005-0000-0000-00006C5A0000}"/>
    <cellStyle name="Normal 58 3 2 2" xfId="5006" xr:uid="{00000000-0005-0000-0000-00006D5A0000}"/>
    <cellStyle name="Normal 58 3 2 2 2" xfId="5007" xr:uid="{00000000-0005-0000-0000-00006E5A0000}"/>
    <cellStyle name="Normal 58 3 2 2 2 2" xfId="8967" xr:uid="{00000000-0005-0000-0000-00006F5A0000}"/>
    <cellStyle name="Normal 58 3 2 2 2 2 2" xfId="18142" xr:uid="{00000000-0005-0000-0000-0000705A0000}"/>
    <cellStyle name="Normal 58 3 2 2 2 2 2 2" xfId="34716" xr:uid="{00000000-0005-0000-0000-0000715A0000}"/>
    <cellStyle name="Normal 58 3 2 2 2 2 3" xfId="26669" xr:uid="{00000000-0005-0000-0000-0000725A0000}"/>
    <cellStyle name="Normal 58 3 2 2 2 3" xfId="14341" xr:uid="{00000000-0005-0000-0000-0000735A0000}"/>
    <cellStyle name="Normal 58 3 2 2 2 3 2" xfId="30887" xr:uid="{00000000-0005-0000-0000-0000745A0000}"/>
    <cellStyle name="Normal 58 3 2 2 2 4" xfId="22844" xr:uid="{00000000-0005-0000-0000-0000755A0000}"/>
    <cellStyle name="Normal 58 3 2 2 3" xfId="8968" xr:uid="{00000000-0005-0000-0000-0000765A0000}"/>
    <cellStyle name="Normal 58 3 2 2 3 2" xfId="18143" xr:uid="{00000000-0005-0000-0000-0000775A0000}"/>
    <cellStyle name="Normal 58 3 2 2 3 2 2" xfId="34717" xr:uid="{00000000-0005-0000-0000-0000785A0000}"/>
    <cellStyle name="Normal 58 3 2 2 3 3" xfId="26670" xr:uid="{00000000-0005-0000-0000-0000795A0000}"/>
    <cellStyle name="Normal 58 3 2 2 4" xfId="14340" xr:uid="{00000000-0005-0000-0000-00007A5A0000}"/>
    <cellStyle name="Normal 58 3 2 2 4 2" xfId="30886" xr:uid="{00000000-0005-0000-0000-00007B5A0000}"/>
    <cellStyle name="Normal 58 3 2 2 5" xfId="22843" xr:uid="{00000000-0005-0000-0000-00007C5A0000}"/>
    <cellStyle name="Normal 58 3 2 3" xfId="5008" xr:uid="{00000000-0005-0000-0000-00007D5A0000}"/>
    <cellStyle name="Normal 58 3 2 3 2" xfId="8969" xr:uid="{00000000-0005-0000-0000-00007E5A0000}"/>
    <cellStyle name="Normal 58 3 2 3 2 2" xfId="18144" xr:uid="{00000000-0005-0000-0000-00007F5A0000}"/>
    <cellStyle name="Normal 58 3 2 3 2 2 2" xfId="34718" xr:uid="{00000000-0005-0000-0000-0000805A0000}"/>
    <cellStyle name="Normal 58 3 2 3 2 3" xfId="26671" xr:uid="{00000000-0005-0000-0000-0000815A0000}"/>
    <cellStyle name="Normal 58 3 2 3 3" xfId="14342" xr:uid="{00000000-0005-0000-0000-0000825A0000}"/>
    <cellStyle name="Normal 58 3 2 3 3 2" xfId="30888" xr:uid="{00000000-0005-0000-0000-0000835A0000}"/>
    <cellStyle name="Normal 58 3 2 3 4" xfId="22845" xr:uid="{00000000-0005-0000-0000-0000845A0000}"/>
    <cellStyle name="Normal 58 3 2 4" xfId="8970" xr:uid="{00000000-0005-0000-0000-0000855A0000}"/>
    <cellStyle name="Normal 58 3 2 4 2" xfId="18145" xr:uid="{00000000-0005-0000-0000-0000865A0000}"/>
    <cellStyle name="Normal 58 3 2 4 2 2" xfId="34719" xr:uid="{00000000-0005-0000-0000-0000875A0000}"/>
    <cellStyle name="Normal 58 3 2 4 3" xfId="26672" xr:uid="{00000000-0005-0000-0000-0000885A0000}"/>
    <cellStyle name="Normal 58 3 2 5" xfId="14339" xr:uid="{00000000-0005-0000-0000-0000895A0000}"/>
    <cellStyle name="Normal 58 3 2 5 2" xfId="30885" xr:uid="{00000000-0005-0000-0000-00008A5A0000}"/>
    <cellStyle name="Normal 58 3 2 6" xfId="22842" xr:uid="{00000000-0005-0000-0000-00008B5A0000}"/>
    <cellStyle name="Normal 58 3 3" xfId="5009" xr:uid="{00000000-0005-0000-0000-00008C5A0000}"/>
    <cellStyle name="Normal 58 3 3 2" xfId="5010" xr:uid="{00000000-0005-0000-0000-00008D5A0000}"/>
    <cellStyle name="Normal 58 3 3 2 2" xfId="8971" xr:uid="{00000000-0005-0000-0000-00008E5A0000}"/>
    <cellStyle name="Normal 58 3 3 2 2 2" xfId="18146" xr:uid="{00000000-0005-0000-0000-00008F5A0000}"/>
    <cellStyle name="Normal 58 3 3 2 2 2 2" xfId="34720" xr:uid="{00000000-0005-0000-0000-0000905A0000}"/>
    <cellStyle name="Normal 58 3 3 2 2 3" xfId="26673" xr:uid="{00000000-0005-0000-0000-0000915A0000}"/>
    <cellStyle name="Normal 58 3 3 2 3" xfId="14344" xr:uid="{00000000-0005-0000-0000-0000925A0000}"/>
    <cellStyle name="Normal 58 3 3 2 3 2" xfId="30890" xr:uid="{00000000-0005-0000-0000-0000935A0000}"/>
    <cellStyle name="Normal 58 3 3 2 4" xfId="22847" xr:uid="{00000000-0005-0000-0000-0000945A0000}"/>
    <cellStyle name="Normal 58 3 3 3" xfId="8972" xr:uid="{00000000-0005-0000-0000-0000955A0000}"/>
    <cellStyle name="Normal 58 3 3 3 2" xfId="18147" xr:uid="{00000000-0005-0000-0000-0000965A0000}"/>
    <cellStyle name="Normal 58 3 3 3 2 2" xfId="34721" xr:uid="{00000000-0005-0000-0000-0000975A0000}"/>
    <cellStyle name="Normal 58 3 3 3 3" xfId="26674" xr:uid="{00000000-0005-0000-0000-0000985A0000}"/>
    <cellStyle name="Normal 58 3 3 4" xfId="14343" xr:uid="{00000000-0005-0000-0000-0000995A0000}"/>
    <cellStyle name="Normal 58 3 3 4 2" xfId="30889" xr:uid="{00000000-0005-0000-0000-00009A5A0000}"/>
    <cellStyle name="Normal 58 3 3 5" xfId="22846" xr:uid="{00000000-0005-0000-0000-00009B5A0000}"/>
    <cellStyle name="Normal 58 3 4" xfId="5011" xr:uid="{00000000-0005-0000-0000-00009C5A0000}"/>
    <cellStyle name="Normal 58 3 4 2" xfId="8973" xr:uid="{00000000-0005-0000-0000-00009D5A0000}"/>
    <cellStyle name="Normal 58 3 4 2 2" xfId="18148" xr:uid="{00000000-0005-0000-0000-00009E5A0000}"/>
    <cellStyle name="Normal 58 3 4 2 2 2" xfId="34722" xr:uid="{00000000-0005-0000-0000-00009F5A0000}"/>
    <cellStyle name="Normal 58 3 4 2 3" xfId="26675" xr:uid="{00000000-0005-0000-0000-0000A05A0000}"/>
    <cellStyle name="Normal 58 3 4 3" xfId="14345" xr:uid="{00000000-0005-0000-0000-0000A15A0000}"/>
    <cellStyle name="Normal 58 3 4 3 2" xfId="30891" xr:uid="{00000000-0005-0000-0000-0000A25A0000}"/>
    <cellStyle name="Normal 58 3 4 4" xfId="22848" xr:uid="{00000000-0005-0000-0000-0000A35A0000}"/>
    <cellStyle name="Normal 58 3 5" xfId="5012" xr:uid="{00000000-0005-0000-0000-0000A45A0000}"/>
    <cellStyle name="Normal 58 3 5 2" xfId="14346" xr:uid="{00000000-0005-0000-0000-0000A55A0000}"/>
    <cellStyle name="Normal 58 3 5 2 2" xfId="30892" xr:uid="{00000000-0005-0000-0000-0000A65A0000}"/>
    <cellStyle name="Normal 58 3 5 3" xfId="22849" xr:uid="{00000000-0005-0000-0000-0000A75A0000}"/>
    <cellStyle name="Normal 58 4" xfId="5013" xr:uid="{00000000-0005-0000-0000-0000A85A0000}"/>
    <cellStyle name="Normal 58 4 2" xfId="5014" xr:uid="{00000000-0005-0000-0000-0000A95A0000}"/>
    <cellStyle name="Normal 58 4 2 2" xfId="5015" xr:uid="{00000000-0005-0000-0000-0000AA5A0000}"/>
    <cellStyle name="Normal 58 4 2 2 2" xfId="5016" xr:uid="{00000000-0005-0000-0000-0000AB5A0000}"/>
    <cellStyle name="Normal 58 4 2 2 2 2" xfId="8974" xr:uid="{00000000-0005-0000-0000-0000AC5A0000}"/>
    <cellStyle name="Normal 58 4 2 2 2 2 2" xfId="18149" xr:uid="{00000000-0005-0000-0000-0000AD5A0000}"/>
    <cellStyle name="Normal 58 4 2 2 2 2 2 2" xfId="34723" xr:uid="{00000000-0005-0000-0000-0000AE5A0000}"/>
    <cellStyle name="Normal 58 4 2 2 2 2 3" xfId="26676" xr:uid="{00000000-0005-0000-0000-0000AF5A0000}"/>
    <cellStyle name="Normal 58 4 2 2 2 3" xfId="14350" xr:uid="{00000000-0005-0000-0000-0000B05A0000}"/>
    <cellStyle name="Normal 58 4 2 2 2 3 2" xfId="30896" xr:uid="{00000000-0005-0000-0000-0000B15A0000}"/>
    <cellStyle name="Normal 58 4 2 2 2 4" xfId="22853" xr:uid="{00000000-0005-0000-0000-0000B25A0000}"/>
    <cellStyle name="Normal 58 4 2 2 3" xfId="8975" xr:uid="{00000000-0005-0000-0000-0000B35A0000}"/>
    <cellStyle name="Normal 58 4 2 2 3 2" xfId="18150" xr:uid="{00000000-0005-0000-0000-0000B45A0000}"/>
    <cellStyle name="Normal 58 4 2 2 3 2 2" xfId="34724" xr:uid="{00000000-0005-0000-0000-0000B55A0000}"/>
    <cellStyle name="Normal 58 4 2 2 3 3" xfId="26677" xr:uid="{00000000-0005-0000-0000-0000B65A0000}"/>
    <cellStyle name="Normal 58 4 2 2 4" xfId="14349" xr:uid="{00000000-0005-0000-0000-0000B75A0000}"/>
    <cellStyle name="Normal 58 4 2 2 4 2" xfId="30895" xr:uid="{00000000-0005-0000-0000-0000B85A0000}"/>
    <cellStyle name="Normal 58 4 2 2 5" xfId="22852" xr:uid="{00000000-0005-0000-0000-0000B95A0000}"/>
    <cellStyle name="Normal 58 4 2 3" xfId="5017" xr:uid="{00000000-0005-0000-0000-0000BA5A0000}"/>
    <cellStyle name="Normal 58 4 2 3 2" xfId="8976" xr:uid="{00000000-0005-0000-0000-0000BB5A0000}"/>
    <cellStyle name="Normal 58 4 2 3 2 2" xfId="18151" xr:uid="{00000000-0005-0000-0000-0000BC5A0000}"/>
    <cellStyle name="Normal 58 4 2 3 2 2 2" xfId="34725" xr:uid="{00000000-0005-0000-0000-0000BD5A0000}"/>
    <cellStyle name="Normal 58 4 2 3 2 3" xfId="26678" xr:uid="{00000000-0005-0000-0000-0000BE5A0000}"/>
    <cellStyle name="Normal 58 4 2 3 3" xfId="14351" xr:uid="{00000000-0005-0000-0000-0000BF5A0000}"/>
    <cellStyle name="Normal 58 4 2 3 3 2" xfId="30897" xr:uid="{00000000-0005-0000-0000-0000C05A0000}"/>
    <cellStyle name="Normal 58 4 2 3 4" xfId="22854" xr:uid="{00000000-0005-0000-0000-0000C15A0000}"/>
    <cellStyle name="Normal 58 4 2 4" xfId="8977" xr:uid="{00000000-0005-0000-0000-0000C25A0000}"/>
    <cellStyle name="Normal 58 4 2 4 2" xfId="18152" xr:uid="{00000000-0005-0000-0000-0000C35A0000}"/>
    <cellStyle name="Normal 58 4 2 4 2 2" xfId="34726" xr:uid="{00000000-0005-0000-0000-0000C45A0000}"/>
    <cellStyle name="Normal 58 4 2 4 3" xfId="26679" xr:uid="{00000000-0005-0000-0000-0000C55A0000}"/>
    <cellStyle name="Normal 58 4 2 5" xfId="14348" xr:uid="{00000000-0005-0000-0000-0000C65A0000}"/>
    <cellStyle name="Normal 58 4 2 5 2" xfId="30894" xr:uid="{00000000-0005-0000-0000-0000C75A0000}"/>
    <cellStyle name="Normal 58 4 2 6" xfId="22851" xr:uid="{00000000-0005-0000-0000-0000C85A0000}"/>
    <cellStyle name="Normal 58 4 3" xfId="5018" xr:uid="{00000000-0005-0000-0000-0000C95A0000}"/>
    <cellStyle name="Normal 58 4 3 2" xfId="5019" xr:uid="{00000000-0005-0000-0000-0000CA5A0000}"/>
    <cellStyle name="Normal 58 4 3 2 2" xfId="8978" xr:uid="{00000000-0005-0000-0000-0000CB5A0000}"/>
    <cellStyle name="Normal 58 4 3 2 2 2" xfId="18153" xr:uid="{00000000-0005-0000-0000-0000CC5A0000}"/>
    <cellStyle name="Normal 58 4 3 2 2 2 2" xfId="34727" xr:uid="{00000000-0005-0000-0000-0000CD5A0000}"/>
    <cellStyle name="Normal 58 4 3 2 2 3" xfId="26680" xr:uid="{00000000-0005-0000-0000-0000CE5A0000}"/>
    <cellStyle name="Normal 58 4 3 2 3" xfId="14353" xr:uid="{00000000-0005-0000-0000-0000CF5A0000}"/>
    <cellStyle name="Normal 58 4 3 2 3 2" xfId="30899" xr:uid="{00000000-0005-0000-0000-0000D05A0000}"/>
    <cellStyle name="Normal 58 4 3 2 4" xfId="22856" xr:uid="{00000000-0005-0000-0000-0000D15A0000}"/>
    <cellStyle name="Normal 58 4 3 3" xfId="8979" xr:uid="{00000000-0005-0000-0000-0000D25A0000}"/>
    <cellStyle name="Normal 58 4 3 3 2" xfId="18154" xr:uid="{00000000-0005-0000-0000-0000D35A0000}"/>
    <cellStyle name="Normal 58 4 3 3 2 2" xfId="34728" xr:uid="{00000000-0005-0000-0000-0000D45A0000}"/>
    <cellStyle name="Normal 58 4 3 3 3" xfId="26681" xr:uid="{00000000-0005-0000-0000-0000D55A0000}"/>
    <cellStyle name="Normal 58 4 3 4" xfId="14352" xr:uid="{00000000-0005-0000-0000-0000D65A0000}"/>
    <cellStyle name="Normal 58 4 3 4 2" xfId="30898" xr:uid="{00000000-0005-0000-0000-0000D75A0000}"/>
    <cellStyle name="Normal 58 4 3 5" xfId="22855" xr:uid="{00000000-0005-0000-0000-0000D85A0000}"/>
    <cellStyle name="Normal 58 4 4" xfId="5020" xr:uid="{00000000-0005-0000-0000-0000D95A0000}"/>
    <cellStyle name="Normal 58 4 4 2" xfId="8980" xr:uid="{00000000-0005-0000-0000-0000DA5A0000}"/>
    <cellStyle name="Normal 58 4 4 2 2" xfId="18155" xr:uid="{00000000-0005-0000-0000-0000DB5A0000}"/>
    <cellStyle name="Normal 58 4 4 2 2 2" xfId="34729" xr:uid="{00000000-0005-0000-0000-0000DC5A0000}"/>
    <cellStyle name="Normal 58 4 4 2 3" xfId="26682" xr:uid="{00000000-0005-0000-0000-0000DD5A0000}"/>
    <cellStyle name="Normal 58 4 4 3" xfId="14354" xr:uid="{00000000-0005-0000-0000-0000DE5A0000}"/>
    <cellStyle name="Normal 58 4 4 3 2" xfId="30900" xr:uid="{00000000-0005-0000-0000-0000DF5A0000}"/>
    <cellStyle name="Normal 58 4 4 4" xfId="22857" xr:uid="{00000000-0005-0000-0000-0000E05A0000}"/>
    <cellStyle name="Normal 58 4 5" xfId="8981" xr:uid="{00000000-0005-0000-0000-0000E15A0000}"/>
    <cellStyle name="Normal 58 4 5 2" xfId="18156" xr:uid="{00000000-0005-0000-0000-0000E25A0000}"/>
    <cellStyle name="Normal 58 4 5 2 2" xfId="34730" xr:uid="{00000000-0005-0000-0000-0000E35A0000}"/>
    <cellStyle name="Normal 58 4 5 3" xfId="26683" xr:uid="{00000000-0005-0000-0000-0000E45A0000}"/>
    <cellStyle name="Normal 58 4 6" xfId="14347" xr:uid="{00000000-0005-0000-0000-0000E55A0000}"/>
    <cellStyle name="Normal 58 4 6 2" xfId="30893" xr:uid="{00000000-0005-0000-0000-0000E65A0000}"/>
    <cellStyle name="Normal 58 4 7" xfId="22850" xr:uid="{00000000-0005-0000-0000-0000E75A0000}"/>
    <cellStyle name="Normal 58 5" xfId="5021" xr:uid="{00000000-0005-0000-0000-0000E85A0000}"/>
    <cellStyle name="Normal 58 5 2" xfId="5022" xr:uid="{00000000-0005-0000-0000-0000E95A0000}"/>
    <cellStyle name="Normal 58 5 2 2" xfId="5023" xr:uid="{00000000-0005-0000-0000-0000EA5A0000}"/>
    <cellStyle name="Normal 58 5 2 2 2" xfId="5024" xr:uid="{00000000-0005-0000-0000-0000EB5A0000}"/>
    <cellStyle name="Normal 58 5 2 2 2 2" xfId="8982" xr:uid="{00000000-0005-0000-0000-0000EC5A0000}"/>
    <cellStyle name="Normal 58 5 2 2 2 2 2" xfId="18157" xr:uid="{00000000-0005-0000-0000-0000ED5A0000}"/>
    <cellStyle name="Normal 58 5 2 2 2 2 2 2" xfId="34731" xr:uid="{00000000-0005-0000-0000-0000EE5A0000}"/>
    <cellStyle name="Normal 58 5 2 2 2 2 3" xfId="26684" xr:uid="{00000000-0005-0000-0000-0000EF5A0000}"/>
    <cellStyle name="Normal 58 5 2 2 2 3" xfId="14358" xr:uid="{00000000-0005-0000-0000-0000F05A0000}"/>
    <cellStyle name="Normal 58 5 2 2 2 3 2" xfId="30904" xr:uid="{00000000-0005-0000-0000-0000F15A0000}"/>
    <cellStyle name="Normal 58 5 2 2 2 4" xfId="22861" xr:uid="{00000000-0005-0000-0000-0000F25A0000}"/>
    <cellStyle name="Normal 58 5 2 2 3" xfId="8983" xr:uid="{00000000-0005-0000-0000-0000F35A0000}"/>
    <cellStyle name="Normal 58 5 2 2 3 2" xfId="18158" xr:uid="{00000000-0005-0000-0000-0000F45A0000}"/>
    <cellStyle name="Normal 58 5 2 2 3 2 2" xfId="34732" xr:uid="{00000000-0005-0000-0000-0000F55A0000}"/>
    <cellStyle name="Normal 58 5 2 2 3 3" xfId="26685" xr:uid="{00000000-0005-0000-0000-0000F65A0000}"/>
    <cellStyle name="Normal 58 5 2 2 4" xfId="14357" xr:uid="{00000000-0005-0000-0000-0000F75A0000}"/>
    <cellStyle name="Normal 58 5 2 2 4 2" xfId="30903" xr:uid="{00000000-0005-0000-0000-0000F85A0000}"/>
    <cellStyle name="Normal 58 5 2 2 5" xfId="22860" xr:uid="{00000000-0005-0000-0000-0000F95A0000}"/>
    <cellStyle name="Normal 58 5 2 3" xfId="5025" xr:uid="{00000000-0005-0000-0000-0000FA5A0000}"/>
    <cellStyle name="Normal 58 5 2 3 2" xfId="8984" xr:uid="{00000000-0005-0000-0000-0000FB5A0000}"/>
    <cellStyle name="Normal 58 5 2 3 2 2" xfId="18159" xr:uid="{00000000-0005-0000-0000-0000FC5A0000}"/>
    <cellStyle name="Normal 58 5 2 3 2 2 2" xfId="34733" xr:uid="{00000000-0005-0000-0000-0000FD5A0000}"/>
    <cellStyle name="Normal 58 5 2 3 2 3" xfId="26686" xr:uid="{00000000-0005-0000-0000-0000FE5A0000}"/>
    <cellStyle name="Normal 58 5 2 3 3" xfId="14359" xr:uid="{00000000-0005-0000-0000-0000FF5A0000}"/>
    <cellStyle name="Normal 58 5 2 3 3 2" xfId="30905" xr:uid="{00000000-0005-0000-0000-0000005B0000}"/>
    <cellStyle name="Normal 58 5 2 3 4" xfId="22862" xr:uid="{00000000-0005-0000-0000-0000015B0000}"/>
    <cellStyle name="Normal 58 5 2 4" xfId="8985" xr:uid="{00000000-0005-0000-0000-0000025B0000}"/>
    <cellStyle name="Normal 58 5 2 4 2" xfId="18160" xr:uid="{00000000-0005-0000-0000-0000035B0000}"/>
    <cellStyle name="Normal 58 5 2 4 2 2" xfId="34734" xr:uid="{00000000-0005-0000-0000-0000045B0000}"/>
    <cellStyle name="Normal 58 5 2 4 3" xfId="26687" xr:uid="{00000000-0005-0000-0000-0000055B0000}"/>
    <cellStyle name="Normal 58 5 2 5" xfId="14356" xr:uid="{00000000-0005-0000-0000-0000065B0000}"/>
    <cellStyle name="Normal 58 5 2 5 2" xfId="30902" xr:uid="{00000000-0005-0000-0000-0000075B0000}"/>
    <cellStyle name="Normal 58 5 2 6" xfId="22859" xr:uid="{00000000-0005-0000-0000-0000085B0000}"/>
    <cellStyle name="Normal 58 5 3" xfId="5026" xr:uid="{00000000-0005-0000-0000-0000095B0000}"/>
    <cellStyle name="Normal 58 5 3 2" xfId="5027" xr:uid="{00000000-0005-0000-0000-00000A5B0000}"/>
    <cellStyle name="Normal 58 5 3 2 2" xfId="8986" xr:uid="{00000000-0005-0000-0000-00000B5B0000}"/>
    <cellStyle name="Normal 58 5 3 2 2 2" xfId="18161" xr:uid="{00000000-0005-0000-0000-00000C5B0000}"/>
    <cellStyle name="Normal 58 5 3 2 2 2 2" xfId="34735" xr:uid="{00000000-0005-0000-0000-00000D5B0000}"/>
    <cellStyle name="Normal 58 5 3 2 2 3" xfId="26688" xr:uid="{00000000-0005-0000-0000-00000E5B0000}"/>
    <cellStyle name="Normal 58 5 3 2 3" xfId="14361" xr:uid="{00000000-0005-0000-0000-00000F5B0000}"/>
    <cellStyle name="Normal 58 5 3 2 3 2" xfId="30907" xr:uid="{00000000-0005-0000-0000-0000105B0000}"/>
    <cellStyle name="Normal 58 5 3 2 4" xfId="22864" xr:uid="{00000000-0005-0000-0000-0000115B0000}"/>
    <cellStyle name="Normal 58 5 3 3" xfId="8987" xr:uid="{00000000-0005-0000-0000-0000125B0000}"/>
    <cellStyle name="Normal 58 5 3 3 2" xfId="18162" xr:uid="{00000000-0005-0000-0000-0000135B0000}"/>
    <cellStyle name="Normal 58 5 3 3 2 2" xfId="34736" xr:uid="{00000000-0005-0000-0000-0000145B0000}"/>
    <cellStyle name="Normal 58 5 3 3 3" xfId="26689" xr:uid="{00000000-0005-0000-0000-0000155B0000}"/>
    <cellStyle name="Normal 58 5 3 4" xfId="14360" xr:uid="{00000000-0005-0000-0000-0000165B0000}"/>
    <cellStyle name="Normal 58 5 3 4 2" xfId="30906" xr:uid="{00000000-0005-0000-0000-0000175B0000}"/>
    <cellStyle name="Normal 58 5 3 5" xfId="22863" xr:uid="{00000000-0005-0000-0000-0000185B0000}"/>
    <cellStyle name="Normal 58 5 4" xfId="5028" xr:uid="{00000000-0005-0000-0000-0000195B0000}"/>
    <cellStyle name="Normal 58 5 4 2" xfId="8988" xr:uid="{00000000-0005-0000-0000-00001A5B0000}"/>
    <cellStyle name="Normal 58 5 4 2 2" xfId="18163" xr:uid="{00000000-0005-0000-0000-00001B5B0000}"/>
    <cellStyle name="Normal 58 5 4 2 2 2" xfId="34737" xr:uid="{00000000-0005-0000-0000-00001C5B0000}"/>
    <cellStyle name="Normal 58 5 4 2 3" xfId="26690" xr:uid="{00000000-0005-0000-0000-00001D5B0000}"/>
    <cellStyle name="Normal 58 5 4 3" xfId="14362" xr:uid="{00000000-0005-0000-0000-00001E5B0000}"/>
    <cellStyle name="Normal 58 5 4 3 2" xfId="30908" xr:uid="{00000000-0005-0000-0000-00001F5B0000}"/>
    <cellStyle name="Normal 58 5 4 4" xfId="22865" xr:uid="{00000000-0005-0000-0000-0000205B0000}"/>
    <cellStyle name="Normal 58 5 5" xfId="8989" xr:uid="{00000000-0005-0000-0000-0000215B0000}"/>
    <cellStyle name="Normal 58 5 5 2" xfId="18164" xr:uid="{00000000-0005-0000-0000-0000225B0000}"/>
    <cellStyle name="Normal 58 5 5 2 2" xfId="34738" xr:uid="{00000000-0005-0000-0000-0000235B0000}"/>
    <cellStyle name="Normal 58 5 5 3" xfId="26691" xr:uid="{00000000-0005-0000-0000-0000245B0000}"/>
    <cellStyle name="Normal 58 5 6" xfId="14355" xr:uid="{00000000-0005-0000-0000-0000255B0000}"/>
    <cellStyle name="Normal 58 5 6 2" xfId="30901" xr:uid="{00000000-0005-0000-0000-0000265B0000}"/>
    <cellStyle name="Normal 58 5 7" xfId="22858" xr:uid="{00000000-0005-0000-0000-0000275B0000}"/>
    <cellStyle name="Normal 58 6" xfId="5029" xr:uid="{00000000-0005-0000-0000-0000285B0000}"/>
    <cellStyle name="Normal 58 6 2" xfId="5030" xr:uid="{00000000-0005-0000-0000-0000295B0000}"/>
    <cellStyle name="Normal 58 6 2 2" xfId="5031" xr:uid="{00000000-0005-0000-0000-00002A5B0000}"/>
    <cellStyle name="Normal 58 6 2 2 2" xfId="8990" xr:uid="{00000000-0005-0000-0000-00002B5B0000}"/>
    <cellStyle name="Normal 58 6 2 2 2 2" xfId="18165" xr:uid="{00000000-0005-0000-0000-00002C5B0000}"/>
    <cellStyle name="Normal 58 6 2 2 2 2 2" xfId="34739" xr:uid="{00000000-0005-0000-0000-00002D5B0000}"/>
    <cellStyle name="Normal 58 6 2 2 2 3" xfId="26692" xr:uid="{00000000-0005-0000-0000-00002E5B0000}"/>
    <cellStyle name="Normal 58 6 2 2 3" xfId="14365" xr:uid="{00000000-0005-0000-0000-00002F5B0000}"/>
    <cellStyle name="Normal 58 6 2 2 3 2" xfId="30911" xr:uid="{00000000-0005-0000-0000-0000305B0000}"/>
    <cellStyle name="Normal 58 6 2 2 4" xfId="22868" xr:uid="{00000000-0005-0000-0000-0000315B0000}"/>
    <cellStyle name="Normal 58 6 2 3" xfId="8991" xr:uid="{00000000-0005-0000-0000-0000325B0000}"/>
    <cellStyle name="Normal 58 6 2 3 2" xfId="18166" xr:uid="{00000000-0005-0000-0000-0000335B0000}"/>
    <cellStyle name="Normal 58 6 2 3 2 2" xfId="34740" xr:uid="{00000000-0005-0000-0000-0000345B0000}"/>
    <cellStyle name="Normal 58 6 2 3 3" xfId="26693" xr:uid="{00000000-0005-0000-0000-0000355B0000}"/>
    <cellStyle name="Normal 58 6 2 4" xfId="14364" xr:uid="{00000000-0005-0000-0000-0000365B0000}"/>
    <cellStyle name="Normal 58 6 2 4 2" xfId="30910" xr:uid="{00000000-0005-0000-0000-0000375B0000}"/>
    <cellStyle name="Normal 58 6 2 5" xfId="22867" xr:uid="{00000000-0005-0000-0000-0000385B0000}"/>
    <cellStyle name="Normal 58 6 3" xfId="5032" xr:uid="{00000000-0005-0000-0000-0000395B0000}"/>
    <cellStyle name="Normal 58 6 3 2" xfId="8992" xr:uid="{00000000-0005-0000-0000-00003A5B0000}"/>
    <cellStyle name="Normal 58 6 3 2 2" xfId="18167" xr:uid="{00000000-0005-0000-0000-00003B5B0000}"/>
    <cellStyle name="Normal 58 6 3 2 2 2" xfId="34741" xr:uid="{00000000-0005-0000-0000-00003C5B0000}"/>
    <cellStyle name="Normal 58 6 3 2 3" xfId="26694" xr:uid="{00000000-0005-0000-0000-00003D5B0000}"/>
    <cellStyle name="Normal 58 6 3 3" xfId="14366" xr:uid="{00000000-0005-0000-0000-00003E5B0000}"/>
    <cellStyle name="Normal 58 6 3 3 2" xfId="30912" xr:uid="{00000000-0005-0000-0000-00003F5B0000}"/>
    <cellStyle name="Normal 58 6 3 4" xfId="22869" xr:uid="{00000000-0005-0000-0000-0000405B0000}"/>
    <cellStyle name="Normal 58 6 4" xfId="8993" xr:uid="{00000000-0005-0000-0000-0000415B0000}"/>
    <cellStyle name="Normal 58 6 4 2" xfId="18168" xr:uid="{00000000-0005-0000-0000-0000425B0000}"/>
    <cellStyle name="Normal 58 6 4 2 2" xfId="34742" xr:uid="{00000000-0005-0000-0000-0000435B0000}"/>
    <cellStyle name="Normal 58 6 4 3" xfId="26695" xr:uid="{00000000-0005-0000-0000-0000445B0000}"/>
    <cellStyle name="Normal 58 6 5" xfId="14363" xr:uid="{00000000-0005-0000-0000-0000455B0000}"/>
    <cellStyle name="Normal 58 6 5 2" xfId="30909" xr:uid="{00000000-0005-0000-0000-0000465B0000}"/>
    <cellStyle name="Normal 58 6 6" xfId="22866" xr:uid="{00000000-0005-0000-0000-0000475B0000}"/>
    <cellStyle name="Normal 58 7" xfId="5033" xr:uid="{00000000-0005-0000-0000-0000485B0000}"/>
    <cellStyle name="Normal 58 7 2" xfId="5034" xr:uid="{00000000-0005-0000-0000-0000495B0000}"/>
    <cellStyle name="Normal 58 7 2 2" xfId="8994" xr:uid="{00000000-0005-0000-0000-00004A5B0000}"/>
    <cellStyle name="Normal 58 7 2 2 2" xfId="18169" xr:uid="{00000000-0005-0000-0000-00004B5B0000}"/>
    <cellStyle name="Normal 58 7 2 2 2 2" xfId="34743" xr:uid="{00000000-0005-0000-0000-00004C5B0000}"/>
    <cellStyle name="Normal 58 7 2 2 3" xfId="26696" xr:uid="{00000000-0005-0000-0000-00004D5B0000}"/>
    <cellStyle name="Normal 58 7 2 3" xfId="14368" xr:uid="{00000000-0005-0000-0000-00004E5B0000}"/>
    <cellStyle name="Normal 58 7 2 3 2" xfId="30914" xr:uid="{00000000-0005-0000-0000-00004F5B0000}"/>
    <cellStyle name="Normal 58 7 2 4" xfId="22871" xr:uid="{00000000-0005-0000-0000-0000505B0000}"/>
    <cellStyle name="Normal 58 7 3" xfId="8995" xr:uid="{00000000-0005-0000-0000-0000515B0000}"/>
    <cellStyle name="Normal 58 7 3 2" xfId="18170" xr:uid="{00000000-0005-0000-0000-0000525B0000}"/>
    <cellStyle name="Normal 58 7 3 2 2" xfId="34744" xr:uid="{00000000-0005-0000-0000-0000535B0000}"/>
    <cellStyle name="Normal 58 7 3 3" xfId="26697" xr:uid="{00000000-0005-0000-0000-0000545B0000}"/>
    <cellStyle name="Normal 58 7 4" xfId="14367" xr:uid="{00000000-0005-0000-0000-0000555B0000}"/>
    <cellStyle name="Normal 58 7 4 2" xfId="30913" xr:uid="{00000000-0005-0000-0000-0000565B0000}"/>
    <cellStyle name="Normal 58 7 5" xfId="22870" xr:uid="{00000000-0005-0000-0000-0000575B0000}"/>
    <cellStyle name="Normal 58 8" xfId="5035" xr:uid="{00000000-0005-0000-0000-0000585B0000}"/>
    <cellStyle name="Normal 58 8 2" xfId="8996" xr:uid="{00000000-0005-0000-0000-0000595B0000}"/>
    <cellStyle name="Normal 58 8 2 2" xfId="18171" xr:uid="{00000000-0005-0000-0000-00005A5B0000}"/>
    <cellStyle name="Normal 58 8 2 2 2" xfId="34745" xr:uid="{00000000-0005-0000-0000-00005B5B0000}"/>
    <cellStyle name="Normal 58 8 2 3" xfId="26698" xr:uid="{00000000-0005-0000-0000-00005C5B0000}"/>
    <cellStyle name="Normal 58 8 3" xfId="14369" xr:uid="{00000000-0005-0000-0000-00005D5B0000}"/>
    <cellStyle name="Normal 58 8 3 2" xfId="30915" xr:uid="{00000000-0005-0000-0000-00005E5B0000}"/>
    <cellStyle name="Normal 58 8 4" xfId="22872" xr:uid="{00000000-0005-0000-0000-00005F5B0000}"/>
    <cellStyle name="Normal 58 9" xfId="8997" xr:uid="{00000000-0005-0000-0000-0000605B0000}"/>
    <cellStyle name="Normal 58 9 2" xfId="18172" xr:uid="{00000000-0005-0000-0000-0000615B0000}"/>
    <cellStyle name="Normal 58 9 2 2" xfId="34746" xr:uid="{00000000-0005-0000-0000-0000625B0000}"/>
    <cellStyle name="Normal 58 9 3" xfId="26699" xr:uid="{00000000-0005-0000-0000-0000635B0000}"/>
    <cellStyle name="Normal 59" xfId="5036" xr:uid="{00000000-0005-0000-0000-0000645B0000}"/>
    <cellStyle name="Normal 59 10" xfId="14370" xr:uid="{00000000-0005-0000-0000-0000655B0000}"/>
    <cellStyle name="Normal 59 10 2" xfId="30916" xr:uid="{00000000-0005-0000-0000-0000665B0000}"/>
    <cellStyle name="Normal 59 11" xfId="22873" xr:uid="{00000000-0005-0000-0000-0000675B0000}"/>
    <cellStyle name="Normal 59 2" xfId="5037" xr:uid="{00000000-0005-0000-0000-0000685B0000}"/>
    <cellStyle name="Normal 59 2 2" xfId="5038" xr:uid="{00000000-0005-0000-0000-0000695B0000}"/>
    <cellStyle name="Normal 59 2 3" xfId="14371" xr:uid="{00000000-0005-0000-0000-00006A5B0000}"/>
    <cellStyle name="Normal 59 2 3 2" xfId="30917" xr:uid="{00000000-0005-0000-0000-00006B5B0000}"/>
    <cellStyle name="Normal 59 2 4" xfId="22874" xr:uid="{00000000-0005-0000-0000-00006C5B0000}"/>
    <cellStyle name="Normal 59 3" xfId="5039" xr:uid="{00000000-0005-0000-0000-00006D5B0000}"/>
    <cellStyle name="Normal 59 3 2" xfId="5040" xr:uid="{00000000-0005-0000-0000-00006E5B0000}"/>
    <cellStyle name="Normal 59 3 2 2" xfId="5041" xr:uid="{00000000-0005-0000-0000-00006F5B0000}"/>
    <cellStyle name="Normal 59 3 2 2 2" xfId="5042" xr:uid="{00000000-0005-0000-0000-0000705B0000}"/>
    <cellStyle name="Normal 59 3 2 2 2 2" xfId="8998" xr:uid="{00000000-0005-0000-0000-0000715B0000}"/>
    <cellStyle name="Normal 59 3 2 2 2 2 2" xfId="18173" xr:uid="{00000000-0005-0000-0000-0000725B0000}"/>
    <cellStyle name="Normal 59 3 2 2 2 2 2 2" xfId="34747" xr:uid="{00000000-0005-0000-0000-0000735B0000}"/>
    <cellStyle name="Normal 59 3 2 2 2 2 3" xfId="26700" xr:uid="{00000000-0005-0000-0000-0000745B0000}"/>
    <cellStyle name="Normal 59 3 2 2 2 3" xfId="14374" xr:uid="{00000000-0005-0000-0000-0000755B0000}"/>
    <cellStyle name="Normal 59 3 2 2 2 3 2" xfId="30920" xr:uid="{00000000-0005-0000-0000-0000765B0000}"/>
    <cellStyle name="Normal 59 3 2 2 2 4" xfId="22877" xr:uid="{00000000-0005-0000-0000-0000775B0000}"/>
    <cellStyle name="Normal 59 3 2 2 3" xfId="8999" xr:uid="{00000000-0005-0000-0000-0000785B0000}"/>
    <cellStyle name="Normal 59 3 2 2 3 2" xfId="18174" xr:uid="{00000000-0005-0000-0000-0000795B0000}"/>
    <cellStyle name="Normal 59 3 2 2 3 2 2" xfId="34748" xr:uid="{00000000-0005-0000-0000-00007A5B0000}"/>
    <cellStyle name="Normal 59 3 2 2 3 3" xfId="26701" xr:uid="{00000000-0005-0000-0000-00007B5B0000}"/>
    <cellStyle name="Normal 59 3 2 2 4" xfId="14373" xr:uid="{00000000-0005-0000-0000-00007C5B0000}"/>
    <cellStyle name="Normal 59 3 2 2 4 2" xfId="30919" xr:uid="{00000000-0005-0000-0000-00007D5B0000}"/>
    <cellStyle name="Normal 59 3 2 2 5" xfId="22876" xr:uid="{00000000-0005-0000-0000-00007E5B0000}"/>
    <cellStyle name="Normal 59 3 2 3" xfId="5043" xr:uid="{00000000-0005-0000-0000-00007F5B0000}"/>
    <cellStyle name="Normal 59 3 2 3 2" xfId="9000" xr:uid="{00000000-0005-0000-0000-0000805B0000}"/>
    <cellStyle name="Normal 59 3 2 3 2 2" xfId="18175" xr:uid="{00000000-0005-0000-0000-0000815B0000}"/>
    <cellStyle name="Normal 59 3 2 3 2 2 2" xfId="34749" xr:uid="{00000000-0005-0000-0000-0000825B0000}"/>
    <cellStyle name="Normal 59 3 2 3 2 3" xfId="26702" xr:uid="{00000000-0005-0000-0000-0000835B0000}"/>
    <cellStyle name="Normal 59 3 2 3 3" xfId="14375" xr:uid="{00000000-0005-0000-0000-0000845B0000}"/>
    <cellStyle name="Normal 59 3 2 3 3 2" xfId="30921" xr:uid="{00000000-0005-0000-0000-0000855B0000}"/>
    <cellStyle name="Normal 59 3 2 3 4" xfId="22878" xr:uid="{00000000-0005-0000-0000-0000865B0000}"/>
    <cellStyle name="Normal 59 3 2 4" xfId="9001" xr:uid="{00000000-0005-0000-0000-0000875B0000}"/>
    <cellStyle name="Normal 59 3 2 4 2" xfId="18176" xr:uid="{00000000-0005-0000-0000-0000885B0000}"/>
    <cellStyle name="Normal 59 3 2 4 2 2" xfId="34750" xr:uid="{00000000-0005-0000-0000-0000895B0000}"/>
    <cellStyle name="Normal 59 3 2 4 3" xfId="26703" xr:uid="{00000000-0005-0000-0000-00008A5B0000}"/>
    <cellStyle name="Normal 59 3 2 5" xfId="14372" xr:uid="{00000000-0005-0000-0000-00008B5B0000}"/>
    <cellStyle name="Normal 59 3 2 5 2" xfId="30918" xr:uid="{00000000-0005-0000-0000-00008C5B0000}"/>
    <cellStyle name="Normal 59 3 2 6" xfId="22875" xr:uid="{00000000-0005-0000-0000-00008D5B0000}"/>
    <cellStyle name="Normal 59 3 3" xfId="5044" xr:uid="{00000000-0005-0000-0000-00008E5B0000}"/>
    <cellStyle name="Normal 59 3 3 2" xfId="5045" xr:uid="{00000000-0005-0000-0000-00008F5B0000}"/>
    <cellStyle name="Normal 59 3 3 2 2" xfId="9002" xr:uid="{00000000-0005-0000-0000-0000905B0000}"/>
    <cellStyle name="Normal 59 3 3 2 2 2" xfId="18177" xr:uid="{00000000-0005-0000-0000-0000915B0000}"/>
    <cellStyle name="Normal 59 3 3 2 2 2 2" xfId="34751" xr:uid="{00000000-0005-0000-0000-0000925B0000}"/>
    <cellStyle name="Normal 59 3 3 2 2 3" xfId="26704" xr:uid="{00000000-0005-0000-0000-0000935B0000}"/>
    <cellStyle name="Normal 59 3 3 2 3" xfId="14377" xr:uid="{00000000-0005-0000-0000-0000945B0000}"/>
    <cellStyle name="Normal 59 3 3 2 3 2" xfId="30923" xr:uid="{00000000-0005-0000-0000-0000955B0000}"/>
    <cellStyle name="Normal 59 3 3 2 4" xfId="22880" xr:uid="{00000000-0005-0000-0000-0000965B0000}"/>
    <cellStyle name="Normal 59 3 3 3" xfId="9003" xr:uid="{00000000-0005-0000-0000-0000975B0000}"/>
    <cellStyle name="Normal 59 3 3 3 2" xfId="18178" xr:uid="{00000000-0005-0000-0000-0000985B0000}"/>
    <cellStyle name="Normal 59 3 3 3 2 2" xfId="34752" xr:uid="{00000000-0005-0000-0000-0000995B0000}"/>
    <cellStyle name="Normal 59 3 3 3 3" xfId="26705" xr:uid="{00000000-0005-0000-0000-00009A5B0000}"/>
    <cellStyle name="Normal 59 3 3 4" xfId="14376" xr:uid="{00000000-0005-0000-0000-00009B5B0000}"/>
    <cellStyle name="Normal 59 3 3 4 2" xfId="30922" xr:uid="{00000000-0005-0000-0000-00009C5B0000}"/>
    <cellStyle name="Normal 59 3 3 5" xfId="22879" xr:uid="{00000000-0005-0000-0000-00009D5B0000}"/>
    <cellStyle name="Normal 59 3 4" xfId="5046" xr:uid="{00000000-0005-0000-0000-00009E5B0000}"/>
    <cellStyle name="Normal 59 3 4 2" xfId="9004" xr:uid="{00000000-0005-0000-0000-00009F5B0000}"/>
    <cellStyle name="Normal 59 3 4 2 2" xfId="18179" xr:uid="{00000000-0005-0000-0000-0000A05B0000}"/>
    <cellStyle name="Normal 59 3 4 2 2 2" xfId="34753" xr:uid="{00000000-0005-0000-0000-0000A15B0000}"/>
    <cellStyle name="Normal 59 3 4 2 3" xfId="26706" xr:uid="{00000000-0005-0000-0000-0000A25B0000}"/>
    <cellStyle name="Normal 59 3 4 3" xfId="14378" xr:uid="{00000000-0005-0000-0000-0000A35B0000}"/>
    <cellStyle name="Normal 59 3 4 3 2" xfId="30924" xr:uid="{00000000-0005-0000-0000-0000A45B0000}"/>
    <cellStyle name="Normal 59 3 4 4" xfId="22881" xr:uid="{00000000-0005-0000-0000-0000A55B0000}"/>
    <cellStyle name="Normal 59 3 5" xfId="5047" xr:uid="{00000000-0005-0000-0000-0000A65B0000}"/>
    <cellStyle name="Normal 59 3 5 2" xfId="14379" xr:uid="{00000000-0005-0000-0000-0000A75B0000}"/>
    <cellStyle name="Normal 59 3 5 2 2" xfId="30925" xr:uid="{00000000-0005-0000-0000-0000A85B0000}"/>
    <cellStyle name="Normal 59 3 5 3" xfId="22882" xr:uid="{00000000-0005-0000-0000-0000A95B0000}"/>
    <cellStyle name="Normal 59 4" xfId="5048" xr:uid="{00000000-0005-0000-0000-0000AA5B0000}"/>
    <cellStyle name="Normal 59 4 2" xfId="5049" xr:uid="{00000000-0005-0000-0000-0000AB5B0000}"/>
    <cellStyle name="Normal 59 4 2 2" xfId="5050" xr:uid="{00000000-0005-0000-0000-0000AC5B0000}"/>
    <cellStyle name="Normal 59 4 2 2 2" xfId="5051" xr:uid="{00000000-0005-0000-0000-0000AD5B0000}"/>
    <cellStyle name="Normal 59 4 2 2 2 2" xfId="9005" xr:uid="{00000000-0005-0000-0000-0000AE5B0000}"/>
    <cellStyle name="Normal 59 4 2 2 2 2 2" xfId="18180" xr:uid="{00000000-0005-0000-0000-0000AF5B0000}"/>
    <cellStyle name="Normal 59 4 2 2 2 2 2 2" xfId="34754" xr:uid="{00000000-0005-0000-0000-0000B05B0000}"/>
    <cellStyle name="Normal 59 4 2 2 2 2 3" xfId="26707" xr:uid="{00000000-0005-0000-0000-0000B15B0000}"/>
    <cellStyle name="Normal 59 4 2 2 2 3" xfId="14383" xr:uid="{00000000-0005-0000-0000-0000B25B0000}"/>
    <cellStyle name="Normal 59 4 2 2 2 3 2" xfId="30929" xr:uid="{00000000-0005-0000-0000-0000B35B0000}"/>
    <cellStyle name="Normal 59 4 2 2 2 4" xfId="22886" xr:uid="{00000000-0005-0000-0000-0000B45B0000}"/>
    <cellStyle name="Normal 59 4 2 2 3" xfId="9006" xr:uid="{00000000-0005-0000-0000-0000B55B0000}"/>
    <cellStyle name="Normal 59 4 2 2 3 2" xfId="18181" xr:uid="{00000000-0005-0000-0000-0000B65B0000}"/>
    <cellStyle name="Normal 59 4 2 2 3 2 2" xfId="34755" xr:uid="{00000000-0005-0000-0000-0000B75B0000}"/>
    <cellStyle name="Normal 59 4 2 2 3 3" xfId="26708" xr:uid="{00000000-0005-0000-0000-0000B85B0000}"/>
    <cellStyle name="Normal 59 4 2 2 4" xfId="14382" xr:uid="{00000000-0005-0000-0000-0000B95B0000}"/>
    <cellStyle name="Normal 59 4 2 2 4 2" xfId="30928" xr:uid="{00000000-0005-0000-0000-0000BA5B0000}"/>
    <cellStyle name="Normal 59 4 2 2 5" xfId="22885" xr:uid="{00000000-0005-0000-0000-0000BB5B0000}"/>
    <cellStyle name="Normal 59 4 2 3" xfId="5052" xr:uid="{00000000-0005-0000-0000-0000BC5B0000}"/>
    <cellStyle name="Normal 59 4 2 3 2" xfId="9007" xr:uid="{00000000-0005-0000-0000-0000BD5B0000}"/>
    <cellStyle name="Normal 59 4 2 3 2 2" xfId="18182" xr:uid="{00000000-0005-0000-0000-0000BE5B0000}"/>
    <cellStyle name="Normal 59 4 2 3 2 2 2" xfId="34756" xr:uid="{00000000-0005-0000-0000-0000BF5B0000}"/>
    <cellStyle name="Normal 59 4 2 3 2 3" xfId="26709" xr:uid="{00000000-0005-0000-0000-0000C05B0000}"/>
    <cellStyle name="Normal 59 4 2 3 3" xfId="14384" xr:uid="{00000000-0005-0000-0000-0000C15B0000}"/>
    <cellStyle name="Normal 59 4 2 3 3 2" xfId="30930" xr:uid="{00000000-0005-0000-0000-0000C25B0000}"/>
    <cellStyle name="Normal 59 4 2 3 4" xfId="22887" xr:uid="{00000000-0005-0000-0000-0000C35B0000}"/>
    <cellStyle name="Normal 59 4 2 4" xfId="9008" xr:uid="{00000000-0005-0000-0000-0000C45B0000}"/>
    <cellStyle name="Normal 59 4 2 4 2" xfId="18183" xr:uid="{00000000-0005-0000-0000-0000C55B0000}"/>
    <cellStyle name="Normal 59 4 2 4 2 2" xfId="34757" xr:uid="{00000000-0005-0000-0000-0000C65B0000}"/>
    <cellStyle name="Normal 59 4 2 4 3" xfId="26710" xr:uid="{00000000-0005-0000-0000-0000C75B0000}"/>
    <cellStyle name="Normal 59 4 2 5" xfId="14381" xr:uid="{00000000-0005-0000-0000-0000C85B0000}"/>
    <cellStyle name="Normal 59 4 2 5 2" xfId="30927" xr:uid="{00000000-0005-0000-0000-0000C95B0000}"/>
    <cellStyle name="Normal 59 4 2 6" xfId="22884" xr:uid="{00000000-0005-0000-0000-0000CA5B0000}"/>
    <cellStyle name="Normal 59 4 3" xfId="5053" xr:uid="{00000000-0005-0000-0000-0000CB5B0000}"/>
    <cellStyle name="Normal 59 4 3 2" xfId="5054" xr:uid="{00000000-0005-0000-0000-0000CC5B0000}"/>
    <cellStyle name="Normal 59 4 3 2 2" xfId="9009" xr:uid="{00000000-0005-0000-0000-0000CD5B0000}"/>
    <cellStyle name="Normal 59 4 3 2 2 2" xfId="18184" xr:uid="{00000000-0005-0000-0000-0000CE5B0000}"/>
    <cellStyle name="Normal 59 4 3 2 2 2 2" xfId="34758" xr:uid="{00000000-0005-0000-0000-0000CF5B0000}"/>
    <cellStyle name="Normal 59 4 3 2 2 3" xfId="26711" xr:uid="{00000000-0005-0000-0000-0000D05B0000}"/>
    <cellStyle name="Normal 59 4 3 2 3" xfId="14386" xr:uid="{00000000-0005-0000-0000-0000D15B0000}"/>
    <cellStyle name="Normal 59 4 3 2 3 2" xfId="30932" xr:uid="{00000000-0005-0000-0000-0000D25B0000}"/>
    <cellStyle name="Normal 59 4 3 2 4" xfId="22889" xr:uid="{00000000-0005-0000-0000-0000D35B0000}"/>
    <cellStyle name="Normal 59 4 3 3" xfId="9010" xr:uid="{00000000-0005-0000-0000-0000D45B0000}"/>
    <cellStyle name="Normal 59 4 3 3 2" xfId="18185" xr:uid="{00000000-0005-0000-0000-0000D55B0000}"/>
    <cellStyle name="Normal 59 4 3 3 2 2" xfId="34759" xr:uid="{00000000-0005-0000-0000-0000D65B0000}"/>
    <cellStyle name="Normal 59 4 3 3 3" xfId="26712" xr:uid="{00000000-0005-0000-0000-0000D75B0000}"/>
    <cellStyle name="Normal 59 4 3 4" xfId="14385" xr:uid="{00000000-0005-0000-0000-0000D85B0000}"/>
    <cellStyle name="Normal 59 4 3 4 2" xfId="30931" xr:uid="{00000000-0005-0000-0000-0000D95B0000}"/>
    <cellStyle name="Normal 59 4 3 5" xfId="22888" xr:uid="{00000000-0005-0000-0000-0000DA5B0000}"/>
    <cellStyle name="Normal 59 4 4" xfId="5055" xr:uid="{00000000-0005-0000-0000-0000DB5B0000}"/>
    <cellStyle name="Normal 59 4 4 2" xfId="9011" xr:uid="{00000000-0005-0000-0000-0000DC5B0000}"/>
    <cellStyle name="Normal 59 4 4 2 2" xfId="18186" xr:uid="{00000000-0005-0000-0000-0000DD5B0000}"/>
    <cellStyle name="Normal 59 4 4 2 2 2" xfId="34760" xr:uid="{00000000-0005-0000-0000-0000DE5B0000}"/>
    <cellStyle name="Normal 59 4 4 2 3" xfId="26713" xr:uid="{00000000-0005-0000-0000-0000DF5B0000}"/>
    <cellStyle name="Normal 59 4 4 3" xfId="14387" xr:uid="{00000000-0005-0000-0000-0000E05B0000}"/>
    <cellStyle name="Normal 59 4 4 3 2" xfId="30933" xr:uid="{00000000-0005-0000-0000-0000E15B0000}"/>
    <cellStyle name="Normal 59 4 4 4" xfId="22890" xr:uid="{00000000-0005-0000-0000-0000E25B0000}"/>
    <cellStyle name="Normal 59 4 5" xfId="9012" xr:uid="{00000000-0005-0000-0000-0000E35B0000}"/>
    <cellStyle name="Normal 59 4 5 2" xfId="18187" xr:uid="{00000000-0005-0000-0000-0000E45B0000}"/>
    <cellStyle name="Normal 59 4 5 2 2" xfId="34761" xr:uid="{00000000-0005-0000-0000-0000E55B0000}"/>
    <cellStyle name="Normal 59 4 5 3" xfId="26714" xr:uid="{00000000-0005-0000-0000-0000E65B0000}"/>
    <cellStyle name="Normal 59 4 6" xfId="14380" xr:uid="{00000000-0005-0000-0000-0000E75B0000}"/>
    <cellStyle name="Normal 59 4 6 2" xfId="30926" xr:uid="{00000000-0005-0000-0000-0000E85B0000}"/>
    <cellStyle name="Normal 59 4 7" xfId="22883" xr:uid="{00000000-0005-0000-0000-0000E95B0000}"/>
    <cellStyle name="Normal 59 5" xfId="5056" xr:uid="{00000000-0005-0000-0000-0000EA5B0000}"/>
    <cellStyle name="Normal 59 5 2" xfId="5057" xr:uid="{00000000-0005-0000-0000-0000EB5B0000}"/>
    <cellStyle name="Normal 59 5 2 2" xfId="5058" xr:uid="{00000000-0005-0000-0000-0000EC5B0000}"/>
    <cellStyle name="Normal 59 5 2 2 2" xfId="5059" xr:uid="{00000000-0005-0000-0000-0000ED5B0000}"/>
    <cellStyle name="Normal 59 5 2 2 2 2" xfId="9013" xr:uid="{00000000-0005-0000-0000-0000EE5B0000}"/>
    <cellStyle name="Normal 59 5 2 2 2 2 2" xfId="18188" xr:uid="{00000000-0005-0000-0000-0000EF5B0000}"/>
    <cellStyle name="Normal 59 5 2 2 2 2 2 2" xfId="34762" xr:uid="{00000000-0005-0000-0000-0000F05B0000}"/>
    <cellStyle name="Normal 59 5 2 2 2 2 3" xfId="26715" xr:uid="{00000000-0005-0000-0000-0000F15B0000}"/>
    <cellStyle name="Normal 59 5 2 2 2 3" xfId="14391" xr:uid="{00000000-0005-0000-0000-0000F25B0000}"/>
    <cellStyle name="Normal 59 5 2 2 2 3 2" xfId="30937" xr:uid="{00000000-0005-0000-0000-0000F35B0000}"/>
    <cellStyle name="Normal 59 5 2 2 2 4" xfId="22894" xr:uid="{00000000-0005-0000-0000-0000F45B0000}"/>
    <cellStyle name="Normal 59 5 2 2 3" xfId="9014" xr:uid="{00000000-0005-0000-0000-0000F55B0000}"/>
    <cellStyle name="Normal 59 5 2 2 3 2" xfId="18189" xr:uid="{00000000-0005-0000-0000-0000F65B0000}"/>
    <cellStyle name="Normal 59 5 2 2 3 2 2" xfId="34763" xr:uid="{00000000-0005-0000-0000-0000F75B0000}"/>
    <cellStyle name="Normal 59 5 2 2 3 3" xfId="26716" xr:uid="{00000000-0005-0000-0000-0000F85B0000}"/>
    <cellStyle name="Normal 59 5 2 2 4" xfId="14390" xr:uid="{00000000-0005-0000-0000-0000F95B0000}"/>
    <cellStyle name="Normal 59 5 2 2 4 2" xfId="30936" xr:uid="{00000000-0005-0000-0000-0000FA5B0000}"/>
    <cellStyle name="Normal 59 5 2 2 5" xfId="22893" xr:uid="{00000000-0005-0000-0000-0000FB5B0000}"/>
    <cellStyle name="Normal 59 5 2 3" xfId="5060" xr:uid="{00000000-0005-0000-0000-0000FC5B0000}"/>
    <cellStyle name="Normal 59 5 2 3 2" xfId="9015" xr:uid="{00000000-0005-0000-0000-0000FD5B0000}"/>
    <cellStyle name="Normal 59 5 2 3 2 2" xfId="18190" xr:uid="{00000000-0005-0000-0000-0000FE5B0000}"/>
    <cellStyle name="Normal 59 5 2 3 2 2 2" xfId="34764" xr:uid="{00000000-0005-0000-0000-0000FF5B0000}"/>
    <cellStyle name="Normal 59 5 2 3 2 3" xfId="26717" xr:uid="{00000000-0005-0000-0000-0000005C0000}"/>
    <cellStyle name="Normal 59 5 2 3 3" xfId="14392" xr:uid="{00000000-0005-0000-0000-0000015C0000}"/>
    <cellStyle name="Normal 59 5 2 3 3 2" xfId="30938" xr:uid="{00000000-0005-0000-0000-0000025C0000}"/>
    <cellStyle name="Normal 59 5 2 3 4" xfId="22895" xr:uid="{00000000-0005-0000-0000-0000035C0000}"/>
    <cellStyle name="Normal 59 5 2 4" xfId="9016" xr:uid="{00000000-0005-0000-0000-0000045C0000}"/>
    <cellStyle name="Normal 59 5 2 4 2" xfId="18191" xr:uid="{00000000-0005-0000-0000-0000055C0000}"/>
    <cellStyle name="Normal 59 5 2 4 2 2" xfId="34765" xr:uid="{00000000-0005-0000-0000-0000065C0000}"/>
    <cellStyle name="Normal 59 5 2 4 3" xfId="26718" xr:uid="{00000000-0005-0000-0000-0000075C0000}"/>
    <cellStyle name="Normal 59 5 2 5" xfId="14389" xr:uid="{00000000-0005-0000-0000-0000085C0000}"/>
    <cellStyle name="Normal 59 5 2 5 2" xfId="30935" xr:uid="{00000000-0005-0000-0000-0000095C0000}"/>
    <cellStyle name="Normal 59 5 2 6" xfId="22892" xr:uid="{00000000-0005-0000-0000-00000A5C0000}"/>
    <cellStyle name="Normal 59 5 3" xfId="5061" xr:uid="{00000000-0005-0000-0000-00000B5C0000}"/>
    <cellStyle name="Normal 59 5 3 2" xfId="5062" xr:uid="{00000000-0005-0000-0000-00000C5C0000}"/>
    <cellStyle name="Normal 59 5 3 2 2" xfId="9017" xr:uid="{00000000-0005-0000-0000-00000D5C0000}"/>
    <cellStyle name="Normal 59 5 3 2 2 2" xfId="18192" xr:uid="{00000000-0005-0000-0000-00000E5C0000}"/>
    <cellStyle name="Normal 59 5 3 2 2 2 2" xfId="34766" xr:uid="{00000000-0005-0000-0000-00000F5C0000}"/>
    <cellStyle name="Normal 59 5 3 2 2 3" xfId="26719" xr:uid="{00000000-0005-0000-0000-0000105C0000}"/>
    <cellStyle name="Normal 59 5 3 2 3" xfId="14394" xr:uid="{00000000-0005-0000-0000-0000115C0000}"/>
    <cellStyle name="Normal 59 5 3 2 3 2" xfId="30940" xr:uid="{00000000-0005-0000-0000-0000125C0000}"/>
    <cellStyle name="Normal 59 5 3 2 4" xfId="22897" xr:uid="{00000000-0005-0000-0000-0000135C0000}"/>
    <cellStyle name="Normal 59 5 3 3" xfId="9018" xr:uid="{00000000-0005-0000-0000-0000145C0000}"/>
    <cellStyle name="Normal 59 5 3 3 2" xfId="18193" xr:uid="{00000000-0005-0000-0000-0000155C0000}"/>
    <cellStyle name="Normal 59 5 3 3 2 2" xfId="34767" xr:uid="{00000000-0005-0000-0000-0000165C0000}"/>
    <cellStyle name="Normal 59 5 3 3 3" xfId="26720" xr:uid="{00000000-0005-0000-0000-0000175C0000}"/>
    <cellStyle name="Normal 59 5 3 4" xfId="14393" xr:uid="{00000000-0005-0000-0000-0000185C0000}"/>
    <cellStyle name="Normal 59 5 3 4 2" xfId="30939" xr:uid="{00000000-0005-0000-0000-0000195C0000}"/>
    <cellStyle name="Normal 59 5 3 5" xfId="22896" xr:uid="{00000000-0005-0000-0000-00001A5C0000}"/>
    <cellStyle name="Normal 59 5 4" xfId="5063" xr:uid="{00000000-0005-0000-0000-00001B5C0000}"/>
    <cellStyle name="Normal 59 5 4 2" xfId="9019" xr:uid="{00000000-0005-0000-0000-00001C5C0000}"/>
    <cellStyle name="Normal 59 5 4 2 2" xfId="18194" xr:uid="{00000000-0005-0000-0000-00001D5C0000}"/>
    <cellStyle name="Normal 59 5 4 2 2 2" xfId="34768" xr:uid="{00000000-0005-0000-0000-00001E5C0000}"/>
    <cellStyle name="Normal 59 5 4 2 3" xfId="26721" xr:uid="{00000000-0005-0000-0000-00001F5C0000}"/>
    <cellStyle name="Normal 59 5 4 3" xfId="14395" xr:uid="{00000000-0005-0000-0000-0000205C0000}"/>
    <cellStyle name="Normal 59 5 4 3 2" xfId="30941" xr:uid="{00000000-0005-0000-0000-0000215C0000}"/>
    <cellStyle name="Normal 59 5 4 4" xfId="22898" xr:uid="{00000000-0005-0000-0000-0000225C0000}"/>
    <cellStyle name="Normal 59 5 5" xfId="9020" xr:uid="{00000000-0005-0000-0000-0000235C0000}"/>
    <cellStyle name="Normal 59 5 5 2" xfId="18195" xr:uid="{00000000-0005-0000-0000-0000245C0000}"/>
    <cellStyle name="Normal 59 5 5 2 2" xfId="34769" xr:uid="{00000000-0005-0000-0000-0000255C0000}"/>
    <cellStyle name="Normal 59 5 5 3" xfId="26722" xr:uid="{00000000-0005-0000-0000-0000265C0000}"/>
    <cellStyle name="Normal 59 5 6" xfId="14388" xr:uid="{00000000-0005-0000-0000-0000275C0000}"/>
    <cellStyle name="Normal 59 5 6 2" xfId="30934" xr:uid="{00000000-0005-0000-0000-0000285C0000}"/>
    <cellStyle name="Normal 59 5 7" xfId="22891" xr:uid="{00000000-0005-0000-0000-0000295C0000}"/>
    <cellStyle name="Normal 59 6" xfId="5064" xr:uid="{00000000-0005-0000-0000-00002A5C0000}"/>
    <cellStyle name="Normal 59 6 2" xfId="5065" xr:uid="{00000000-0005-0000-0000-00002B5C0000}"/>
    <cellStyle name="Normal 59 6 2 2" xfId="5066" xr:uid="{00000000-0005-0000-0000-00002C5C0000}"/>
    <cellStyle name="Normal 59 6 2 2 2" xfId="9021" xr:uid="{00000000-0005-0000-0000-00002D5C0000}"/>
    <cellStyle name="Normal 59 6 2 2 2 2" xfId="18196" xr:uid="{00000000-0005-0000-0000-00002E5C0000}"/>
    <cellStyle name="Normal 59 6 2 2 2 2 2" xfId="34770" xr:uid="{00000000-0005-0000-0000-00002F5C0000}"/>
    <cellStyle name="Normal 59 6 2 2 2 3" xfId="26723" xr:uid="{00000000-0005-0000-0000-0000305C0000}"/>
    <cellStyle name="Normal 59 6 2 2 3" xfId="14398" xr:uid="{00000000-0005-0000-0000-0000315C0000}"/>
    <cellStyle name="Normal 59 6 2 2 3 2" xfId="30944" xr:uid="{00000000-0005-0000-0000-0000325C0000}"/>
    <cellStyle name="Normal 59 6 2 2 4" xfId="22901" xr:uid="{00000000-0005-0000-0000-0000335C0000}"/>
    <cellStyle name="Normal 59 6 2 3" xfId="9022" xr:uid="{00000000-0005-0000-0000-0000345C0000}"/>
    <cellStyle name="Normal 59 6 2 3 2" xfId="18197" xr:uid="{00000000-0005-0000-0000-0000355C0000}"/>
    <cellStyle name="Normal 59 6 2 3 2 2" xfId="34771" xr:uid="{00000000-0005-0000-0000-0000365C0000}"/>
    <cellStyle name="Normal 59 6 2 3 3" xfId="26724" xr:uid="{00000000-0005-0000-0000-0000375C0000}"/>
    <cellStyle name="Normal 59 6 2 4" xfId="14397" xr:uid="{00000000-0005-0000-0000-0000385C0000}"/>
    <cellStyle name="Normal 59 6 2 4 2" xfId="30943" xr:uid="{00000000-0005-0000-0000-0000395C0000}"/>
    <cellStyle name="Normal 59 6 2 5" xfId="22900" xr:uid="{00000000-0005-0000-0000-00003A5C0000}"/>
    <cellStyle name="Normal 59 6 3" xfId="5067" xr:uid="{00000000-0005-0000-0000-00003B5C0000}"/>
    <cellStyle name="Normal 59 6 3 2" xfId="9023" xr:uid="{00000000-0005-0000-0000-00003C5C0000}"/>
    <cellStyle name="Normal 59 6 3 2 2" xfId="18198" xr:uid="{00000000-0005-0000-0000-00003D5C0000}"/>
    <cellStyle name="Normal 59 6 3 2 2 2" xfId="34772" xr:uid="{00000000-0005-0000-0000-00003E5C0000}"/>
    <cellStyle name="Normal 59 6 3 2 3" xfId="26725" xr:uid="{00000000-0005-0000-0000-00003F5C0000}"/>
    <cellStyle name="Normal 59 6 3 3" xfId="14399" xr:uid="{00000000-0005-0000-0000-0000405C0000}"/>
    <cellStyle name="Normal 59 6 3 3 2" xfId="30945" xr:uid="{00000000-0005-0000-0000-0000415C0000}"/>
    <cellStyle name="Normal 59 6 3 4" xfId="22902" xr:uid="{00000000-0005-0000-0000-0000425C0000}"/>
    <cellStyle name="Normal 59 6 4" xfId="9024" xr:uid="{00000000-0005-0000-0000-0000435C0000}"/>
    <cellStyle name="Normal 59 6 4 2" xfId="18199" xr:uid="{00000000-0005-0000-0000-0000445C0000}"/>
    <cellStyle name="Normal 59 6 4 2 2" xfId="34773" xr:uid="{00000000-0005-0000-0000-0000455C0000}"/>
    <cellStyle name="Normal 59 6 4 3" xfId="26726" xr:uid="{00000000-0005-0000-0000-0000465C0000}"/>
    <cellStyle name="Normal 59 6 5" xfId="14396" xr:uid="{00000000-0005-0000-0000-0000475C0000}"/>
    <cellStyle name="Normal 59 6 5 2" xfId="30942" xr:uid="{00000000-0005-0000-0000-0000485C0000}"/>
    <cellStyle name="Normal 59 6 6" xfId="22899" xr:uid="{00000000-0005-0000-0000-0000495C0000}"/>
    <cellStyle name="Normal 59 7" xfId="5068" xr:uid="{00000000-0005-0000-0000-00004A5C0000}"/>
    <cellStyle name="Normal 59 7 2" xfId="5069" xr:uid="{00000000-0005-0000-0000-00004B5C0000}"/>
    <cellStyle name="Normal 59 7 2 2" xfId="9025" xr:uid="{00000000-0005-0000-0000-00004C5C0000}"/>
    <cellStyle name="Normal 59 7 2 2 2" xfId="18200" xr:uid="{00000000-0005-0000-0000-00004D5C0000}"/>
    <cellStyle name="Normal 59 7 2 2 2 2" xfId="34774" xr:uid="{00000000-0005-0000-0000-00004E5C0000}"/>
    <cellStyle name="Normal 59 7 2 2 3" xfId="26727" xr:uid="{00000000-0005-0000-0000-00004F5C0000}"/>
    <cellStyle name="Normal 59 7 2 3" xfId="14401" xr:uid="{00000000-0005-0000-0000-0000505C0000}"/>
    <cellStyle name="Normal 59 7 2 3 2" xfId="30947" xr:uid="{00000000-0005-0000-0000-0000515C0000}"/>
    <cellStyle name="Normal 59 7 2 4" xfId="22904" xr:uid="{00000000-0005-0000-0000-0000525C0000}"/>
    <cellStyle name="Normal 59 7 3" xfId="9026" xr:uid="{00000000-0005-0000-0000-0000535C0000}"/>
    <cellStyle name="Normal 59 7 3 2" xfId="18201" xr:uid="{00000000-0005-0000-0000-0000545C0000}"/>
    <cellStyle name="Normal 59 7 3 2 2" xfId="34775" xr:uid="{00000000-0005-0000-0000-0000555C0000}"/>
    <cellStyle name="Normal 59 7 3 3" xfId="26728" xr:uid="{00000000-0005-0000-0000-0000565C0000}"/>
    <cellStyle name="Normal 59 7 4" xfId="14400" xr:uid="{00000000-0005-0000-0000-0000575C0000}"/>
    <cellStyle name="Normal 59 7 4 2" xfId="30946" xr:uid="{00000000-0005-0000-0000-0000585C0000}"/>
    <cellStyle name="Normal 59 7 5" xfId="22903" xr:uid="{00000000-0005-0000-0000-0000595C0000}"/>
    <cellStyle name="Normal 59 8" xfId="5070" xr:uid="{00000000-0005-0000-0000-00005A5C0000}"/>
    <cellStyle name="Normal 59 8 2" xfId="9027" xr:uid="{00000000-0005-0000-0000-00005B5C0000}"/>
    <cellStyle name="Normal 59 8 2 2" xfId="18202" xr:uid="{00000000-0005-0000-0000-00005C5C0000}"/>
    <cellStyle name="Normal 59 8 2 2 2" xfId="34776" xr:uid="{00000000-0005-0000-0000-00005D5C0000}"/>
    <cellStyle name="Normal 59 8 2 3" xfId="26729" xr:uid="{00000000-0005-0000-0000-00005E5C0000}"/>
    <cellStyle name="Normal 59 8 3" xfId="14402" xr:uid="{00000000-0005-0000-0000-00005F5C0000}"/>
    <cellStyle name="Normal 59 8 3 2" xfId="30948" xr:uid="{00000000-0005-0000-0000-0000605C0000}"/>
    <cellStyle name="Normal 59 8 4" xfId="22905" xr:uid="{00000000-0005-0000-0000-0000615C0000}"/>
    <cellStyle name="Normal 59 9" xfId="9028" xr:uid="{00000000-0005-0000-0000-0000625C0000}"/>
    <cellStyle name="Normal 59 9 2" xfId="18203" xr:uid="{00000000-0005-0000-0000-0000635C0000}"/>
    <cellStyle name="Normal 59 9 2 2" xfId="34777" xr:uid="{00000000-0005-0000-0000-0000645C0000}"/>
    <cellStyle name="Normal 59 9 3" xfId="26730" xr:uid="{00000000-0005-0000-0000-0000655C0000}"/>
    <cellStyle name="Normal 6" xfId="53" xr:uid="{00000000-0005-0000-0000-0000665C0000}"/>
    <cellStyle name="Normal 6 10" xfId="9030" xr:uid="{00000000-0005-0000-0000-0000675C0000}"/>
    <cellStyle name="Normal 6 10 2" xfId="18204" xr:uid="{00000000-0005-0000-0000-0000685C0000}"/>
    <cellStyle name="Normal 6 10 2 2" xfId="34778" xr:uid="{00000000-0005-0000-0000-0000695C0000}"/>
    <cellStyle name="Normal 6 10 3" xfId="26731" xr:uid="{00000000-0005-0000-0000-00006A5C0000}"/>
    <cellStyle name="Normal 6 11" xfId="9029" xr:uid="{00000000-0005-0000-0000-00006B5C0000}"/>
    <cellStyle name="Normal 6 12" xfId="14403" xr:uid="{00000000-0005-0000-0000-00006C5C0000}"/>
    <cellStyle name="Normal 6 12 2" xfId="30949" xr:uid="{00000000-0005-0000-0000-00006D5C0000}"/>
    <cellStyle name="Normal 6 13" xfId="22906" xr:uid="{00000000-0005-0000-0000-00006E5C0000}"/>
    <cellStyle name="Normal 6 2" xfId="325" xr:uid="{00000000-0005-0000-0000-00006F5C0000}"/>
    <cellStyle name="Normal 6 2 2" xfId="326" xr:uid="{00000000-0005-0000-0000-0000705C0000}"/>
    <cellStyle name="Normal 6 2 2 2" xfId="14405" xr:uid="{00000000-0005-0000-0000-0000715C0000}"/>
    <cellStyle name="Normal 6 2 2 2 2" xfId="30951" xr:uid="{00000000-0005-0000-0000-0000725C0000}"/>
    <cellStyle name="Normal 6 2 2 3" xfId="22908" xr:uid="{00000000-0005-0000-0000-0000735C0000}"/>
    <cellStyle name="Normal 6 2 3" xfId="5071" xr:uid="{00000000-0005-0000-0000-0000745C0000}"/>
    <cellStyle name="Normal 6 2 4" xfId="14404" xr:uid="{00000000-0005-0000-0000-0000755C0000}"/>
    <cellStyle name="Normal 6 2 4 2" xfId="30950" xr:uid="{00000000-0005-0000-0000-0000765C0000}"/>
    <cellStyle name="Normal 6 2 5" xfId="22907" xr:uid="{00000000-0005-0000-0000-0000775C0000}"/>
    <cellStyle name="Normal 6 3" xfId="327" xr:uid="{00000000-0005-0000-0000-0000785C0000}"/>
    <cellStyle name="Normal 6 3 2" xfId="5073" xr:uid="{00000000-0005-0000-0000-0000795C0000}"/>
    <cellStyle name="Normal 6 3 2 2" xfId="5074" xr:uid="{00000000-0005-0000-0000-00007A5C0000}"/>
    <cellStyle name="Normal 6 3 2 2 2" xfId="5075" xr:uid="{00000000-0005-0000-0000-00007B5C0000}"/>
    <cellStyle name="Normal 6 3 2 2 2 2" xfId="9031" xr:uid="{00000000-0005-0000-0000-00007C5C0000}"/>
    <cellStyle name="Normal 6 3 2 2 2 2 2" xfId="18205" xr:uid="{00000000-0005-0000-0000-00007D5C0000}"/>
    <cellStyle name="Normal 6 3 2 2 2 2 2 2" xfId="34779" xr:uid="{00000000-0005-0000-0000-00007E5C0000}"/>
    <cellStyle name="Normal 6 3 2 2 2 2 3" xfId="26732" xr:uid="{00000000-0005-0000-0000-00007F5C0000}"/>
    <cellStyle name="Normal 6 3 2 2 2 3" xfId="14408" xr:uid="{00000000-0005-0000-0000-0000805C0000}"/>
    <cellStyle name="Normal 6 3 2 2 2 3 2" xfId="30954" xr:uid="{00000000-0005-0000-0000-0000815C0000}"/>
    <cellStyle name="Normal 6 3 2 2 2 4" xfId="22911" xr:uid="{00000000-0005-0000-0000-0000825C0000}"/>
    <cellStyle name="Normal 6 3 2 2 3" xfId="9032" xr:uid="{00000000-0005-0000-0000-0000835C0000}"/>
    <cellStyle name="Normal 6 3 2 2 3 2" xfId="18206" xr:uid="{00000000-0005-0000-0000-0000845C0000}"/>
    <cellStyle name="Normal 6 3 2 2 3 2 2" xfId="34780" xr:uid="{00000000-0005-0000-0000-0000855C0000}"/>
    <cellStyle name="Normal 6 3 2 2 3 3" xfId="26733" xr:uid="{00000000-0005-0000-0000-0000865C0000}"/>
    <cellStyle name="Normal 6 3 2 2 4" xfId="14407" xr:uid="{00000000-0005-0000-0000-0000875C0000}"/>
    <cellStyle name="Normal 6 3 2 2 4 2" xfId="30953" xr:uid="{00000000-0005-0000-0000-0000885C0000}"/>
    <cellStyle name="Normal 6 3 2 2 5" xfId="22910" xr:uid="{00000000-0005-0000-0000-0000895C0000}"/>
    <cellStyle name="Normal 6 3 2 3" xfId="5076" xr:uid="{00000000-0005-0000-0000-00008A5C0000}"/>
    <cellStyle name="Normal 6 3 2 3 2" xfId="9033" xr:uid="{00000000-0005-0000-0000-00008B5C0000}"/>
    <cellStyle name="Normal 6 3 2 3 2 2" xfId="18207" xr:uid="{00000000-0005-0000-0000-00008C5C0000}"/>
    <cellStyle name="Normal 6 3 2 3 2 2 2" xfId="34781" xr:uid="{00000000-0005-0000-0000-00008D5C0000}"/>
    <cellStyle name="Normal 6 3 2 3 2 3" xfId="26734" xr:uid="{00000000-0005-0000-0000-00008E5C0000}"/>
    <cellStyle name="Normal 6 3 2 3 3" xfId="14409" xr:uid="{00000000-0005-0000-0000-00008F5C0000}"/>
    <cellStyle name="Normal 6 3 2 3 3 2" xfId="30955" xr:uid="{00000000-0005-0000-0000-0000905C0000}"/>
    <cellStyle name="Normal 6 3 2 3 4" xfId="22912" xr:uid="{00000000-0005-0000-0000-0000915C0000}"/>
    <cellStyle name="Normal 6 3 2 4" xfId="9034" xr:uid="{00000000-0005-0000-0000-0000925C0000}"/>
    <cellStyle name="Normal 6 3 2 4 2" xfId="18208" xr:uid="{00000000-0005-0000-0000-0000935C0000}"/>
    <cellStyle name="Normal 6 3 2 4 2 2" xfId="34782" xr:uid="{00000000-0005-0000-0000-0000945C0000}"/>
    <cellStyle name="Normal 6 3 2 4 3" xfId="26735" xr:uid="{00000000-0005-0000-0000-0000955C0000}"/>
    <cellStyle name="Normal 6 3 2 5" xfId="14406" xr:uid="{00000000-0005-0000-0000-0000965C0000}"/>
    <cellStyle name="Normal 6 3 2 5 2" xfId="30952" xr:uid="{00000000-0005-0000-0000-0000975C0000}"/>
    <cellStyle name="Normal 6 3 2 6" xfId="22909" xr:uid="{00000000-0005-0000-0000-0000985C0000}"/>
    <cellStyle name="Normal 6 3 3" xfId="5077" xr:uid="{00000000-0005-0000-0000-0000995C0000}"/>
    <cellStyle name="Normal 6 3 3 2" xfId="5078" xr:uid="{00000000-0005-0000-0000-00009A5C0000}"/>
    <cellStyle name="Normal 6 3 3 2 2" xfId="9035" xr:uid="{00000000-0005-0000-0000-00009B5C0000}"/>
    <cellStyle name="Normal 6 3 3 2 2 2" xfId="18209" xr:uid="{00000000-0005-0000-0000-00009C5C0000}"/>
    <cellStyle name="Normal 6 3 3 2 2 2 2" xfId="34783" xr:uid="{00000000-0005-0000-0000-00009D5C0000}"/>
    <cellStyle name="Normal 6 3 3 2 2 3" xfId="26736" xr:uid="{00000000-0005-0000-0000-00009E5C0000}"/>
    <cellStyle name="Normal 6 3 3 2 3" xfId="14411" xr:uid="{00000000-0005-0000-0000-00009F5C0000}"/>
    <cellStyle name="Normal 6 3 3 2 3 2" xfId="30957" xr:uid="{00000000-0005-0000-0000-0000A05C0000}"/>
    <cellStyle name="Normal 6 3 3 2 4" xfId="22914" xr:uid="{00000000-0005-0000-0000-0000A15C0000}"/>
    <cellStyle name="Normal 6 3 3 3" xfId="9036" xr:uid="{00000000-0005-0000-0000-0000A25C0000}"/>
    <cellStyle name="Normal 6 3 3 3 2" xfId="18210" xr:uid="{00000000-0005-0000-0000-0000A35C0000}"/>
    <cellStyle name="Normal 6 3 3 3 2 2" xfId="34784" xr:uid="{00000000-0005-0000-0000-0000A45C0000}"/>
    <cellStyle name="Normal 6 3 3 3 3" xfId="26737" xr:uid="{00000000-0005-0000-0000-0000A55C0000}"/>
    <cellStyle name="Normal 6 3 3 4" xfId="14410" xr:uid="{00000000-0005-0000-0000-0000A65C0000}"/>
    <cellStyle name="Normal 6 3 3 4 2" xfId="30956" xr:uid="{00000000-0005-0000-0000-0000A75C0000}"/>
    <cellStyle name="Normal 6 3 3 5" xfId="22913" xr:uid="{00000000-0005-0000-0000-0000A85C0000}"/>
    <cellStyle name="Normal 6 3 4" xfId="5079" xr:uid="{00000000-0005-0000-0000-0000A95C0000}"/>
    <cellStyle name="Normal 6 3 4 2" xfId="9037" xr:uid="{00000000-0005-0000-0000-0000AA5C0000}"/>
    <cellStyle name="Normal 6 3 4 2 2" xfId="18211" xr:uid="{00000000-0005-0000-0000-0000AB5C0000}"/>
    <cellStyle name="Normal 6 3 4 2 2 2" xfId="34785" xr:uid="{00000000-0005-0000-0000-0000AC5C0000}"/>
    <cellStyle name="Normal 6 3 4 2 3" xfId="26738" xr:uid="{00000000-0005-0000-0000-0000AD5C0000}"/>
    <cellStyle name="Normal 6 3 4 3" xfId="14412" xr:uid="{00000000-0005-0000-0000-0000AE5C0000}"/>
    <cellStyle name="Normal 6 3 4 3 2" xfId="30958" xr:uid="{00000000-0005-0000-0000-0000AF5C0000}"/>
    <cellStyle name="Normal 6 3 4 4" xfId="22915" xr:uid="{00000000-0005-0000-0000-0000B05C0000}"/>
    <cellStyle name="Normal 6 3 5" xfId="9038" xr:uid="{00000000-0005-0000-0000-0000B15C0000}"/>
    <cellStyle name="Normal 6 3 5 2" xfId="18212" xr:uid="{00000000-0005-0000-0000-0000B25C0000}"/>
    <cellStyle name="Normal 6 3 5 2 2" xfId="34786" xr:uid="{00000000-0005-0000-0000-0000B35C0000}"/>
    <cellStyle name="Normal 6 3 5 3" xfId="26739" xr:uid="{00000000-0005-0000-0000-0000B45C0000}"/>
    <cellStyle name="Normal 6 3 6" xfId="5072" xr:uid="{00000000-0005-0000-0000-0000B55C0000}"/>
    <cellStyle name="Normal 6 4" xfId="453" xr:uid="{00000000-0005-0000-0000-0000B65C0000}"/>
    <cellStyle name="Normal 6 4 2" xfId="5080" xr:uid="{00000000-0005-0000-0000-0000B75C0000}"/>
    <cellStyle name="Normal 6 4 2 2" xfId="5081" xr:uid="{00000000-0005-0000-0000-0000B85C0000}"/>
    <cellStyle name="Normal 6 4 2 2 2" xfId="5082" xr:uid="{00000000-0005-0000-0000-0000B95C0000}"/>
    <cellStyle name="Normal 6 4 2 2 2 2" xfId="9039" xr:uid="{00000000-0005-0000-0000-0000BA5C0000}"/>
    <cellStyle name="Normal 6 4 2 2 2 2 2" xfId="18213" xr:uid="{00000000-0005-0000-0000-0000BB5C0000}"/>
    <cellStyle name="Normal 6 4 2 2 2 2 2 2" xfId="34787" xr:uid="{00000000-0005-0000-0000-0000BC5C0000}"/>
    <cellStyle name="Normal 6 4 2 2 2 2 3" xfId="26740" xr:uid="{00000000-0005-0000-0000-0000BD5C0000}"/>
    <cellStyle name="Normal 6 4 2 2 2 3" xfId="14416" xr:uid="{00000000-0005-0000-0000-0000BE5C0000}"/>
    <cellStyle name="Normal 6 4 2 2 2 3 2" xfId="30962" xr:uid="{00000000-0005-0000-0000-0000BF5C0000}"/>
    <cellStyle name="Normal 6 4 2 2 2 4" xfId="22919" xr:uid="{00000000-0005-0000-0000-0000C05C0000}"/>
    <cellStyle name="Normal 6 4 2 2 3" xfId="9040" xr:uid="{00000000-0005-0000-0000-0000C15C0000}"/>
    <cellStyle name="Normal 6 4 2 2 3 2" xfId="18214" xr:uid="{00000000-0005-0000-0000-0000C25C0000}"/>
    <cellStyle name="Normal 6 4 2 2 3 2 2" xfId="34788" xr:uid="{00000000-0005-0000-0000-0000C35C0000}"/>
    <cellStyle name="Normal 6 4 2 2 3 3" xfId="26741" xr:uid="{00000000-0005-0000-0000-0000C45C0000}"/>
    <cellStyle name="Normal 6 4 2 2 4" xfId="14415" xr:uid="{00000000-0005-0000-0000-0000C55C0000}"/>
    <cellStyle name="Normal 6 4 2 2 4 2" xfId="30961" xr:uid="{00000000-0005-0000-0000-0000C65C0000}"/>
    <cellStyle name="Normal 6 4 2 2 5" xfId="22918" xr:uid="{00000000-0005-0000-0000-0000C75C0000}"/>
    <cellStyle name="Normal 6 4 2 3" xfId="5083" xr:uid="{00000000-0005-0000-0000-0000C85C0000}"/>
    <cellStyle name="Normal 6 4 2 3 2" xfId="9041" xr:uid="{00000000-0005-0000-0000-0000C95C0000}"/>
    <cellStyle name="Normal 6 4 2 3 2 2" xfId="18215" xr:uid="{00000000-0005-0000-0000-0000CA5C0000}"/>
    <cellStyle name="Normal 6 4 2 3 2 2 2" xfId="34789" xr:uid="{00000000-0005-0000-0000-0000CB5C0000}"/>
    <cellStyle name="Normal 6 4 2 3 2 3" xfId="26742" xr:uid="{00000000-0005-0000-0000-0000CC5C0000}"/>
    <cellStyle name="Normal 6 4 2 3 3" xfId="14417" xr:uid="{00000000-0005-0000-0000-0000CD5C0000}"/>
    <cellStyle name="Normal 6 4 2 3 3 2" xfId="30963" xr:uid="{00000000-0005-0000-0000-0000CE5C0000}"/>
    <cellStyle name="Normal 6 4 2 3 4" xfId="22920" xr:uid="{00000000-0005-0000-0000-0000CF5C0000}"/>
    <cellStyle name="Normal 6 4 2 4" xfId="9042" xr:uid="{00000000-0005-0000-0000-0000D05C0000}"/>
    <cellStyle name="Normal 6 4 2 4 2" xfId="18216" xr:uid="{00000000-0005-0000-0000-0000D15C0000}"/>
    <cellStyle name="Normal 6 4 2 4 2 2" xfId="34790" xr:uid="{00000000-0005-0000-0000-0000D25C0000}"/>
    <cellStyle name="Normal 6 4 2 4 3" xfId="26743" xr:uid="{00000000-0005-0000-0000-0000D35C0000}"/>
    <cellStyle name="Normal 6 4 2 5" xfId="14414" xr:uid="{00000000-0005-0000-0000-0000D45C0000}"/>
    <cellStyle name="Normal 6 4 2 5 2" xfId="30960" xr:uid="{00000000-0005-0000-0000-0000D55C0000}"/>
    <cellStyle name="Normal 6 4 2 6" xfId="22917" xr:uid="{00000000-0005-0000-0000-0000D65C0000}"/>
    <cellStyle name="Normal 6 4 3" xfId="5084" xr:uid="{00000000-0005-0000-0000-0000D75C0000}"/>
    <cellStyle name="Normal 6 4 3 2" xfId="5085" xr:uid="{00000000-0005-0000-0000-0000D85C0000}"/>
    <cellStyle name="Normal 6 4 3 2 2" xfId="9043" xr:uid="{00000000-0005-0000-0000-0000D95C0000}"/>
    <cellStyle name="Normal 6 4 3 2 2 2" xfId="18217" xr:uid="{00000000-0005-0000-0000-0000DA5C0000}"/>
    <cellStyle name="Normal 6 4 3 2 2 2 2" xfId="34791" xr:uid="{00000000-0005-0000-0000-0000DB5C0000}"/>
    <cellStyle name="Normal 6 4 3 2 2 3" xfId="26744" xr:uid="{00000000-0005-0000-0000-0000DC5C0000}"/>
    <cellStyle name="Normal 6 4 3 2 3" xfId="14419" xr:uid="{00000000-0005-0000-0000-0000DD5C0000}"/>
    <cellStyle name="Normal 6 4 3 2 3 2" xfId="30965" xr:uid="{00000000-0005-0000-0000-0000DE5C0000}"/>
    <cellStyle name="Normal 6 4 3 2 4" xfId="22922" xr:uid="{00000000-0005-0000-0000-0000DF5C0000}"/>
    <cellStyle name="Normal 6 4 3 3" xfId="9044" xr:uid="{00000000-0005-0000-0000-0000E05C0000}"/>
    <cellStyle name="Normal 6 4 3 3 2" xfId="18218" xr:uid="{00000000-0005-0000-0000-0000E15C0000}"/>
    <cellStyle name="Normal 6 4 3 3 2 2" xfId="34792" xr:uid="{00000000-0005-0000-0000-0000E25C0000}"/>
    <cellStyle name="Normal 6 4 3 3 3" xfId="26745" xr:uid="{00000000-0005-0000-0000-0000E35C0000}"/>
    <cellStyle name="Normal 6 4 3 4" xfId="14418" xr:uid="{00000000-0005-0000-0000-0000E45C0000}"/>
    <cellStyle name="Normal 6 4 3 4 2" xfId="30964" xr:uid="{00000000-0005-0000-0000-0000E55C0000}"/>
    <cellStyle name="Normal 6 4 3 5" xfId="22921" xr:uid="{00000000-0005-0000-0000-0000E65C0000}"/>
    <cellStyle name="Normal 6 4 4" xfId="5086" xr:uid="{00000000-0005-0000-0000-0000E75C0000}"/>
    <cellStyle name="Normal 6 4 4 2" xfId="9045" xr:uid="{00000000-0005-0000-0000-0000E85C0000}"/>
    <cellStyle name="Normal 6 4 4 2 2" xfId="18219" xr:uid="{00000000-0005-0000-0000-0000E95C0000}"/>
    <cellStyle name="Normal 6 4 4 2 2 2" xfId="34793" xr:uid="{00000000-0005-0000-0000-0000EA5C0000}"/>
    <cellStyle name="Normal 6 4 4 2 3" xfId="26746" xr:uid="{00000000-0005-0000-0000-0000EB5C0000}"/>
    <cellStyle name="Normal 6 4 4 3" xfId="14420" xr:uid="{00000000-0005-0000-0000-0000EC5C0000}"/>
    <cellStyle name="Normal 6 4 4 3 2" xfId="30966" xr:uid="{00000000-0005-0000-0000-0000ED5C0000}"/>
    <cellStyle name="Normal 6 4 4 4" xfId="22923" xr:uid="{00000000-0005-0000-0000-0000EE5C0000}"/>
    <cellStyle name="Normal 6 4 5" xfId="9046" xr:uid="{00000000-0005-0000-0000-0000EF5C0000}"/>
    <cellStyle name="Normal 6 4 5 2" xfId="18220" xr:uid="{00000000-0005-0000-0000-0000F05C0000}"/>
    <cellStyle name="Normal 6 4 5 2 2" xfId="34794" xr:uid="{00000000-0005-0000-0000-0000F15C0000}"/>
    <cellStyle name="Normal 6 4 5 3" xfId="26747" xr:uid="{00000000-0005-0000-0000-0000F25C0000}"/>
    <cellStyle name="Normal 6 4 6" xfId="14413" xr:uid="{00000000-0005-0000-0000-0000F35C0000}"/>
    <cellStyle name="Normal 6 4 6 2" xfId="30959" xr:uid="{00000000-0005-0000-0000-0000F45C0000}"/>
    <cellStyle name="Normal 6 4 7" xfId="22916" xr:uid="{00000000-0005-0000-0000-0000F55C0000}"/>
    <cellStyle name="Normal 6 5" xfId="1773" xr:uid="{00000000-0005-0000-0000-0000F65C0000}"/>
    <cellStyle name="Normal 6 5 2" xfId="5088" xr:uid="{00000000-0005-0000-0000-0000F75C0000}"/>
    <cellStyle name="Normal 6 5 2 2" xfId="5089" xr:uid="{00000000-0005-0000-0000-0000F85C0000}"/>
    <cellStyle name="Normal 6 5 2 2 2" xfId="5090" xr:uid="{00000000-0005-0000-0000-0000F95C0000}"/>
    <cellStyle name="Normal 6 5 2 2 2 2" xfId="9047" xr:uid="{00000000-0005-0000-0000-0000FA5C0000}"/>
    <cellStyle name="Normal 6 5 2 2 2 2 2" xfId="18221" xr:uid="{00000000-0005-0000-0000-0000FB5C0000}"/>
    <cellStyle name="Normal 6 5 2 2 2 2 2 2" xfId="34795" xr:uid="{00000000-0005-0000-0000-0000FC5C0000}"/>
    <cellStyle name="Normal 6 5 2 2 2 2 3" xfId="26748" xr:uid="{00000000-0005-0000-0000-0000FD5C0000}"/>
    <cellStyle name="Normal 6 5 2 2 2 3" xfId="14423" xr:uid="{00000000-0005-0000-0000-0000FE5C0000}"/>
    <cellStyle name="Normal 6 5 2 2 2 3 2" xfId="30970" xr:uid="{00000000-0005-0000-0000-0000FF5C0000}"/>
    <cellStyle name="Normal 6 5 2 2 2 4" xfId="22927" xr:uid="{00000000-0005-0000-0000-0000005D0000}"/>
    <cellStyle name="Normal 6 5 2 2 3" xfId="9048" xr:uid="{00000000-0005-0000-0000-0000015D0000}"/>
    <cellStyle name="Normal 6 5 2 2 3 2" xfId="18222" xr:uid="{00000000-0005-0000-0000-0000025D0000}"/>
    <cellStyle name="Normal 6 5 2 2 3 2 2" xfId="34796" xr:uid="{00000000-0005-0000-0000-0000035D0000}"/>
    <cellStyle name="Normal 6 5 2 2 3 3" xfId="26749" xr:uid="{00000000-0005-0000-0000-0000045D0000}"/>
    <cellStyle name="Normal 6 5 2 2 4" xfId="14422" xr:uid="{00000000-0005-0000-0000-0000055D0000}"/>
    <cellStyle name="Normal 6 5 2 2 4 2" xfId="30969" xr:uid="{00000000-0005-0000-0000-0000065D0000}"/>
    <cellStyle name="Normal 6 5 2 2 5" xfId="22926" xr:uid="{00000000-0005-0000-0000-0000075D0000}"/>
    <cellStyle name="Normal 6 5 2 3" xfId="5091" xr:uid="{00000000-0005-0000-0000-0000085D0000}"/>
    <cellStyle name="Normal 6 5 2 3 2" xfId="9049" xr:uid="{00000000-0005-0000-0000-0000095D0000}"/>
    <cellStyle name="Normal 6 5 2 3 2 2" xfId="18223" xr:uid="{00000000-0005-0000-0000-00000A5D0000}"/>
    <cellStyle name="Normal 6 5 2 3 2 2 2" xfId="34797" xr:uid="{00000000-0005-0000-0000-00000B5D0000}"/>
    <cellStyle name="Normal 6 5 2 3 2 3" xfId="26750" xr:uid="{00000000-0005-0000-0000-00000C5D0000}"/>
    <cellStyle name="Normal 6 5 2 3 3" xfId="14424" xr:uid="{00000000-0005-0000-0000-00000D5D0000}"/>
    <cellStyle name="Normal 6 5 2 3 3 2" xfId="30971" xr:uid="{00000000-0005-0000-0000-00000E5D0000}"/>
    <cellStyle name="Normal 6 5 2 3 4" xfId="22928" xr:uid="{00000000-0005-0000-0000-00000F5D0000}"/>
    <cellStyle name="Normal 6 5 2 4" xfId="9050" xr:uid="{00000000-0005-0000-0000-0000105D0000}"/>
    <cellStyle name="Normal 6 5 2 4 2" xfId="18224" xr:uid="{00000000-0005-0000-0000-0000115D0000}"/>
    <cellStyle name="Normal 6 5 2 4 2 2" xfId="34798" xr:uid="{00000000-0005-0000-0000-0000125D0000}"/>
    <cellStyle name="Normal 6 5 2 4 3" xfId="26751" xr:uid="{00000000-0005-0000-0000-0000135D0000}"/>
    <cellStyle name="Normal 6 5 2 5" xfId="14421" xr:uid="{00000000-0005-0000-0000-0000145D0000}"/>
    <cellStyle name="Normal 6 5 2 5 2" xfId="30968" xr:uid="{00000000-0005-0000-0000-0000155D0000}"/>
    <cellStyle name="Normal 6 5 2 6" xfId="22925" xr:uid="{00000000-0005-0000-0000-0000165D0000}"/>
    <cellStyle name="Normal 6 5 3" xfId="5092" xr:uid="{00000000-0005-0000-0000-0000175D0000}"/>
    <cellStyle name="Normal 6 5 3 2" xfId="5093" xr:uid="{00000000-0005-0000-0000-0000185D0000}"/>
    <cellStyle name="Normal 6 5 3 2 2" xfId="9051" xr:uid="{00000000-0005-0000-0000-0000195D0000}"/>
    <cellStyle name="Normal 6 5 3 2 2 2" xfId="18225" xr:uid="{00000000-0005-0000-0000-00001A5D0000}"/>
    <cellStyle name="Normal 6 5 3 2 2 2 2" xfId="34799" xr:uid="{00000000-0005-0000-0000-00001B5D0000}"/>
    <cellStyle name="Normal 6 5 3 2 2 3" xfId="26752" xr:uid="{00000000-0005-0000-0000-00001C5D0000}"/>
    <cellStyle name="Normal 6 5 3 2 3" xfId="14426" xr:uid="{00000000-0005-0000-0000-00001D5D0000}"/>
    <cellStyle name="Normal 6 5 3 2 3 2" xfId="30973" xr:uid="{00000000-0005-0000-0000-00001E5D0000}"/>
    <cellStyle name="Normal 6 5 3 2 4" xfId="22930" xr:uid="{00000000-0005-0000-0000-00001F5D0000}"/>
    <cellStyle name="Normal 6 5 3 3" xfId="9052" xr:uid="{00000000-0005-0000-0000-0000205D0000}"/>
    <cellStyle name="Normal 6 5 3 3 2" xfId="18226" xr:uid="{00000000-0005-0000-0000-0000215D0000}"/>
    <cellStyle name="Normal 6 5 3 3 2 2" xfId="34800" xr:uid="{00000000-0005-0000-0000-0000225D0000}"/>
    <cellStyle name="Normal 6 5 3 3 3" xfId="26753" xr:uid="{00000000-0005-0000-0000-0000235D0000}"/>
    <cellStyle name="Normal 6 5 3 4" xfId="14425" xr:uid="{00000000-0005-0000-0000-0000245D0000}"/>
    <cellStyle name="Normal 6 5 3 4 2" xfId="30972" xr:uid="{00000000-0005-0000-0000-0000255D0000}"/>
    <cellStyle name="Normal 6 5 3 5" xfId="22929" xr:uid="{00000000-0005-0000-0000-0000265D0000}"/>
    <cellStyle name="Normal 6 5 4" xfId="5094" xr:uid="{00000000-0005-0000-0000-0000275D0000}"/>
    <cellStyle name="Normal 6 5 4 2" xfId="9053" xr:uid="{00000000-0005-0000-0000-0000285D0000}"/>
    <cellStyle name="Normal 6 5 4 2 2" xfId="18227" xr:uid="{00000000-0005-0000-0000-0000295D0000}"/>
    <cellStyle name="Normal 6 5 4 2 2 2" xfId="34801" xr:uid="{00000000-0005-0000-0000-00002A5D0000}"/>
    <cellStyle name="Normal 6 5 4 2 3" xfId="26754" xr:uid="{00000000-0005-0000-0000-00002B5D0000}"/>
    <cellStyle name="Normal 6 5 4 3" xfId="14427" xr:uid="{00000000-0005-0000-0000-00002C5D0000}"/>
    <cellStyle name="Normal 6 5 4 3 2" xfId="30974" xr:uid="{00000000-0005-0000-0000-00002D5D0000}"/>
    <cellStyle name="Normal 6 5 4 4" xfId="22931" xr:uid="{00000000-0005-0000-0000-00002E5D0000}"/>
    <cellStyle name="Normal 6 5 5" xfId="9054" xr:uid="{00000000-0005-0000-0000-00002F5D0000}"/>
    <cellStyle name="Normal 6 5 5 2" xfId="18228" xr:uid="{00000000-0005-0000-0000-0000305D0000}"/>
    <cellStyle name="Normal 6 5 5 2 2" xfId="34802" xr:uid="{00000000-0005-0000-0000-0000315D0000}"/>
    <cellStyle name="Normal 6 5 5 3" xfId="26755" xr:uid="{00000000-0005-0000-0000-0000325D0000}"/>
    <cellStyle name="Normal 6 5 6" xfId="5087" xr:uid="{00000000-0005-0000-0000-0000335D0000}"/>
    <cellStyle name="Normal 6 5 6 2" xfId="30967" xr:uid="{00000000-0005-0000-0000-0000345D0000}"/>
    <cellStyle name="Normal 6 5 7" xfId="22924" xr:uid="{00000000-0005-0000-0000-0000355D0000}"/>
    <cellStyle name="Normal 6 6" xfId="1733" xr:uid="{00000000-0005-0000-0000-0000365D0000}"/>
    <cellStyle name="Normal 6 6 2" xfId="5096" xr:uid="{00000000-0005-0000-0000-0000375D0000}"/>
    <cellStyle name="Normal 6 6 2 2" xfId="5097" xr:uid="{00000000-0005-0000-0000-0000385D0000}"/>
    <cellStyle name="Normal 6 6 2 2 2" xfId="9055" xr:uid="{00000000-0005-0000-0000-0000395D0000}"/>
    <cellStyle name="Normal 6 6 2 2 2 2" xfId="18229" xr:uid="{00000000-0005-0000-0000-00003A5D0000}"/>
    <cellStyle name="Normal 6 6 2 2 2 2 2" xfId="34803" xr:uid="{00000000-0005-0000-0000-00003B5D0000}"/>
    <cellStyle name="Normal 6 6 2 2 2 3" xfId="26756" xr:uid="{00000000-0005-0000-0000-00003C5D0000}"/>
    <cellStyle name="Normal 6 6 2 2 3" xfId="14429" xr:uid="{00000000-0005-0000-0000-00003D5D0000}"/>
    <cellStyle name="Normal 6 6 2 2 3 2" xfId="30977" xr:uid="{00000000-0005-0000-0000-00003E5D0000}"/>
    <cellStyle name="Normal 6 6 2 2 4" xfId="22934" xr:uid="{00000000-0005-0000-0000-00003F5D0000}"/>
    <cellStyle name="Normal 6 6 2 3" xfId="9056" xr:uid="{00000000-0005-0000-0000-0000405D0000}"/>
    <cellStyle name="Normal 6 6 2 3 2" xfId="18230" xr:uid="{00000000-0005-0000-0000-0000415D0000}"/>
    <cellStyle name="Normal 6 6 2 3 2 2" xfId="34804" xr:uid="{00000000-0005-0000-0000-0000425D0000}"/>
    <cellStyle name="Normal 6 6 2 3 3" xfId="26757" xr:uid="{00000000-0005-0000-0000-0000435D0000}"/>
    <cellStyle name="Normal 6 6 2 4" xfId="14428" xr:uid="{00000000-0005-0000-0000-0000445D0000}"/>
    <cellStyle name="Normal 6 6 2 4 2" xfId="30976" xr:uid="{00000000-0005-0000-0000-0000455D0000}"/>
    <cellStyle name="Normal 6 6 2 5" xfId="22933" xr:uid="{00000000-0005-0000-0000-0000465D0000}"/>
    <cellStyle name="Normal 6 6 3" xfId="5098" xr:uid="{00000000-0005-0000-0000-0000475D0000}"/>
    <cellStyle name="Normal 6 6 3 2" xfId="9057" xr:uid="{00000000-0005-0000-0000-0000485D0000}"/>
    <cellStyle name="Normal 6 6 3 2 2" xfId="18231" xr:uid="{00000000-0005-0000-0000-0000495D0000}"/>
    <cellStyle name="Normal 6 6 3 2 2 2" xfId="34805" xr:uid="{00000000-0005-0000-0000-00004A5D0000}"/>
    <cellStyle name="Normal 6 6 3 2 3" xfId="26758" xr:uid="{00000000-0005-0000-0000-00004B5D0000}"/>
    <cellStyle name="Normal 6 6 3 3" xfId="14430" xr:uid="{00000000-0005-0000-0000-00004C5D0000}"/>
    <cellStyle name="Normal 6 6 3 3 2" xfId="30978" xr:uid="{00000000-0005-0000-0000-00004D5D0000}"/>
    <cellStyle name="Normal 6 6 3 4" xfId="22935" xr:uid="{00000000-0005-0000-0000-00004E5D0000}"/>
    <cellStyle name="Normal 6 6 4" xfId="9058" xr:uid="{00000000-0005-0000-0000-00004F5D0000}"/>
    <cellStyle name="Normal 6 6 4 2" xfId="18232" xr:uid="{00000000-0005-0000-0000-0000505D0000}"/>
    <cellStyle name="Normal 6 6 4 2 2" xfId="34806" xr:uid="{00000000-0005-0000-0000-0000515D0000}"/>
    <cellStyle name="Normal 6 6 4 3" xfId="26759" xr:uid="{00000000-0005-0000-0000-0000525D0000}"/>
    <cellStyle name="Normal 6 6 5" xfId="5095" xr:uid="{00000000-0005-0000-0000-0000535D0000}"/>
    <cellStyle name="Normal 6 6 5 2" xfId="30975" xr:uid="{00000000-0005-0000-0000-0000545D0000}"/>
    <cellStyle name="Normal 6 6 6" xfId="22932" xr:uid="{00000000-0005-0000-0000-0000555D0000}"/>
    <cellStyle name="Normal 6 7" xfId="5099" xr:uid="{00000000-0005-0000-0000-0000565D0000}"/>
    <cellStyle name="Normal 6 7 2" xfId="5100" xr:uid="{00000000-0005-0000-0000-0000575D0000}"/>
    <cellStyle name="Normal 6 7 2 2" xfId="9059" xr:uid="{00000000-0005-0000-0000-0000585D0000}"/>
    <cellStyle name="Normal 6 7 2 2 2" xfId="18233" xr:uid="{00000000-0005-0000-0000-0000595D0000}"/>
    <cellStyle name="Normal 6 7 2 2 2 2" xfId="34807" xr:uid="{00000000-0005-0000-0000-00005A5D0000}"/>
    <cellStyle name="Normal 6 7 2 2 3" xfId="26760" xr:uid="{00000000-0005-0000-0000-00005B5D0000}"/>
    <cellStyle name="Normal 6 7 2 3" xfId="14432" xr:uid="{00000000-0005-0000-0000-00005C5D0000}"/>
    <cellStyle name="Normal 6 7 2 3 2" xfId="30980" xr:uid="{00000000-0005-0000-0000-00005D5D0000}"/>
    <cellStyle name="Normal 6 7 2 4" xfId="22937" xr:uid="{00000000-0005-0000-0000-00005E5D0000}"/>
    <cellStyle name="Normal 6 7 3" xfId="9060" xr:uid="{00000000-0005-0000-0000-00005F5D0000}"/>
    <cellStyle name="Normal 6 7 3 2" xfId="18234" xr:uid="{00000000-0005-0000-0000-0000605D0000}"/>
    <cellStyle name="Normal 6 7 3 2 2" xfId="34808" xr:uid="{00000000-0005-0000-0000-0000615D0000}"/>
    <cellStyle name="Normal 6 7 3 3" xfId="26761" xr:uid="{00000000-0005-0000-0000-0000625D0000}"/>
    <cellStyle name="Normal 6 7 4" xfId="14431" xr:uid="{00000000-0005-0000-0000-0000635D0000}"/>
    <cellStyle name="Normal 6 7 4 2" xfId="30979" xr:uid="{00000000-0005-0000-0000-0000645D0000}"/>
    <cellStyle name="Normal 6 7 5" xfId="22936" xr:uid="{00000000-0005-0000-0000-0000655D0000}"/>
    <cellStyle name="Normal 6 8" xfId="5101" xr:uid="{00000000-0005-0000-0000-0000665D0000}"/>
    <cellStyle name="Normal 6 8 2" xfId="9061" xr:uid="{00000000-0005-0000-0000-0000675D0000}"/>
    <cellStyle name="Normal 6 8 2 2" xfId="18235" xr:uid="{00000000-0005-0000-0000-0000685D0000}"/>
    <cellStyle name="Normal 6 8 2 2 2" xfId="34809" xr:uid="{00000000-0005-0000-0000-0000695D0000}"/>
    <cellStyle name="Normal 6 8 2 3" xfId="26762" xr:uid="{00000000-0005-0000-0000-00006A5D0000}"/>
    <cellStyle name="Normal 6 8 3" xfId="14433" xr:uid="{00000000-0005-0000-0000-00006B5D0000}"/>
    <cellStyle name="Normal 6 8 3 2" xfId="30981" xr:uid="{00000000-0005-0000-0000-00006C5D0000}"/>
    <cellStyle name="Normal 6 8 4" xfId="22938" xr:uid="{00000000-0005-0000-0000-00006D5D0000}"/>
    <cellStyle name="Normal 6 9" xfId="9062" xr:uid="{00000000-0005-0000-0000-00006E5D0000}"/>
    <cellStyle name="Normal 6 9 2" xfId="18236" xr:uid="{00000000-0005-0000-0000-00006F5D0000}"/>
    <cellStyle name="Normal 6 9 2 2" xfId="34810" xr:uid="{00000000-0005-0000-0000-0000705D0000}"/>
    <cellStyle name="Normal 6 9 3" xfId="26763" xr:uid="{00000000-0005-0000-0000-0000715D0000}"/>
    <cellStyle name="Normal 60" xfId="5102" xr:uid="{00000000-0005-0000-0000-0000725D0000}"/>
    <cellStyle name="Normal 60 10" xfId="14434" xr:uid="{00000000-0005-0000-0000-0000735D0000}"/>
    <cellStyle name="Normal 60 10 2" xfId="30982" xr:uid="{00000000-0005-0000-0000-0000745D0000}"/>
    <cellStyle name="Normal 60 11" xfId="22939" xr:uid="{00000000-0005-0000-0000-0000755D0000}"/>
    <cellStyle name="Normal 60 2" xfId="5103" xr:uid="{00000000-0005-0000-0000-0000765D0000}"/>
    <cellStyle name="Normal 60 2 2" xfId="5104" xr:uid="{00000000-0005-0000-0000-0000775D0000}"/>
    <cellStyle name="Normal 60 2 3" xfId="14435" xr:uid="{00000000-0005-0000-0000-0000785D0000}"/>
    <cellStyle name="Normal 60 2 3 2" xfId="30983" xr:uid="{00000000-0005-0000-0000-0000795D0000}"/>
    <cellStyle name="Normal 60 2 4" xfId="22940" xr:uid="{00000000-0005-0000-0000-00007A5D0000}"/>
    <cellStyle name="Normal 60 3" xfId="5105" xr:uid="{00000000-0005-0000-0000-00007B5D0000}"/>
    <cellStyle name="Normal 60 3 2" xfId="5106" xr:uid="{00000000-0005-0000-0000-00007C5D0000}"/>
    <cellStyle name="Normal 60 3 2 2" xfId="5107" xr:uid="{00000000-0005-0000-0000-00007D5D0000}"/>
    <cellStyle name="Normal 60 3 2 2 2" xfId="5108" xr:uid="{00000000-0005-0000-0000-00007E5D0000}"/>
    <cellStyle name="Normal 60 3 2 2 2 2" xfId="9063" xr:uid="{00000000-0005-0000-0000-00007F5D0000}"/>
    <cellStyle name="Normal 60 3 2 2 2 2 2" xfId="18237" xr:uid="{00000000-0005-0000-0000-0000805D0000}"/>
    <cellStyle name="Normal 60 3 2 2 2 2 2 2" xfId="34811" xr:uid="{00000000-0005-0000-0000-0000815D0000}"/>
    <cellStyle name="Normal 60 3 2 2 2 2 3" xfId="26764" xr:uid="{00000000-0005-0000-0000-0000825D0000}"/>
    <cellStyle name="Normal 60 3 2 2 2 3" xfId="14438" xr:uid="{00000000-0005-0000-0000-0000835D0000}"/>
    <cellStyle name="Normal 60 3 2 2 2 3 2" xfId="30986" xr:uid="{00000000-0005-0000-0000-0000845D0000}"/>
    <cellStyle name="Normal 60 3 2 2 2 4" xfId="22943" xr:uid="{00000000-0005-0000-0000-0000855D0000}"/>
    <cellStyle name="Normal 60 3 2 2 3" xfId="9064" xr:uid="{00000000-0005-0000-0000-0000865D0000}"/>
    <cellStyle name="Normal 60 3 2 2 3 2" xfId="18238" xr:uid="{00000000-0005-0000-0000-0000875D0000}"/>
    <cellStyle name="Normal 60 3 2 2 3 2 2" xfId="34812" xr:uid="{00000000-0005-0000-0000-0000885D0000}"/>
    <cellStyle name="Normal 60 3 2 2 3 3" xfId="26765" xr:uid="{00000000-0005-0000-0000-0000895D0000}"/>
    <cellStyle name="Normal 60 3 2 2 4" xfId="14437" xr:uid="{00000000-0005-0000-0000-00008A5D0000}"/>
    <cellStyle name="Normal 60 3 2 2 4 2" xfId="30985" xr:uid="{00000000-0005-0000-0000-00008B5D0000}"/>
    <cellStyle name="Normal 60 3 2 2 5" xfId="22942" xr:uid="{00000000-0005-0000-0000-00008C5D0000}"/>
    <cellStyle name="Normal 60 3 2 3" xfId="5109" xr:uid="{00000000-0005-0000-0000-00008D5D0000}"/>
    <cellStyle name="Normal 60 3 2 3 2" xfId="9065" xr:uid="{00000000-0005-0000-0000-00008E5D0000}"/>
    <cellStyle name="Normal 60 3 2 3 2 2" xfId="18239" xr:uid="{00000000-0005-0000-0000-00008F5D0000}"/>
    <cellStyle name="Normal 60 3 2 3 2 2 2" xfId="34813" xr:uid="{00000000-0005-0000-0000-0000905D0000}"/>
    <cellStyle name="Normal 60 3 2 3 2 3" xfId="26766" xr:uid="{00000000-0005-0000-0000-0000915D0000}"/>
    <cellStyle name="Normal 60 3 2 3 3" xfId="14439" xr:uid="{00000000-0005-0000-0000-0000925D0000}"/>
    <cellStyle name="Normal 60 3 2 3 3 2" xfId="30987" xr:uid="{00000000-0005-0000-0000-0000935D0000}"/>
    <cellStyle name="Normal 60 3 2 3 4" xfId="22944" xr:uid="{00000000-0005-0000-0000-0000945D0000}"/>
    <cellStyle name="Normal 60 3 2 4" xfId="9066" xr:uid="{00000000-0005-0000-0000-0000955D0000}"/>
    <cellStyle name="Normal 60 3 2 4 2" xfId="18240" xr:uid="{00000000-0005-0000-0000-0000965D0000}"/>
    <cellStyle name="Normal 60 3 2 4 2 2" xfId="34814" xr:uid="{00000000-0005-0000-0000-0000975D0000}"/>
    <cellStyle name="Normal 60 3 2 4 3" xfId="26767" xr:uid="{00000000-0005-0000-0000-0000985D0000}"/>
    <cellStyle name="Normal 60 3 2 5" xfId="14436" xr:uid="{00000000-0005-0000-0000-0000995D0000}"/>
    <cellStyle name="Normal 60 3 2 5 2" xfId="30984" xr:uid="{00000000-0005-0000-0000-00009A5D0000}"/>
    <cellStyle name="Normal 60 3 2 6" xfId="22941" xr:uid="{00000000-0005-0000-0000-00009B5D0000}"/>
    <cellStyle name="Normal 60 3 3" xfId="5110" xr:uid="{00000000-0005-0000-0000-00009C5D0000}"/>
    <cellStyle name="Normal 60 3 3 2" xfId="5111" xr:uid="{00000000-0005-0000-0000-00009D5D0000}"/>
    <cellStyle name="Normal 60 3 3 2 2" xfId="9067" xr:uid="{00000000-0005-0000-0000-00009E5D0000}"/>
    <cellStyle name="Normal 60 3 3 2 2 2" xfId="18241" xr:uid="{00000000-0005-0000-0000-00009F5D0000}"/>
    <cellStyle name="Normal 60 3 3 2 2 2 2" xfId="34815" xr:uid="{00000000-0005-0000-0000-0000A05D0000}"/>
    <cellStyle name="Normal 60 3 3 2 2 3" xfId="26768" xr:uid="{00000000-0005-0000-0000-0000A15D0000}"/>
    <cellStyle name="Normal 60 3 3 2 3" xfId="14441" xr:uid="{00000000-0005-0000-0000-0000A25D0000}"/>
    <cellStyle name="Normal 60 3 3 2 3 2" xfId="30989" xr:uid="{00000000-0005-0000-0000-0000A35D0000}"/>
    <cellStyle name="Normal 60 3 3 2 4" xfId="22946" xr:uid="{00000000-0005-0000-0000-0000A45D0000}"/>
    <cellStyle name="Normal 60 3 3 3" xfId="9068" xr:uid="{00000000-0005-0000-0000-0000A55D0000}"/>
    <cellStyle name="Normal 60 3 3 3 2" xfId="18242" xr:uid="{00000000-0005-0000-0000-0000A65D0000}"/>
    <cellStyle name="Normal 60 3 3 3 2 2" xfId="34816" xr:uid="{00000000-0005-0000-0000-0000A75D0000}"/>
    <cellStyle name="Normal 60 3 3 3 3" xfId="26769" xr:uid="{00000000-0005-0000-0000-0000A85D0000}"/>
    <cellStyle name="Normal 60 3 3 4" xfId="14440" xr:uid="{00000000-0005-0000-0000-0000A95D0000}"/>
    <cellStyle name="Normal 60 3 3 4 2" xfId="30988" xr:uid="{00000000-0005-0000-0000-0000AA5D0000}"/>
    <cellStyle name="Normal 60 3 3 5" xfId="22945" xr:uid="{00000000-0005-0000-0000-0000AB5D0000}"/>
    <cellStyle name="Normal 60 3 4" xfId="5112" xr:uid="{00000000-0005-0000-0000-0000AC5D0000}"/>
    <cellStyle name="Normal 60 3 4 2" xfId="9069" xr:uid="{00000000-0005-0000-0000-0000AD5D0000}"/>
    <cellStyle name="Normal 60 3 4 2 2" xfId="18243" xr:uid="{00000000-0005-0000-0000-0000AE5D0000}"/>
    <cellStyle name="Normal 60 3 4 2 2 2" xfId="34817" xr:uid="{00000000-0005-0000-0000-0000AF5D0000}"/>
    <cellStyle name="Normal 60 3 4 2 3" xfId="26770" xr:uid="{00000000-0005-0000-0000-0000B05D0000}"/>
    <cellStyle name="Normal 60 3 4 3" xfId="14442" xr:uid="{00000000-0005-0000-0000-0000B15D0000}"/>
    <cellStyle name="Normal 60 3 4 3 2" xfId="30990" xr:uid="{00000000-0005-0000-0000-0000B25D0000}"/>
    <cellStyle name="Normal 60 3 4 4" xfId="22947" xr:uid="{00000000-0005-0000-0000-0000B35D0000}"/>
    <cellStyle name="Normal 60 3 5" xfId="5113" xr:uid="{00000000-0005-0000-0000-0000B45D0000}"/>
    <cellStyle name="Normal 60 3 5 2" xfId="14443" xr:uid="{00000000-0005-0000-0000-0000B55D0000}"/>
    <cellStyle name="Normal 60 3 5 2 2" xfId="30991" xr:uid="{00000000-0005-0000-0000-0000B65D0000}"/>
    <cellStyle name="Normal 60 3 5 3" xfId="22948" xr:uid="{00000000-0005-0000-0000-0000B75D0000}"/>
    <cellStyle name="Normal 60 4" xfId="5114" xr:uid="{00000000-0005-0000-0000-0000B85D0000}"/>
    <cellStyle name="Normal 60 4 2" xfId="5115" xr:uid="{00000000-0005-0000-0000-0000B95D0000}"/>
    <cellStyle name="Normal 60 4 2 2" xfId="5116" xr:uid="{00000000-0005-0000-0000-0000BA5D0000}"/>
    <cellStyle name="Normal 60 4 2 2 2" xfId="5117" xr:uid="{00000000-0005-0000-0000-0000BB5D0000}"/>
    <cellStyle name="Normal 60 4 2 2 2 2" xfId="9070" xr:uid="{00000000-0005-0000-0000-0000BC5D0000}"/>
    <cellStyle name="Normal 60 4 2 2 2 2 2" xfId="18244" xr:uid="{00000000-0005-0000-0000-0000BD5D0000}"/>
    <cellStyle name="Normal 60 4 2 2 2 2 2 2" xfId="34818" xr:uid="{00000000-0005-0000-0000-0000BE5D0000}"/>
    <cellStyle name="Normal 60 4 2 2 2 2 3" xfId="26771" xr:uid="{00000000-0005-0000-0000-0000BF5D0000}"/>
    <cellStyle name="Normal 60 4 2 2 2 3" xfId="14447" xr:uid="{00000000-0005-0000-0000-0000C05D0000}"/>
    <cellStyle name="Normal 60 4 2 2 2 3 2" xfId="30995" xr:uid="{00000000-0005-0000-0000-0000C15D0000}"/>
    <cellStyle name="Normal 60 4 2 2 2 4" xfId="22952" xr:uid="{00000000-0005-0000-0000-0000C25D0000}"/>
    <cellStyle name="Normal 60 4 2 2 3" xfId="9071" xr:uid="{00000000-0005-0000-0000-0000C35D0000}"/>
    <cellStyle name="Normal 60 4 2 2 3 2" xfId="18245" xr:uid="{00000000-0005-0000-0000-0000C45D0000}"/>
    <cellStyle name="Normal 60 4 2 2 3 2 2" xfId="34819" xr:uid="{00000000-0005-0000-0000-0000C55D0000}"/>
    <cellStyle name="Normal 60 4 2 2 3 3" xfId="26772" xr:uid="{00000000-0005-0000-0000-0000C65D0000}"/>
    <cellStyle name="Normal 60 4 2 2 4" xfId="14446" xr:uid="{00000000-0005-0000-0000-0000C75D0000}"/>
    <cellStyle name="Normal 60 4 2 2 4 2" xfId="30994" xr:uid="{00000000-0005-0000-0000-0000C85D0000}"/>
    <cellStyle name="Normal 60 4 2 2 5" xfId="22951" xr:uid="{00000000-0005-0000-0000-0000C95D0000}"/>
    <cellStyle name="Normal 60 4 2 3" xfId="5118" xr:uid="{00000000-0005-0000-0000-0000CA5D0000}"/>
    <cellStyle name="Normal 60 4 2 3 2" xfId="9072" xr:uid="{00000000-0005-0000-0000-0000CB5D0000}"/>
    <cellStyle name="Normal 60 4 2 3 2 2" xfId="18246" xr:uid="{00000000-0005-0000-0000-0000CC5D0000}"/>
    <cellStyle name="Normal 60 4 2 3 2 2 2" xfId="34820" xr:uid="{00000000-0005-0000-0000-0000CD5D0000}"/>
    <cellStyle name="Normal 60 4 2 3 2 3" xfId="26773" xr:uid="{00000000-0005-0000-0000-0000CE5D0000}"/>
    <cellStyle name="Normal 60 4 2 3 3" xfId="14448" xr:uid="{00000000-0005-0000-0000-0000CF5D0000}"/>
    <cellStyle name="Normal 60 4 2 3 3 2" xfId="30996" xr:uid="{00000000-0005-0000-0000-0000D05D0000}"/>
    <cellStyle name="Normal 60 4 2 3 4" xfId="22953" xr:uid="{00000000-0005-0000-0000-0000D15D0000}"/>
    <cellStyle name="Normal 60 4 2 4" xfId="9073" xr:uid="{00000000-0005-0000-0000-0000D25D0000}"/>
    <cellStyle name="Normal 60 4 2 4 2" xfId="18247" xr:uid="{00000000-0005-0000-0000-0000D35D0000}"/>
    <cellStyle name="Normal 60 4 2 4 2 2" xfId="34821" xr:uid="{00000000-0005-0000-0000-0000D45D0000}"/>
    <cellStyle name="Normal 60 4 2 4 3" xfId="26774" xr:uid="{00000000-0005-0000-0000-0000D55D0000}"/>
    <cellStyle name="Normal 60 4 2 5" xfId="14445" xr:uid="{00000000-0005-0000-0000-0000D65D0000}"/>
    <cellStyle name="Normal 60 4 2 5 2" xfId="30993" xr:uid="{00000000-0005-0000-0000-0000D75D0000}"/>
    <cellStyle name="Normal 60 4 2 6" xfId="22950" xr:uid="{00000000-0005-0000-0000-0000D85D0000}"/>
    <cellStyle name="Normal 60 4 3" xfId="5119" xr:uid="{00000000-0005-0000-0000-0000D95D0000}"/>
    <cellStyle name="Normal 60 4 3 2" xfId="5120" xr:uid="{00000000-0005-0000-0000-0000DA5D0000}"/>
    <cellStyle name="Normal 60 4 3 2 2" xfId="9074" xr:uid="{00000000-0005-0000-0000-0000DB5D0000}"/>
    <cellStyle name="Normal 60 4 3 2 2 2" xfId="18248" xr:uid="{00000000-0005-0000-0000-0000DC5D0000}"/>
    <cellStyle name="Normal 60 4 3 2 2 2 2" xfId="34822" xr:uid="{00000000-0005-0000-0000-0000DD5D0000}"/>
    <cellStyle name="Normal 60 4 3 2 2 3" xfId="26775" xr:uid="{00000000-0005-0000-0000-0000DE5D0000}"/>
    <cellStyle name="Normal 60 4 3 2 3" xfId="14450" xr:uid="{00000000-0005-0000-0000-0000DF5D0000}"/>
    <cellStyle name="Normal 60 4 3 2 3 2" xfId="30998" xr:uid="{00000000-0005-0000-0000-0000E05D0000}"/>
    <cellStyle name="Normal 60 4 3 2 4" xfId="22955" xr:uid="{00000000-0005-0000-0000-0000E15D0000}"/>
    <cellStyle name="Normal 60 4 3 3" xfId="9075" xr:uid="{00000000-0005-0000-0000-0000E25D0000}"/>
    <cellStyle name="Normal 60 4 3 3 2" xfId="18249" xr:uid="{00000000-0005-0000-0000-0000E35D0000}"/>
    <cellStyle name="Normal 60 4 3 3 2 2" xfId="34823" xr:uid="{00000000-0005-0000-0000-0000E45D0000}"/>
    <cellStyle name="Normal 60 4 3 3 3" xfId="26776" xr:uid="{00000000-0005-0000-0000-0000E55D0000}"/>
    <cellStyle name="Normal 60 4 3 4" xfId="14449" xr:uid="{00000000-0005-0000-0000-0000E65D0000}"/>
    <cellStyle name="Normal 60 4 3 4 2" xfId="30997" xr:uid="{00000000-0005-0000-0000-0000E75D0000}"/>
    <cellStyle name="Normal 60 4 3 5" xfId="22954" xr:uid="{00000000-0005-0000-0000-0000E85D0000}"/>
    <cellStyle name="Normal 60 4 4" xfId="5121" xr:uid="{00000000-0005-0000-0000-0000E95D0000}"/>
    <cellStyle name="Normal 60 4 4 2" xfId="9076" xr:uid="{00000000-0005-0000-0000-0000EA5D0000}"/>
    <cellStyle name="Normal 60 4 4 2 2" xfId="18250" xr:uid="{00000000-0005-0000-0000-0000EB5D0000}"/>
    <cellStyle name="Normal 60 4 4 2 2 2" xfId="34824" xr:uid="{00000000-0005-0000-0000-0000EC5D0000}"/>
    <cellStyle name="Normal 60 4 4 2 3" xfId="26777" xr:uid="{00000000-0005-0000-0000-0000ED5D0000}"/>
    <cellStyle name="Normal 60 4 4 3" xfId="14451" xr:uid="{00000000-0005-0000-0000-0000EE5D0000}"/>
    <cellStyle name="Normal 60 4 4 3 2" xfId="30999" xr:uid="{00000000-0005-0000-0000-0000EF5D0000}"/>
    <cellStyle name="Normal 60 4 4 4" xfId="22956" xr:uid="{00000000-0005-0000-0000-0000F05D0000}"/>
    <cellStyle name="Normal 60 4 5" xfId="9077" xr:uid="{00000000-0005-0000-0000-0000F15D0000}"/>
    <cellStyle name="Normal 60 4 5 2" xfId="18251" xr:uid="{00000000-0005-0000-0000-0000F25D0000}"/>
    <cellStyle name="Normal 60 4 5 2 2" xfId="34825" xr:uid="{00000000-0005-0000-0000-0000F35D0000}"/>
    <cellStyle name="Normal 60 4 5 3" xfId="26778" xr:uid="{00000000-0005-0000-0000-0000F45D0000}"/>
    <cellStyle name="Normal 60 4 6" xfId="14444" xr:uid="{00000000-0005-0000-0000-0000F55D0000}"/>
    <cellStyle name="Normal 60 4 6 2" xfId="30992" xr:uid="{00000000-0005-0000-0000-0000F65D0000}"/>
    <cellStyle name="Normal 60 4 7" xfId="22949" xr:uid="{00000000-0005-0000-0000-0000F75D0000}"/>
    <cellStyle name="Normal 60 5" xfId="5122" xr:uid="{00000000-0005-0000-0000-0000F85D0000}"/>
    <cellStyle name="Normal 60 5 2" xfId="5123" xr:uid="{00000000-0005-0000-0000-0000F95D0000}"/>
    <cellStyle name="Normal 60 5 2 2" xfId="5124" xr:uid="{00000000-0005-0000-0000-0000FA5D0000}"/>
    <cellStyle name="Normal 60 5 2 2 2" xfId="5125" xr:uid="{00000000-0005-0000-0000-0000FB5D0000}"/>
    <cellStyle name="Normal 60 5 2 2 2 2" xfId="9078" xr:uid="{00000000-0005-0000-0000-0000FC5D0000}"/>
    <cellStyle name="Normal 60 5 2 2 2 2 2" xfId="18252" xr:uid="{00000000-0005-0000-0000-0000FD5D0000}"/>
    <cellStyle name="Normal 60 5 2 2 2 2 2 2" xfId="34826" xr:uid="{00000000-0005-0000-0000-0000FE5D0000}"/>
    <cellStyle name="Normal 60 5 2 2 2 2 3" xfId="26779" xr:uid="{00000000-0005-0000-0000-0000FF5D0000}"/>
    <cellStyle name="Normal 60 5 2 2 2 3" xfId="14455" xr:uid="{00000000-0005-0000-0000-0000005E0000}"/>
    <cellStyle name="Normal 60 5 2 2 2 3 2" xfId="31003" xr:uid="{00000000-0005-0000-0000-0000015E0000}"/>
    <cellStyle name="Normal 60 5 2 2 2 4" xfId="22960" xr:uid="{00000000-0005-0000-0000-0000025E0000}"/>
    <cellStyle name="Normal 60 5 2 2 3" xfId="9079" xr:uid="{00000000-0005-0000-0000-0000035E0000}"/>
    <cellStyle name="Normal 60 5 2 2 3 2" xfId="18253" xr:uid="{00000000-0005-0000-0000-0000045E0000}"/>
    <cellStyle name="Normal 60 5 2 2 3 2 2" xfId="34827" xr:uid="{00000000-0005-0000-0000-0000055E0000}"/>
    <cellStyle name="Normal 60 5 2 2 3 3" xfId="26780" xr:uid="{00000000-0005-0000-0000-0000065E0000}"/>
    <cellStyle name="Normal 60 5 2 2 4" xfId="14454" xr:uid="{00000000-0005-0000-0000-0000075E0000}"/>
    <cellStyle name="Normal 60 5 2 2 4 2" xfId="31002" xr:uid="{00000000-0005-0000-0000-0000085E0000}"/>
    <cellStyle name="Normal 60 5 2 2 5" xfId="22959" xr:uid="{00000000-0005-0000-0000-0000095E0000}"/>
    <cellStyle name="Normal 60 5 2 3" xfId="5126" xr:uid="{00000000-0005-0000-0000-00000A5E0000}"/>
    <cellStyle name="Normal 60 5 2 3 2" xfId="9080" xr:uid="{00000000-0005-0000-0000-00000B5E0000}"/>
    <cellStyle name="Normal 60 5 2 3 2 2" xfId="18254" xr:uid="{00000000-0005-0000-0000-00000C5E0000}"/>
    <cellStyle name="Normal 60 5 2 3 2 2 2" xfId="34828" xr:uid="{00000000-0005-0000-0000-00000D5E0000}"/>
    <cellStyle name="Normal 60 5 2 3 2 3" xfId="26781" xr:uid="{00000000-0005-0000-0000-00000E5E0000}"/>
    <cellStyle name="Normal 60 5 2 3 3" xfId="14456" xr:uid="{00000000-0005-0000-0000-00000F5E0000}"/>
    <cellStyle name="Normal 60 5 2 3 3 2" xfId="31004" xr:uid="{00000000-0005-0000-0000-0000105E0000}"/>
    <cellStyle name="Normal 60 5 2 3 4" xfId="22961" xr:uid="{00000000-0005-0000-0000-0000115E0000}"/>
    <cellStyle name="Normal 60 5 2 4" xfId="9081" xr:uid="{00000000-0005-0000-0000-0000125E0000}"/>
    <cellStyle name="Normal 60 5 2 4 2" xfId="18255" xr:uid="{00000000-0005-0000-0000-0000135E0000}"/>
    <cellStyle name="Normal 60 5 2 4 2 2" xfId="34829" xr:uid="{00000000-0005-0000-0000-0000145E0000}"/>
    <cellStyle name="Normal 60 5 2 4 3" xfId="26782" xr:uid="{00000000-0005-0000-0000-0000155E0000}"/>
    <cellStyle name="Normal 60 5 2 5" xfId="14453" xr:uid="{00000000-0005-0000-0000-0000165E0000}"/>
    <cellStyle name="Normal 60 5 2 5 2" xfId="31001" xr:uid="{00000000-0005-0000-0000-0000175E0000}"/>
    <cellStyle name="Normal 60 5 2 6" xfId="22958" xr:uid="{00000000-0005-0000-0000-0000185E0000}"/>
    <cellStyle name="Normal 60 5 3" xfId="5127" xr:uid="{00000000-0005-0000-0000-0000195E0000}"/>
    <cellStyle name="Normal 60 5 3 2" xfId="5128" xr:uid="{00000000-0005-0000-0000-00001A5E0000}"/>
    <cellStyle name="Normal 60 5 3 2 2" xfId="9082" xr:uid="{00000000-0005-0000-0000-00001B5E0000}"/>
    <cellStyle name="Normal 60 5 3 2 2 2" xfId="18256" xr:uid="{00000000-0005-0000-0000-00001C5E0000}"/>
    <cellStyle name="Normal 60 5 3 2 2 2 2" xfId="34830" xr:uid="{00000000-0005-0000-0000-00001D5E0000}"/>
    <cellStyle name="Normal 60 5 3 2 2 3" xfId="26783" xr:uid="{00000000-0005-0000-0000-00001E5E0000}"/>
    <cellStyle name="Normal 60 5 3 2 3" xfId="14458" xr:uid="{00000000-0005-0000-0000-00001F5E0000}"/>
    <cellStyle name="Normal 60 5 3 2 3 2" xfId="31006" xr:uid="{00000000-0005-0000-0000-0000205E0000}"/>
    <cellStyle name="Normal 60 5 3 2 4" xfId="22963" xr:uid="{00000000-0005-0000-0000-0000215E0000}"/>
    <cellStyle name="Normal 60 5 3 3" xfId="9083" xr:uid="{00000000-0005-0000-0000-0000225E0000}"/>
    <cellStyle name="Normal 60 5 3 3 2" xfId="18257" xr:uid="{00000000-0005-0000-0000-0000235E0000}"/>
    <cellStyle name="Normal 60 5 3 3 2 2" xfId="34831" xr:uid="{00000000-0005-0000-0000-0000245E0000}"/>
    <cellStyle name="Normal 60 5 3 3 3" xfId="26784" xr:uid="{00000000-0005-0000-0000-0000255E0000}"/>
    <cellStyle name="Normal 60 5 3 4" xfId="14457" xr:uid="{00000000-0005-0000-0000-0000265E0000}"/>
    <cellStyle name="Normal 60 5 3 4 2" xfId="31005" xr:uid="{00000000-0005-0000-0000-0000275E0000}"/>
    <cellStyle name="Normal 60 5 3 5" xfId="22962" xr:uid="{00000000-0005-0000-0000-0000285E0000}"/>
    <cellStyle name="Normal 60 5 4" xfId="5129" xr:uid="{00000000-0005-0000-0000-0000295E0000}"/>
    <cellStyle name="Normal 60 5 4 2" xfId="9084" xr:uid="{00000000-0005-0000-0000-00002A5E0000}"/>
    <cellStyle name="Normal 60 5 4 2 2" xfId="18258" xr:uid="{00000000-0005-0000-0000-00002B5E0000}"/>
    <cellStyle name="Normal 60 5 4 2 2 2" xfId="34832" xr:uid="{00000000-0005-0000-0000-00002C5E0000}"/>
    <cellStyle name="Normal 60 5 4 2 3" xfId="26785" xr:uid="{00000000-0005-0000-0000-00002D5E0000}"/>
    <cellStyle name="Normal 60 5 4 3" xfId="14459" xr:uid="{00000000-0005-0000-0000-00002E5E0000}"/>
    <cellStyle name="Normal 60 5 4 3 2" xfId="31007" xr:uid="{00000000-0005-0000-0000-00002F5E0000}"/>
    <cellStyle name="Normal 60 5 4 4" xfId="22964" xr:uid="{00000000-0005-0000-0000-0000305E0000}"/>
    <cellStyle name="Normal 60 5 5" xfId="9085" xr:uid="{00000000-0005-0000-0000-0000315E0000}"/>
    <cellStyle name="Normal 60 5 5 2" xfId="18259" xr:uid="{00000000-0005-0000-0000-0000325E0000}"/>
    <cellStyle name="Normal 60 5 5 2 2" xfId="34833" xr:uid="{00000000-0005-0000-0000-0000335E0000}"/>
    <cellStyle name="Normal 60 5 5 3" xfId="26786" xr:uid="{00000000-0005-0000-0000-0000345E0000}"/>
    <cellStyle name="Normal 60 5 6" xfId="14452" xr:uid="{00000000-0005-0000-0000-0000355E0000}"/>
    <cellStyle name="Normal 60 5 6 2" xfId="31000" xr:uid="{00000000-0005-0000-0000-0000365E0000}"/>
    <cellStyle name="Normal 60 5 7" xfId="22957" xr:uid="{00000000-0005-0000-0000-0000375E0000}"/>
    <cellStyle name="Normal 60 6" xfId="5130" xr:uid="{00000000-0005-0000-0000-0000385E0000}"/>
    <cellStyle name="Normal 60 6 2" xfId="5131" xr:uid="{00000000-0005-0000-0000-0000395E0000}"/>
    <cellStyle name="Normal 60 6 2 2" xfId="5132" xr:uid="{00000000-0005-0000-0000-00003A5E0000}"/>
    <cellStyle name="Normal 60 6 2 2 2" xfId="9086" xr:uid="{00000000-0005-0000-0000-00003B5E0000}"/>
    <cellStyle name="Normal 60 6 2 2 2 2" xfId="18260" xr:uid="{00000000-0005-0000-0000-00003C5E0000}"/>
    <cellStyle name="Normal 60 6 2 2 2 2 2" xfId="34834" xr:uid="{00000000-0005-0000-0000-00003D5E0000}"/>
    <cellStyle name="Normal 60 6 2 2 2 3" xfId="26787" xr:uid="{00000000-0005-0000-0000-00003E5E0000}"/>
    <cellStyle name="Normal 60 6 2 2 3" xfId="14462" xr:uid="{00000000-0005-0000-0000-00003F5E0000}"/>
    <cellStyle name="Normal 60 6 2 2 3 2" xfId="31010" xr:uid="{00000000-0005-0000-0000-0000405E0000}"/>
    <cellStyle name="Normal 60 6 2 2 4" xfId="22967" xr:uid="{00000000-0005-0000-0000-0000415E0000}"/>
    <cellStyle name="Normal 60 6 2 3" xfId="9087" xr:uid="{00000000-0005-0000-0000-0000425E0000}"/>
    <cellStyle name="Normal 60 6 2 3 2" xfId="18261" xr:uid="{00000000-0005-0000-0000-0000435E0000}"/>
    <cellStyle name="Normal 60 6 2 3 2 2" xfId="34835" xr:uid="{00000000-0005-0000-0000-0000445E0000}"/>
    <cellStyle name="Normal 60 6 2 3 3" xfId="26788" xr:uid="{00000000-0005-0000-0000-0000455E0000}"/>
    <cellStyle name="Normal 60 6 2 4" xfId="14461" xr:uid="{00000000-0005-0000-0000-0000465E0000}"/>
    <cellStyle name="Normal 60 6 2 4 2" xfId="31009" xr:uid="{00000000-0005-0000-0000-0000475E0000}"/>
    <cellStyle name="Normal 60 6 2 5" xfId="22966" xr:uid="{00000000-0005-0000-0000-0000485E0000}"/>
    <cellStyle name="Normal 60 6 3" xfId="5133" xr:uid="{00000000-0005-0000-0000-0000495E0000}"/>
    <cellStyle name="Normal 60 6 3 2" xfId="9088" xr:uid="{00000000-0005-0000-0000-00004A5E0000}"/>
    <cellStyle name="Normal 60 6 3 2 2" xfId="18262" xr:uid="{00000000-0005-0000-0000-00004B5E0000}"/>
    <cellStyle name="Normal 60 6 3 2 2 2" xfId="34836" xr:uid="{00000000-0005-0000-0000-00004C5E0000}"/>
    <cellStyle name="Normal 60 6 3 2 3" xfId="26789" xr:uid="{00000000-0005-0000-0000-00004D5E0000}"/>
    <cellStyle name="Normal 60 6 3 3" xfId="14463" xr:uid="{00000000-0005-0000-0000-00004E5E0000}"/>
    <cellStyle name="Normal 60 6 3 3 2" xfId="31011" xr:uid="{00000000-0005-0000-0000-00004F5E0000}"/>
    <cellStyle name="Normal 60 6 3 4" xfId="22968" xr:uid="{00000000-0005-0000-0000-0000505E0000}"/>
    <cellStyle name="Normal 60 6 4" xfId="9089" xr:uid="{00000000-0005-0000-0000-0000515E0000}"/>
    <cellStyle name="Normal 60 6 4 2" xfId="18263" xr:uid="{00000000-0005-0000-0000-0000525E0000}"/>
    <cellStyle name="Normal 60 6 4 2 2" xfId="34837" xr:uid="{00000000-0005-0000-0000-0000535E0000}"/>
    <cellStyle name="Normal 60 6 4 3" xfId="26790" xr:uid="{00000000-0005-0000-0000-0000545E0000}"/>
    <cellStyle name="Normal 60 6 5" xfId="14460" xr:uid="{00000000-0005-0000-0000-0000555E0000}"/>
    <cellStyle name="Normal 60 6 5 2" xfId="31008" xr:uid="{00000000-0005-0000-0000-0000565E0000}"/>
    <cellStyle name="Normal 60 6 6" xfId="22965" xr:uid="{00000000-0005-0000-0000-0000575E0000}"/>
    <cellStyle name="Normal 60 7" xfId="5134" xr:uid="{00000000-0005-0000-0000-0000585E0000}"/>
    <cellStyle name="Normal 60 7 2" xfId="5135" xr:uid="{00000000-0005-0000-0000-0000595E0000}"/>
    <cellStyle name="Normal 60 7 2 2" xfId="9090" xr:uid="{00000000-0005-0000-0000-00005A5E0000}"/>
    <cellStyle name="Normal 60 7 2 2 2" xfId="18264" xr:uid="{00000000-0005-0000-0000-00005B5E0000}"/>
    <cellStyle name="Normal 60 7 2 2 2 2" xfId="34838" xr:uid="{00000000-0005-0000-0000-00005C5E0000}"/>
    <cellStyle name="Normal 60 7 2 2 3" xfId="26791" xr:uid="{00000000-0005-0000-0000-00005D5E0000}"/>
    <cellStyle name="Normal 60 7 2 3" xfId="14465" xr:uid="{00000000-0005-0000-0000-00005E5E0000}"/>
    <cellStyle name="Normal 60 7 2 3 2" xfId="31013" xr:uid="{00000000-0005-0000-0000-00005F5E0000}"/>
    <cellStyle name="Normal 60 7 2 4" xfId="22970" xr:uid="{00000000-0005-0000-0000-0000605E0000}"/>
    <cellStyle name="Normal 60 7 3" xfId="9091" xr:uid="{00000000-0005-0000-0000-0000615E0000}"/>
    <cellStyle name="Normal 60 7 3 2" xfId="18265" xr:uid="{00000000-0005-0000-0000-0000625E0000}"/>
    <cellStyle name="Normal 60 7 3 2 2" xfId="34839" xr:uid="{00000000-0005-0000-0000-0000635E0000}"/>
    <cellStyle name="Normal 60 7 3 3" xfId="26792" xr:uid="{00000000-0005-0000-0000-0000645E0000}"/>
    <cellStyle name="Normal 60 7 4" xfId="14464" xr:uid="{00000000-0005-0000-0000-0000655E0000}"/>
    <cellStyle name="Normal 60 7 4 2" xfId="31012" xr:uid="{00000000-0005-0000-0000-0000665E0000}"/>
    <cellStyle name="Normal 60 7 5" xfId="22969" xr:uid="{00000000-0005-0000-0000-0000675E0000}"/>
    <cellStyle name="Normal 60 8" xfId="5136" xr:uid="{00000000-0005-0000-0000-0000685E0000}"/>
    <cellStyle name="Normal 60 8 2" xfId="9092" xr:uid="{00000000-0005-0000-0000-0000695E0000}"/>
    <cellStyle name="Normal 60 8 2 2" xfId="18266" xr:uid="{00000000-0005-0000-0000-00006A5E0000}"/>
    <cellStyle name="Normal 60 8 2 2 2" xfId="34840" xr:uid="{00000000-0005-0000-0000-00006B5E0000}"/>
    <cellStyle name="Normal 60 8 2 3" xfId="26793" xr:uid="{00000000-0005-0000-0000-00006C5E0000}"/>
    <cellStyle name="Normal 60 8 3" xfId="14466" xr:uid="{00000000-0005-0000-0000-00006D5E0000}"/>
    <cellStyle name="Normal 60 8 3 2" xfId="31014" xr:uid="{00000000-0005-0000-0000-00006E5E0000}"/>
    <cellStyle name="Normal 60 8 4" xfId="22971" xr:uid="{00000000-0005-0000-0000-00006F5E0000}"/>
    <cellStyle name="Normal 60 9" xfId="9093" xr:uid="{00000000-0005-0000-0000-0000705E0000}"/>
    <cellStyle name="Normal 60 9 2" xfId="18267" xr:uid="{00000000-0005-0000-0000-0000715E0000}"/>
    <cellStyle name="Normal 60 9 2 2" xfId="34841" xr:uid="{00000000-0005-0000-0000-0000725E0000}"/>
    <cellStyle name="Normal 60 9 3" xfId="26794" xr:uid="{00000000-0005-0000-0000-0000735E0000}"/>
    <cellStyle name="Normal 61" xfId="5137" xr:uid="{00000000-0005-0000-0000-0000745E0000}"/>
    <cellStyle name="Normal 61 10" xfId="14467" xr:uid="{00000000-0005-0000-0000-0000755E0000}"/>
    <cellStyle name="Normal 61 10 2" xfId="31015" xr:uid="{00000000-0005-0000-0000-0000765E0000}"/>
    <cellStyle name="Normal 61 11" xfId="22972" xr:uid="{00000000-0005-0000-0000-0000775E0000}"/>
    <cellStyle name="Normal 61 2" xfId="5138" xr:uid="{00000000-0005-0000-0000-0000785E0000}"/>
    <cellStyle name="Normal 61 2 2" xfId="5139" xr:uid="{00000000-0005-0000-0000-0000795E0000}"/>
    <cellStyle name="Normal 61 2 3" xfId="14468" xr:uid="{00000000-0005-0000-0000-00007A5E0000}"/>
    <cellStyle name="Normal 61 2 3 2" xfId="31016" xr:uid="{00000000-0005-0000-0000-00007B5E0000}"/>
    <cellStyle name="Normal 61 2 4" xfId="22973" xr:uid="{00000000-0005-0000-0000-00007C5E0000}"/>
    <cellStyle name="Normal 61 3" xfId="5140" xr:uid="{00000000-0005-0000-0000-00007D5E0000}"/>
    <cellStyle name="Normal 61 3 2" xfId="5141" xr:uid="{00000000-0005-0000-0000-00007E5E0000}"/>
    <cellStyle name="Normal 61 3 2 2" xfId="5142" xr:uid="{00000000-0005-0000-0000-00007F5E0000}"/>
    <cellStyle name="Normal 61 3 2 2 2" xfId="5143" xr:uid="{00000000-0005-0000-0000-0000805E0000}"/>
    <cellStyle name="Normal 61 3 2 2 2 2" xfId="9094" xr:uid="{00000000-0005-0000-0000-0000815E0000}"/>
    <cellStyle name="Normal 61 3 2 2 2 2 2" xfId="18268" xr:uid="{00000000-0005-0000-0000-0000825E0000}"/>
    <cellStyle name="Normal 61 3 2 2 2 2 2 2" xfId="34842" xr:uid="{00000000-0005-0000-0000-0000835E0000}"/>
    <cellStyle name="Normal 61 3 2 2 2 2 3" xfId="26795" xr:uid="{00000000-0005-0000-0000-0000845E0000}"/>
    <cellStyle name="Normal 61 3 2 2 2 3" xfId="14471" xr:uid="{00000000-0005-0000-0000-0000855E0000}"/>
    <cellStyle name="Normal 61 3 2 2 2 3 2" xfId="31019" xr:uid="{00000000-0005-0000-0000-0000865E0000}"/>
    <cellStyle name="Normal 61 3 2 2 2 4" xfId="22976" xr:uid="{00000000-0005-0000-0000-0000875E0000}"/>
    <cellStyle name="Normal 61 3 2 2 3" xfId="9095" xr:uid="{00000000-0005-0000-0000-0000885E0000}"/>
    <cellStyle name="Normal 61 3 2 2 3 2" xfId="18269" xr:uid="{00000000-0005-0000-0000-0000895E0000}"/>
    <cellStyle name="Normal 61 3 2 2 3 2 2" xfId="34843" xr:uid="{00000000-0005-0000-0000-00008A5E0000}"/>
    <cellStyle name="Normal 61 3 2 2 3 3" xfId="26796" xr:uid="{00000000-0005-0000-0000-00008B5E0000}"/>
    <cellStyle name="Normal 61 3 2 2 4" xfId="14470" xr:uid="{00000000-0005-0000-0000-00008C5E0000}"/>
    <cellStyle name="Normal 61 3 2 2 4 2" xfId="31018" xr:uid="{00000000-0005-0000-0000-00008D5E0000}"/>
    <cellStyle name="Normal 61 3 2 2 5" xfId="22975" xr:uid="{00000000-0005-0000-0000-00008E5E0000}"/>
    <cellStyle name="Normal 61 3 2 3" xfId="5144" xr:uid="{00000000-0005-0000-0000-00008F5E0000}"/>
    <cellStyle name="Normal 61 3 2 3 2" xfId="9096" xr:uid="{00000000-0005-0000-0000-0000905E0000}"/>
    <cellStyle name="Normal 61 3 2 3 2 2" xfId="18270" xr:uid="{00000000-0005-0000-0000-0000915E0000}"/>
    <cellStyle name="Normal 61 3 2 3 2 2 2" xfId="34844" xr:uid="{00000000-0005-0000-0000-0000925E0000}"/>
    <cellStyle name="Normal 61 3 2 3 2 3" xfId="26797" xr:uid="{00000000-0005-0000-0000-0000935E0000}"/>
    <cellStyle name="Normal 61 3 2 3 3" xfId="14472" xr:uid="{00000000-0005-0000-0000-0000945E0000}"/>
    <cellStyle name="Normal 61 3 2 3 3 2" xfId="31020" xr:uid="{00000000-0005-0000-0000-0000955E0000}"/>
    <cellStyle name="Normal 61 3 2 3 4" xfId="22977" xr:uid="{00000000-0005-0000-0000-0000965E0000}"/>
    <cellStyle name="Normal 61 3 2 4" xfId="9097" xr:uid="{00000000-0005-0000-0000-0000975E0000}"/>
    <cellStyle name="Normal 61 3 2 4 2" xfId="18271" xr:uid="{00000000-0005-0000-0000-0000985E0000}"/>
    <cellStyle name="Normal 61 3 2 4 2 2" xfId="34845" xr:uid="{00000000-0005-0000-0000-0000995E0000}"/>
    <cellStyle name="Normal 61 3 2 4 3" xfId="26798" xr:uid="{00000000-0005-0000-0000-00009A5E0000}"/>
    <cellStyle name="Normal 61 3 2 5" xfId="14469" xr:uid="{00000000-0005-0000-0000-00009B5E0000}"/>
    <cellStyle name="Normal 61 3 2 5 2" xfId="31017" xr:uid="{00000000-0005-0000-0000-00009C5E0000}"/>
    <cellStyle name="Normal 61 3 2 6" xfId="22974" xr:uid="{00000000-0005-0000-0000-00009D5E0000}"/>
    <cellStyle name="Normal 61 3 3" xfId="5145" xr:uid="{00000000-0005-0000-0000-00009E5E0000}"/>
    <cellStyle name="Normal 61 3 3 2" xfId="5146" xr:uid="{00000000-0005-0000-0000-00009F5E0000}"/>
    <cellStyle name="Normal 61 3 3 2 2" xfId="9098" xr:uid="{00000000-0005-0000-0000-0000A05E0000}"/>
    <cellStyle name="Normal 61 3 3 2 2 2" xfId="18272" xr:uid="{00000000-0005-0000-0000-0000A15E0000}"/>
    <cellStyle name="Normal 61 3 3 2 2 2 2" xfId="34846" xr:uid="{00000000-0005-0000-0000-0000A25E0000}"/>
    <cellStyle name="Normal 61 3 3 2 2 3" xfId="26799" xr:uid="{00000000-0005-0000-0000-0000A35E0000}"/>
    <cellStyle name="Normal 61 3 3 2 3" xfId="14474" xr:uid="{00000000-0005-0000-0000-0000A45E0000}"/>
    <cellStyle name="Normal 61 3 3 2 3 2" xfId="31022" xr:uid="{00000000-0005-0000-0000-0000A55E0000}"/>
    <cellStyle name="Normal 61 3 3 2 4" xfId="22979" xr:uid="{00000000-0005-0000-0000-0000A65E0000}"/>
    <cellStyle name="Normal 61 3 3 3" xfId="9099" xr:uid="{00000000-0005-0000-0000-0000A75E0000}"/>
    <cellStyle name="Normal 61 3 3 3 2" xfId="18273" xr:uid="{00000000-0005-0000-0000-0000A85E0000}"/>
    <cellStyle name="Normal 61 3 3 3 2 2" xfId="34847" xr:uid="{00000000-0005-0000-0000-0000A95E0000}"/>
    <cellStyle name="Normal 61 3 3 3 3" xfId="26800" xr:uid="{00000000-0005-0000-0000-0000AA5E0000}"/>
    <cellStyle name="Normal 61 3 3 4" xfId="14473" xr:uid="{00000000-0005-0000-0000-0000AB5E0000}"/>
    <cellStyle name="Normal 61 3 3 4 2" xfId="31021" xr:uid="{00000000-0005-0000-0000-0000AC5E0000}"/>
    <cellStyle name="Normal 61 3 3 5" xfId="22978" xr:uid="{00000000-0005-0000-0000-0000AD5E0000}"/>
    <cellStyle name="Normal 61 3 4" xfId="5147" xr:uid="{00000000-0005-0000-0000-0000AE5E0000}"/>
    <cellStyle name="Normal 61 3 4 2" xfId="9100" xr:uid="{00000000-0005-0000-0000-0000AF5E0000}"/>
    <cellStyle name="Normal 61 3 4 2 2" xfId="18274" xr:uid="{00000000-0005-0000-0000-0000B05E0000}"/>
    <cellStyle name="Normal 61 3 4 2 2 2" xfId="34848" xr:uid="{00000000-0005-0000-0000-0000B15E0000}"/>
    <cellStyle name="Normal 61 3 4 2 3" xfId="26801" xr:uid="{00000000-0005-0000-0000-0000B25E0000}"/>
    <cellStyle name="Normal 61 3 4 3" xfId="14475" xr:uid="{00000000-0005-0000-0000-0000B35E0000}"/>
    <cellStyle name="Normal 61 3 4 3 2" xfId="31023" xr:uid="{00000000-0005-0000-0000-0000B45E0000}"/>
    <cellStyle name="Normal 61 3 4 4" xfId="22980" xr:uid="{00000000-0005-0000-0000-0000B55E0000}"/>
    <cellStyle name="Normal 61 3 5" xfId="5148" xr:uid="{00000000-0005-0000-0000-0000B65E0000}"/>
    <cellStyle name="Normal 61 3 5 2" xfId="14476" xr:uid="{00000000-0005-0000-0000-0000B75E0000}"/>
    <cellStyle name="Normal 61 3 5 2 2" xfId="31024" xr:uid="{00000000-0005-0000-0000-0000B85E0000}"/>
    <cellStyle name="Normal 61 3 5 3" xfId="22981" xr:uid="{00000000-0005-0000-0000-0000B95E0000}"/>
    <cellStyle name="Normal 61 4" xfId="5149" xr:uid="{00000000-0005-0000-0000-0000BA5E0000}"/>
    <cellStyle name="Normal 61 4 2" xfId="5150" xr:uid="{00000000-0005-0000-0000-0000BB5E0000}"/>
    <cellStyle name="Normal 61 4 2 2" xfId="5151" xr:uid="{00000000-0005-0000-0000-0000BC5E0000}"/>
    <cellStyle name="Normal 61 4 2 2 2" xfId="5152" xr:uid="{00000000-0005-0000-0000-0000BD5E0000}"/>
    <cellStyle name="Normal 61 4 2 2 2 2" xfId="9101" xr:uid="{00000000-0005-0000-0000-0000BE5E0000}"/>
    <cellStyle name="Normal 61 4 2 2 2 2 2" xfId="18275" xr:uid="{00000000-0005-0000-0000-0000BF5E0000}"/>
    <cellStyle name="Normal 61 4 2 2 2 2 2 2" xfId="34849" xr:uid="{00000000-0005-0000-0000-0000C05E0000}"/>
    <cellStyle name="Normal 61 4 2 2 2 2 3" xfId="26802" xr:uid="{00000000-0005-0000-0000-0000C15E0000}"/>
    <cellStyle name="Normal 61 4 2 2 2 3" xfId="14480" xr:uid="{00000000-0005-0000-0000-0000C25E0000}"/>
    <cellStyle name="Normal 61 4 2 2 2 3 2" xfId="31028" xr:uid="{00000000-0005-0000-0000-0000C35E0000}"/>
    <cellStyle name="Normal 61 4 2 2 2 4" xfId="22985" xr:uid="{00000000-0005-0000-0000-0000C45E0000}"/>
    <cellStyle name="Normal 61 4 2 2 3" xfId="9102" xr:uid="{00000000-0005-0000-0000-0000C55E0000}"/>
    <cellStyle name="Normal 61 4 2 2 3 2" xfId="18276" xr:uid="{00000000-0005-0000-0000-0000C65E0000}"/>
    <cellStyle name="Normal 61 4 2 2 3 2 2" xfId="34850" xr:uid="{00000000-0005-0000-0000-0000C75E0000}"/>
    <cellStyle name="Normal 61 4 2 2 3 3" xfId="26803" xr:uid="{00000000-0005-0000-0000-0000C85E0000}"/>
    <cellStyle name="Normal 61 4 2 2 4" xfId="14479" xr:uid="{00000000-0005-0000-0000-0000C95E0000}"/>
    <cellStyle name="Normal 61 4 2 2 4 2" xfId="31027" xr:uid="{00000000-0005-0000-0000-0000CA5E0000}"/>
    <cellStyle name="Normal 61 4 2 2 5" xfId="22984" xr:uid="{00000000-0005-0000-0000-0000CB5E0000}"/>
    <cellStyle name="Normal 61 4 2 3" xfId="5153" xr:uid="{00000000-0005-0000-0000-0000CC5E0000}"/>
    <cellStyle name="Normal 61 4 2 3 2" xfId="9103" xr:uid="{00000000-0005-0000-0000-0000CD5E0000}"/>
    <cellStyle name="Normal 61 4 2 3 2 2" xfId="18277" xr:uid="{00000000-0005-0000-0000-0000CE5E0000}"/>
    <cellStyle name="Normal 61 4 2 3 2 2 2" xfId="34851" xr:uid="{00000000-0005-0000-0000-0000CF5E0000}"/>
    <cellStyle name="Normal 61 4 2 3 2 3" xfId="26804" xr:uid="{00000000-0005-0000-0000-0000D05E0000}"/>
    <cellStyle name="Normal 61 4 2 3 3" xfId="14481" xr:uid="{00000000-0005-0000-0000-0000D15E0000}"/>
    <cellStyle name="Normal 61 4 2 3 3 2" xfId="31029" xr:uid="{00000000-0005-0000-0000-0000D25E0000}"/>
    <cellStyle name="Normal 61 4 2 3 4" xfId="22986" xr:uid="{00000000-0005-0000-0000-0000D35E0000}"/>
    <cellStyle name="Normal 61 4 2 4" xfId="9104" xr:uid="{00000000-0005-0000-0000-0000D45E0000}"/>
    <cellStyle name="Normal 61 4 2 4 2" xfId="18278" xr:uid="{00000000-0005-0000-0000-0000D55E0000}"/>
    <cellStyle name="Normal 61 4 2 4 2 2" xfId="34852" xr:uid="{00000000-0005-0000-0000-0000D65E0000}"/>
    <cellStyle name="Normal 61 4 2 4 3" xfId="26805" xr:uid="{00000000-0005-0000-0000-0000D75E0000}"/>
    <cellStyle name="Normal 61 4 2 5" xfId="14478" xr:uid="{00000000-0005-0000-0000-0000D85E0000}"/>
    <cellStyle name="Normal 61 4 2 5 2" xfId="31026" xr:uid="{00000000-0005-0000-0000-0000D95E0000}"/>
    <cellStyle name="Normal 61 4 2 6" xfId="22983" xr:uid="{00000000-0005-0000-0000-0000DA5E0000}"/>
    <cellStyle name="Normal 61 4 3" xfId="5154" xr:uid="{00000000-0005-0000-0000-0000DB5E0000}"/>
    <cellStyle name="Normal 61 4 3 2" xfId="5155" xr:uid="{00000000-0005-0000-0000-0000DC5E0000}"/>
    <cellStyle name="Normal 61 4 3 2 2" xfId="9105" xr:uid="{00000000-0005-0000-0000-0000DD5E0000}"/>
    <cellStyle name="Normal 61 4 3 2 2 2" xfId="18279" xr:uid="{00000000-0005-0000-0000-0000DE5E0000}"/>
    <cellStyle name="Normal 61 4 3 2 2 2 2" xfId="34853" xr:uid="{00000000-0005-0000-0000-0000DF5E0000}"/>
    <cellStyle name="Normal 61 4 3 2 2 3" xfId="26806" xr:uid="{00000000-0005-0000-0000-0000E05E0000}"/>
    <cellStyle name="Normal 61 4 3 2 3" xfId="14483" xr:uid="{00000000-0005-0000-0000-0000E15E0000}"/>
    <cellStyle name="Normal 61 4 3 2 3 2" xfId="31031" xr:uid="{00000000-0005-0000-0000-0000E25E0000}"/>
    <cellStyle name="Normal 61 4 3 2 4" xfId="22988" xr:uid="{00000000-0005-0000-0000-0000E35E0000}"/>
    <cellStyle name="Normal 61 4 3 3" xfId="9106" xr:uid="{00000000-0005-0000-0000-0000E45E0000}"/>
    <cellStyle name="Normal 61 4 3 3 2" xfId="18280" xr:uid="{00000000-0005-0000-0000-0000E55E0000}"/>
    <cellStyle name="Normal 61 4 3 3 2 2" xfId="34854" xr:uid="{00000000-0005-0000-0000-0000E65E0000}"/>
    <cellStyle name="Normal 61 4 3 3 3" xfId="26807" xr:uid="{00000000-0005-0000-0000-0000E75E0000}"/>
    <cellStyle name="Normal 61 4 3 4" xfId="14482" xr:uid="{00000000-0005-0000-0000-0000E85E0000}"/>
    <cellStyle name="Normal 61 4 3 4 2" xfId="31030" xr:uid="{00000000-0005-0000-0000-0000E95E0000}"/>
    <cellStyle name="Normal 61 4 3 5" xfId="22987" xr:uid="{00000000-0005-0000-0000-0000EA5E0000}"/>
    <cellStyle name="Normal 61 4 4" xfId="5156" xr:uid="{00000000-0005-0000-0000-0000EB5E0000}"/>
    <cellStyle name="Normal 61 4 4 2" xfId="9107" xr:uid="{00000000-0005-0000-0000-0000EC5E0000}"/>
    <cellStyle name="Normal 61 4 4 2 2" xfId="18281" xr:uid="{00000000-0005-0000-0000-0000ED5E0000}"/>
    <cellStyle name="Normal 61 4 4 2 2 2" xfId="34855" xr:uid="{00000000-0005-0000-0000-0000EE5E0000}"/>
    <cellStyle name="Normal 61 4 4 2 3" xfId="26808" xr:uid="{00000000-0005-0000-0000-0000EF5E0000}"/>
    <cellStyle name="Normal 61 4 4 3" xfId="14484" xr:uid="{00000000-0005-0000-0000-0000F05E0000}"/>
    <cellStyle name="Normal 61 4 4 3 2" xfId="31032" xr:uid="{00000000-0005-0000-0000-0000F15E0000}"/>
    <cellStyle name="Normal 61 4 4 4" xfId="22989" xr:uid="{00000000-0005-0000-0000-0000F25E0000}"/>
    <cellStyle name="Normal 61 4 5" xfId="9108" xr:uid="{00000000-0005-0000-0000-0000F35E0000}"/>
    <cellStyle name="Normal 61 4 5 2" xfId="18282" xr:uid="{00000000-0005-0000-0000-0000F45E0000}"/>
    <cellStyle name="Normal 61 4 5 2 2" xfId="34856" xr:uid="{00000000-0005-0000-0000-0000F55E0000}"/>
    <cellStyle name="Normal 61 4 5 3" xfId="26809" xr:uid="{00000000-0005-0000-0000-0000F65E0000}"/>
    <cellStyle name="Normal 61 4 6" xfId="14477" xr:uid="{00000000-0005-0000-0000-0000F75E0000}"/>
    <cellStyle name="Normal 61 4 6 2" xfId="31025" xr:uid="{00000000-0005-0000-0000-0000F85E0000}"/>
    <cellStyle name="Normal 61 4 7" xfId="22982" xr:uid="{00000000-0005-0000-0000-0000F95E0000}"/>
    <cellStyle name="Normal 61 5" xfId="5157" xr:uid="{00000000-0005-0000-0000-0000FA5E0000}"/>
    <cellStyle name="Normal 61 5 2" xfId="5158" xr:uid="{00000000-0005-0000-0000-0000FB5E0000}"/>
    <cellStyle name="Normal 61 5 2 2" xfId="5159" xr:uid="{00000000-0005-0000-0000-0000FC5E0000}"/>
    <cellStyle name="Normal 61 5 2 2 2" xfId="5160" xr:uid="{00000000-0005-0000-0000-0000FD5E0000}"/>
    <cellStyle name="Normal 61 5 2 2 2 2" xfId="9109" xr:uid="{00000000-0005-0000-0000-0000FE5E0000}"/>
    <cellStyle name="Normal 61 5 2 2 2 2 2" xfId="18283" xr:uid="{00000000-0005-0000-0000-0000FF5E0000}"/>
    <cellStyle name="Normal 61 5 2 2 2 2 2 2" xfId="34857" xr:uid="{00000000-0005-0000-0000-0000005F0000}"/>
    <cellStyle name="Normal 61 5 2 2 2 2 3" xfId="26810" xr:uid="{00000000-0005-0000-0000-0000015F0000}"/>
    <cellStyle name="Normal 61 5 2 2 2 3" xfId="14488" xr:uid="{00000000-0005-0000-0000-0000025F0000}"/>
    <cellStyle name="Normal 61 5 2 2 2 3 2" xfId="31036" xr:uid="{00000000-0005-0000-0000-0000035F0000}"/>
    <cellStyle name="Normal 61 5 2 2 2 4" xfId="22993" xr:uid="{00000000-0005-0000-0000-0000045F0000}"/>
    <cellStyle name="Normal 61 5 2 2 3" xfId="9110" xr:uid="{00000000-0005-0000-0000-0000055F0000}"/>
    <cellStyle name="Normal 61 5 2 2 3 2" xfId="18284" xr:uid="{00000000-0005-0000-0000-0000065F0000}"/>
    <cellStyle name="Normal 61 5 2 2 3 2 2" xfId="34858" xr:uid="{00000000-0005-0000-0000-0000075F0000}"/>
    <cellStyle name="Normal 61 5 2 2 3 3" xfId="26811" xr:uid="{00000000-0005-0000-0000-0000085F0000}"/>
    <cellStyle name="Normal 61 5 2 2 4" xfId="14487" xr:uid="{00000000-0005-0000-0000-0000095F0000}"/>
    <cellStyle name="Normal 61 5 2 2 4 2" xfId="31035" xr:uid="{00000000-0005-0000-0000-00000A5F0000}"/>
    <cellStyle name="Normal 61 5 2 2 5" xfId="22992" xr:uid="{00000000-0005-0000-0000-00000B5F0000}"/>
    <cellStyle name="Normal 61 5 2 3" xfId="5161" xr:uid="{00000000-0005-0000-0000-00000C5F0000}"/>
    <cellStyle name="Normal 61 5 2 3 2" xfId="9111" xr:uid="{00000000-0005-0000-0000-00000D5F0000}"/>
    <cellStyle name="Normal 61 5 2 3 2 2" xfId="18285" xr:uid="{00000000-0005-0000-0000-00000E5F0000}"/>
    <cellStyle name="Normal 61 5 2 3 2 2 2" xfId="34859" xr:uid="{00000000-0005-0000-0000-00000F5F0000}"/>
    <cellStyle name="Normal 61 5 2 3 2 3" xfId="26812" xr:uid="{00000000-0005-0000-0000-0000105F0000}"/>
    <cellStyle name="Normal 61 5 2 3 3" xfId="14489" xr:uid="{00000000-0005-0000-0000-0000115F0000}"/>
    <cellStyle name="Normal 61 5 2 3 3 2" xfId="31037" xr:uid="{00000000-0005-0000-0000-0000125F0000}"/>
    <cellStyle name="Normal 61 5 2 3 4" xfId="22994" xr:uid="{00000000-0005-0000-0000-0000135F0000}"/>
    <cellStyle name="Normal 61 5 2 4" xfId="9112" xr:uid="{00000000-0005-0000-0000-0000145F0000}"/>
    <cellStyle name="Normal 61 5 2 4 2" xfId="18286" xr:uid="{00000000-0005-0000-0000-0000155F0000}"/>
    <cellStyle name="Normal 61 5 2 4 2 2" xfId="34860" xr:uid="{00000000-0005-0000-0000-0000165F0000}"/>
    <cellStyle name="Normal 61 5 2 4 3" xfId="26813" xr:uid="{00000000-0005-0000-0000-0000175F0000}"/>
    <cellStyle name="Normal 61 5 2 5" xfId="14486" xr:uid="{00000000-0005-0000-0000-0000185F0000}"/>
    <cellStyle name="Normal 61 5 2 5 2" xfId="31034" xr:uid="{00000000-0005-0000-0000-0000195F0000}"/>
    <cellStyle name="Normal 61 5 2 6" xfId="22991" xr:uid="{00000000-0005-0000-0000-00001A5F0000}"/>
    <cellStyle name="Normal 61 5 3" xfId="5162" xr:uid="{00000000-0005-0000-0000-00001B5F0000}"/>
    <cellStyle name="Normal 61 5 3 2" xfId="5163" xr:uid="{00000000-0005-0000-0000-00001C5F0000}"/>
    <cellStyle name="Normal 61 5 3 2 2" xfId="9113" xr:uid="{00000000-0005-0000-0000-00001D5F0000}"/>
    <cellStyle name="Normal 61 5 3 2 2 2" xfId="18287" xr:uid="{00000000-0005-0000-0000-00001E5F0000}"/>
    <cellStyle name="Normal 61 5 3 2 2 2 2" xfId="34861" xr:uid="{00000000-0005-0000-0000-00001F5F0000}"/>
    <cellStyle name="Normal 61 5 3 2 2 3" xfId="26814" xr:uid="{00000000-0005-0000-0000-0000205F0000}"/>
    <cellStyle name="Normal 61 5 3 2 3" xfId="14491" xr:uid="{00000000-0005-0000-0000-0000215F0000}"/>
    <cellStyle name="Normal 61 5 3 2 3 2" xfId="31039" xr:uid="{00000000-0005-0000-0000-0000225F0000}"/>
    <cellStyle name="Normal 61 5 3 2 4" xfId="22996" xr:uid="{00000000-0005-0000-0000-0000235F0000}"/>
    <cellStyle name="Normal 61 5 3 3" xfId="9114" xr:uid="{00000000-0005-0000-0000-0000245F0000}"/>
    <cellStyle name="Normal 61 5 3 3 2" xfId="18288" xr:uid="{00000000-0005-0000-0000-0000255F0000}"/>
    <cellStyle name="Normal 61 5 3 3 2 2" xfId="34862" xr:uid="{00000000-0005-0000-0000-0000265F0000}"/>
    <cellStyle name="Normal 61 5 3 3 3" xfId="26815" xr:uid="{00000000-0005-0000-0000-0000275F0000}"/>
    <cellStyle name="Normal 61 5 3 4" xfId="14490" xr:uid="{00000000-0005-0000-0000-0000285F0000}"/>
    <cellStyle name="Normal 61 5 3 4 2" xfId="31038" xr:uid="{00000000-0005-0000-0000-0000295F0000}"/>
    <cellStyle name="Normal 61 5 3 5" xfId="22995" xr:uid="{00000000-0005-0000-0000-00002A5F0000}"/>
    <cellStyle name="Normal 61 5 4" xfId="5164" xr:uid="{00000000-0005-0000-0000-00002B5F0000}"/>
    <cellStyle name="Normal 61 5 4 2" xfId="9115" xr:uid="{00000000-0005-0000-0000-00002C5F0000}"/>
    <cellStyle name="Normal 61 5 4 2 2" xfId="18289" xr:uid="{00000000-0005-0000-0000-00002D5F0000}"/>
    <cellStyle name="Normal 61 5 4 2 2 2" xfId="34863" xr:uid="{00000000-0005-0000-0000-00002E5F0000}"/>
    <cellStyle name="Normal 61 5 4 2 3" xfId="26816" xr:uid="{00000000-0005-0000-0000-00002F5F0000}"/>
    <cellStyle name="Normal 61 5 4 3" xfId="14492" xr:uid="{00000000-0005-0000-0000-0000305F0000}"/>
    <cellStyle name="Normal 61 5 4 3 2" xfId="31040" xr:uid="{00000000-0005-0000-0000-0000315F0000}"/>
    <cellStyle name="Normal 61 5 4 4" xfId="22997" xr:uid="{00000000-0005-0000-0000-0000325F0000}"/>
    <cellStyle name="Normal 61 5 5" xfId="9116" xr:uid="{00000000-0005-0000-0000-0000335F0000}"/>
    <cellStyle name="Normal 61 5 5 2" xfId="18290" xr:uid="{00000000-0005-0000-0000-0000345F0000}"/>
    <cellStyle name="Normal 61 5 5 2 2" xfId="34864" xr:uid="{00000000-0005-0000-0000-0000355F0000}"/>
    <cellStyle name="Normal 61 5 5 3" xfId="26817" xr:uid="{00000000-0005-0000-0000-0000365F0000}"/>
    <cellStyle name="Normal 61 5 6" xfId="14485" xr:uid="{00000000-0005-0000-0000-0000375F0000}"/>
    <cellStyle name="Normal 61 5 6 2" xfId="31033" xr:uid="{00000000-0005-0000-0000-0000385F0000}"/>
    <cellStyle name="Normal 61 5 7" xfId="22990" xr:uid="{00000000-0005-0000-0000-0000395F0000}"/>
    <cellStyle name="Normal 61 6" xfId="5165" xr:uid="{00000000-0005-0000-0000-00003A5F0000}"/>
    <cellStyle name="Normal 61 6 2" xfId="5166" xr:uid="{00000000-0005-0000-0000-00003B5F0000}"/>
    <cellStyle name="Normal 61 6 2 2" xfId="5167" xr:uid="{00000000-0005-0000-0000-00003C5F0000}"/>
    <cellStyle name="Normal 61 6 2 2 2" xfId="9117" xr:uid="{00000000-0005-0000-0000-00003D5F0000}"/>
    <cellStyle name="Normal 61 6 2 2 2 2" xfId="18291" xr:uid="{00000000-0005-0000-0000-00003E5F0000}"/>
    <cellStyle name="Normal 61 6 2 2 2 2 2" xfId="34865" xr:uid="{00000000-0005-0000-0000-00003F5F0000}"/>
    <cellStyle name="Normal 61 6 2 2 2 3" xfId="26818" xr:uid="{00000000-0005-0000-0000-0000405F0000}"/>
    <cellStyle name="Normal 61 6 2 2 3" xfId="14495" xr:uid="{00000000-0005-0000-0000-0000415F0000}"/>
    <cellStyle name="Normal 61 6 2 2 3 2" xfId="31043" xr:uid="{00000000-0005-0000-0000-0000425F0000}"/>
    <cellStyle name="Normal 61 6 2 2 4" xfId="23000" xr:uid="{00000000-0005-0000-0000-0000435F0000}"/>
    <cellStyle name="Normal 61 6 2 3" xfId="9118" xr:uid="{00000000-0005-0000-0000-0000445F0000}"/>
    <cellStyle name="Normal 61 6 2 3 2" xfId="18292" xr:uid="{00000000-0005-0000-0000-0000455F0000}"/>
    <cellStyle name="Normal 61 6 2 3 2 2" xfId="34866" xr:uid="{00000000-0005-0000-0000-0000465F0000}"/>
    <cellStyle name="Normal 61 6 2 3 3" xfId="26819" xr:uid="{00000000-0005-0000-0000-0000475F0000}"/>
    <cellStyle name="Normal 61 6 2 4" xfId="14494" xr:uid="{00000000-0005-0000-0000-0000485F0000}"/>
    <cellStyle name="Normal 61 6 2 4 2" xfId="31042" xr:uid="{00000000-0005-0000-0000-0000495F0000}"/>
    <cellStyle name="Normal 61 6 2 5" xfId="22999" xr:uid="{00000000-0005-0000-0000-00004A5F0000}"/>
    <cellStyle name="Normal 61 6 3" xfId="5168" xr:uid="{00000000-0005-0000-0000-00004B5F0000}"/>
    <cellStyle name="Normal 61 6 3 2" xfId="9119" xr:uid="{00000000-0005-0000-0000-00004C5F0000}"/>
    <cellStyle name="Normal 61 6 3 2 2" xfId="18293" xr:uid="{00000000-0005-0000-0000-00004D5F0000}"/>
    <cellStyle name="Normal 61 6 3 2 2 2" xfId="34867" xr:uid="{00000000-0005-0000-0000-00004E5F0000}"/>
    <cellStyle name="Normal 61 6 3 2 3" xfId="26820" xr:uid="{00000000-0005-0000-0000-00004F5F0000}"/>
    <cellStyle name="Normal 61 6 3 3" xfId="14496" xr:uid="{00000000-0005-0000-0000-0000505F0000}"/>
    <cellStyle name="Normal 61 6 3 3 2" xfId="31044" xr:uid="{00000000-0005-0000-0000-0000515F0000}"/>
    <cellStyle name="Normal 61 6 3 4" xfId="23001" xr:uid="{00000000-0005-0000-0000-0000525F0000}"/>
    <cellStyle name="Normal 61 6 4" xfId="9120" xr:uid="{00000000-0005-0000-0000-0000535F0000}"/>
    <cellStyle name="Normal 61 6 4 2" xfId="18294" xr:uid="{00000000-0005-0000-0000-0000545F0000}"/>
    <cellStyle name="Normal 61 6 4 2 2" xfId="34868" xr:uid="{00000000-0005-0000-0000-0000555F0000}"/>
    <cellStyle name="Normal 61 6 4 3" xfId="26821" xr:uid="{00000000-0005-0000-0000-0000565F0000}"/>
    <cellStyle name="Normal 61 6 5" xfId="14493" xr:uid="{00000000-0005-0000-0000-0000575F0000}"/>
    <cellStyle name="Normal 61 6 5 2" xfId="31041" xr:uid="{00000000-0005-0000-0000-0000585F0000}"/>
    <cellStyle name="Normal 61 6 6" xfId="22998" xr:uid="{00000000-0005-0000-0000-0000595F0000}"/>
    <cellStyle name="Normal 61 7" xfId="5169" xr:uid="{00000000-0005-0000-0000-00005A5F0000}"/>
    <cellStyle name="Normal 61 7 2" xfId="5170" xr:uid="{00000000-0005-0000-0000-00005B5F0000}"/>
    <cellStyle name="Normal 61 7 2 2" xfId="9121" xr:uid="{00000000-0005-0000-0000-00005C5F0000}"/>
    <cellStyle name="Normal 61 7 2 2 2" xfId="18295" xr:uid="{00000000-0005-0000-0000-00005D5F0000}"/>
    <cellStyle name="Normal 61 7 2 2 2 2" xfId="34869" xr:uid="{00000000-0005-0000-0000-00005E5F0000}"/>
    <cellStyle name="Normal 61 7 2 2 3" xfId="26822" xr:uid="{00000000-0005-0000-0000-00005F5F0000}"/>
    <cellStyle name="Normal 61 7 2 3" xfId="14498" xr:uid="{00000000-0005-0000-0000-0000605F0000}"/>
    <cellStyle name="Normal 61 7 2 3 2" xfId="31046" xr:uid="{00000000-0005-0000-0000-0000615F0000}"/>
    <cellStyle name="Normal 61 7 2 4" xfId="23003" xr:uid="{00000000-0005-0000-0000-0000625F0000}"/>
    <cellStyle name="Normal 61 7 3" xfId="9122" xr:uid="{00000000-0005-0000-0000-0000635F0000}"/>
    <cellStyle name="Normal 61 7 3 2" xfId="18296" xr:uid="{00000000-0005-0000-0000-0000645F0000}"/>
    <cellStyle name="Normal 61 7 3 2 2" xfId="34870" xr:uid="{00000000-0005-0000-0000-0000655F0000}"/>
    <cellStyle name="Normal 61 7 3 3" xfId="26823" xr:uid="{00000000-0005-0000-0000-0000665F0000}"/>
    <cellStyle name="Normal 61 7 4" xfId="14497" xr:uid="{00000000-0005-0000-0000-0000675F0000}"/>
    <cellStyle name="Normal 61 7 4 2" xfId="31045" xr:uid="{00000000-0005-0000-0000-0000685F0000}"/>
    <cellStyle name="Normal 61 7 5" xfId="23002" xr:uid="{00000000-0005-0000-0000-0000695F0000}"/>
    <cellStyle name="Normal 61 8" xfId="5171" xr:uid="{00000000-0005-0000-0000-00006A5F0000}"/>
    <cellStyle name="Normal 61 8 2" xfId="9123" xr:uid="{00000000-0005-0000-0000-00006B5F0000}"/>
    <cellStyle name="Normal 61 8 2 2" xfId="18297" xr:uid="{00000000-0005-0000-0000-00006C5F0000}"/>
    <cellStyle name="Normal 61 8 2 2 2" xfId="34871" xr:uid="{00000000-0005-0000-0000-00006D5F0000}"/>
    <cellStyle name="Normal 61 8 2 3" xfId="26824" xr:uid="{00000000-0005-0000-0000-00006E5F0000}"/>
    <cellStyle name="Normal 61 8 3" xfId="14499" xr:uid="{00000000-0005-0000-0000-00006F5F0000}"/>
    <cellStyle name="Normal 61 8 3 2" xfId="31047" xr:uid="{00000000-0005-0000-0000-0000705F0000}"/>
    <cellStyle name="Normal 61 8 4" xfId="23004" xr:uid="{00000000-0005-0000-0000-0000715F0000}"/>
    <cellStyle name="Normal 61 9" xfId="9124" xr:uid="{00000000-0005-0000-0000-0000725F0000}"/>
    <cellStyle name="Normal 61 9 2" xfId="18298" xr:uid="{00000000-0005-0000-0000-0000735F0000}"/>
    <cellStyle name="Normal 61 9 2 2" xfId="34872" xr:uid="{00000000-0005-0000-0000-0000745F0000}"/>
    <cellStyle name="Normal 61 9 3" xfId="26825" xr:uid="{00000000-0005-0000-0000-0000755F0000}"/>
    <cellStyle name="Normal 62" xfId="5172" xr:uid="{00000000-0005-0000-0000-0000765F0000}"/>
    <cellStyle name="Normal 62 10" xfId="14500" xr:uid="{00000000-0005-0000-0000-0000775F0000}"/>
    <cellStyle name="Normal 62 10 2" xfId="31048" xr:uid="{00000000-0005-0000-0000-0000785F0000}"/>
    <cellStyle name="Normal 62 11" xfId="23005" xr:uid="{00000000-0005-0000-0000-0000795F0000}"/>
    <cellStyle name="Normal 62 2" xfId="5173" xr:uid="{00000000-0005-0000-0000-00007A5F0000}"/>
    <cellStyle name="Normal 62 2 2" xfId="5174" xr:uid="{00000000-0005-0000-0000-00007B5F0000}"/>
    <cellStyle name="Normal 62 2 3" xfId="14501" xr:uid="{00000000-0005-0000-0000-00007C5F0000}"/>
    <cellStyle name="Normal 62 2 3 2" xfId="31049" xr:uid="{00000000-0005-0000-0000-00007D5F0000}"/>
    <cellStyle name="Normal 62 2 4" xfId="23006" xr:uid="{00000000-0005-0000-0000-00007E5F0000}"/>
    <cellStyle name="Normal 62 3" xfId="5175" xr:uid="{00000000-0005-0000-0000-00007F5F0000}"/>
    <cellStyle name="Normal 62 3 2" xfId="5176" xr:uid="{00000000-0005-0000-0000-0000805F0000}"/>
    <cellStyle name="Normal 62 3 2 2" xfId="5177" xr:uid="{00000000-0005-0000-0000-0000815F0000}"/>
    <cellStyle name="Normal 62 3 2 2 2" xfId="5178" xr:uid="{00000000-0005-0000-0000-0000825F0000}"/>
    <cellStyle name="Normal 62 3 2 2 2 2" xfId="9125" xr:uid="{00000000-0005-0000-0000-0000835F0000}"/>
    <cellStyle name="Normal 62 3 2 2 2 2 2" xfId="18299" xr:uid="{00000000-0005-0000-0000-0000845F0000}"/>
    <cellStyle name="Normal 62 3 2 2 2 2 2 2" xfId="34873" xr:uid="{00000000-0005-0000-0000-0000855F0000}"/>
    <cellStyle name="Normal 62 3 2 2 2 2 3" xfId="26826" xr:uid="{00000000-0005-0000-0000-0000865F0000}"/>
    <cellStyle name="Normal 62 3 2 2 2 3" xfId="14504" xr:uid="{00000000-0005-0000-0000-0000875F0000}"/>
    <cellStyle name="Normal 62 3 2 2 2 3 2" xfId="31052" xr:uid="{00000000-0005-0000-0000-0000885F0000}"/>
    <cellStyle name="Normal 62 3 2 2 2 4" xfId="23009" xr:uid="{00000000-0005-0000-0000-0000895F0000}"/>
    <cellStyle name="Normal 62 3 2 2 3" xfId="9126" xr:uid="{00000000-0005-0000-0000-00008A5F0000}"/>
    <cellStyle name="Normal 62 3 2 2 3 2" xfId="18300" xr:uid="{00000000-0005-0000-0000-00008B5F0000}"/>
    <cellStyle name="Normal 62 3 2 2 3 2 2" xfId="34874" xr:uid="{00000000-0005-0000-0000-00008C5F0000}"/>
    <cellStyle name="Normal 62 3 2 2 3 3" xfId="26827" xr:uid="{00000000-0005-0000-0000-00008D5F0000}"/>
    <cellStyle name="Normal 62 3 2 2 4" xfId="14503" xr:uid="{00000000-0005-0000-0000-00008E5F0000}"/>
    <cellStyle name="Normal 62 3 2 2 4 2" xfId="31051" xr:uid="{00000000-0005-0000-0000-00008F5F0000}"/>
    <cellStyle name="Normal 62 3 2 2 5" xfId="23008" xr:uid="{00000000-0005-0000-0000-0000905F0000}"/>
    <cellStyle name="Normal 62 3 2 3" xfId="5179" xr:uid="{00000000-0005-0000-0000-0000915F0000}"/>
    <cellStyle name="Normal 62 3 2 3 2" xfId="9127" xr:uid="{00000000-0005-0000-0000-0000925F0000}"/>
    <cellStyle name="Normal 62 3 2 3 2 2" xfId="18301" xr:uid="{00000000-0005-0000-0000-0000935F0000}"/>
    <cellStyle name="Normal 62 3 2 3 2 2 2" xfId="34875" xr:uid="{00000000-0005-0000-0000-0000945F0000}"/>
    <cellStyle name="Normal 62 3 2 3 2 3" xfId="26828" xr:uid="{00000000-0005-0000-0000-0000955F0000}"/>
    <cellStyle name="Normal 62 3 2 3 3" xfId="14505" xr:uid="{00000000-0005-0000-0000-0000965F0000}"/>
    <cellStyle name="Normal 62 3 2 3 3 2" xfId="31053" xr:uid="{00000000-0005-0000-0000-0000975F0000}"/>
    <cellStyle name="Normal 62 3 2 3 4" xfId="23010" xr:uid="{00000000-0005-0000-0000-0000985F0000}"/>
    <cellStyle name="Normal 62 3 2 4" xfId="9128" xr:uid="{00000000-0005-0000-0000-0000995F0000}"/>
    <cellStyle name="Normal 62 3 2 4 2" xfId="18302" xr:uid="{00000000-0005-0000-0000-00009A5F0000}"/>
    <cellStyle name="Normal 62 3 2 4 2 2" xfId="34876" xr:uid="{00000000-0005-0000-0000-00009B5F0000}"/>
    <cellStyle name="Normal 62 3 2 4 3" xfId="26829" xr:uid="{00000000-0005-0000-0000-00009C5F0000}"/>
    <cellStyle name="Normal 62 3 2 5" xfId="14502" xr:uid="{00000000-0005-0000-0000-00009D5F0000}"/>
    <cellStyle name="Normal 62 3 2 5 2" xfId="31050" xr:uid="{00000000-0005-0000-0000-00009E5F0000}"/>
    <cellStyle name="Normal 62 3 2 6" xfId="23007" xr:uid="{00000000-0005-0000-0000-00009F5F0000}"/>
    <cellStyle name="Normal 62 3 3" xfId="5180" xr:uid="{00000000-0005-0000-0000-0000A05F0000}"/>
    <cellStyle name="Normal 62 3 3 2" xfId="5181" xr:uid="{00000000-0005-0000-0000-0000A15F0000}"/>
    <cellStyle name="Normal 62 3 3 2 2" xfId="9129" xr:uid="{00000000-0005-0000-0000-0000A25F0000}"/>
    <cellStyle name="Normal 62 3 3 2 2 2" xfId="18303" xr:uid="{00000000-0005-0000-0000-0000A35F0000}"/>
    <cellStyle name="Normal 62 3 3 2 2 2 2" xfId="34877" xr:uid="{00000000-0005-0000-0000-0000A45F0000}"/>
    <cellStyle name="Normal 62 3 3 2 2 3" xfId="26830" xr:uid="{00000000-0005-0000-0000-0000A55F0000}"/>
    <cellStyle name="Normal 62 3 3 2 3" xfId="14507" xr:uid="{00000000-0005-0000-0000-0000A65F0000}"/>
    <cellStyle name="Normal 62 3 3 2 3 2" xfId="31055" xr:uid="{00000000-0005-0000-0000-0000A75F0000}"/>
    <cellStyle name="Normal 62 3 3 2 4" xfId="23012" xr:uid="{00000000-0005-0000-0000-0000A85F0000}"/>
    <cellStyle name="Normal 62 3 3 3" xfId="9130" xr:uid="{00000000-0005-0000-0000-0000A95F0000}"/>
    <cellStyle name="Normal 62 3 3 3 2" xfId="18304" xr:uid="{00000000-0005-0000-0000-0000AA5F0000}"/>
    <cellStyle name="Normal 62 3 3 3 2 2" xfId="34878" xr:uid="{00000000-0005-0000-0000-0000AB5F0000}"/>
    <cellStyle name="Normal 62 3 3 3 3" xfId="26831" xr:uid="{00000000-0005-0000-0000-0000AC5F0000}"/>
    <cellStyle name="Normal 62 3 3 4" xfId="14506" xr:uid="{00000000-0005-0000-0000-0000AD5F0000}"/>
    <cellStyle name="Normal 62 3 3 4 2" xfId="31054" xr:uid="{00000000-0005-0000-0000-0000AE5F0000}"/>
    <cellStyle name="Normal 62 3 3 5" xfId="23011" xr:uid="{00000000-0005-0000-0000-0000AF5F0000}"/>
    <cellStyle name="Normal 62 3 4" xfId="5182" xr:uid="{00000000-0005-0000-0000-0000B05F0000}"/>
    <cellStyle name="Normal 62 3 4 2" xfId="9131" xr:uid="{00000000-0005-0000-0000-0000B15F0000}"/>
    <cellStyle name="Normal 62 3 4 2 2" xfId="18305" xr:uid="{00000000-0005-0000-0000-0000B25F0000}"/>
    <cellStyle name="Normal 62 3 4 2 2 2" xfId="34879" xr:uid="{00000000-0005-0000-0000-0000B35F0000}"/>
    <cellStyle name="Normal 62 3 4 2 3" xfId="26832" xr:uid="{00000000-0005-0000-0000-0000B45F0000}"/>
    <cellStyle name="Normal 62 3 4 3" xfId="14508" xr:uid="{00000000-0005-0000-0000-0000B55F0000}"/>
    <cellStyle name="Normal 62 3 4 3 2" xfId="31056" xr:uid="{00000000-0005-0000-0000-0000B65F0000}"/>
    <cellStyle name="Normal 62 3 4 4" xfId="23013" xr:uid="{00000000-0005-0000-0000-0000B75F0000}"/>
    <cellStyle name="Normal 62 3 5" xfId="5183" xr:uid="{00000000-0005-0000-0000-0000B85F0000}"/>
    <cellStyle name="Normal 62 3 5 2" xfId="14509" xr:uid="{00000000-0005-0000-0000-0000B95F0000}"/>
    <cellStyle name="Normal 62 3 5 2 2" xfId="31057" xr:uid="{00000000-0005-0000-0000-0000BA5F0000}"/>
    <cellStyle name="Normal 62 3 5 3" xfId="23014" xr:uid="{00000000-0005-0000-0000-0000BB5F0000}"/>
    <cellStyle name="Normal 62 4" xfId="5184" xr:uid="{00000000-0005-0000-0000-0000BC5F0000}"/>
    <cellStyle name="Normal 62 4 2" xfId="5185" xr:uid="{00000000-0005-0000-0000-0000BD5F0000}"/>
    <cellStyle name="Normal 62 4 2 2" xfId="5186" xr:uid="{00000000-0005-0000-0000-0000BE5F0000}"/>
    <cellStyle name="Normal 62 4 2 2 2" xfId="5187" xr:uid="{00000000-0005-0000-0000-0000BF5F0000}"/>
    <cellStyle name="Normal 62 4 2 2 2 2" xfId="9132" xr:uid="{00000000-0005-0000-0000-0000C05F0000}"/>
    <cellStyle name="Normal 62 4 2 2 2 2 2" xfId="18306" xr:uid="{00000000-0005-0000-0000-0000C15F0000}"/>
    <cellStyle name="Normal 62 4 2 2 2 2 2 2" xfId="34880" xr:uid="{00000000-0005-0000-0000-0000C25F0000}"/>
    <cellStyle name="Normal 62 4 2 2 2 2 3" xfId="26833" xr:uid="{00000000-0005-0000-0000-0000C35F0000}"/>
    <cellStyle name="Normal 62 4 2 2 2 3" xfId="14513" xr:uid="{00000000-0005-0000-0000-0000C45F0000}"/>
    <cellStyle name="Normal 62 4 2 2 2 3 2" xfId="31061" xr:uid="{00000000-0005-0000-0000-0000C55F0000}"/>
    <cellStyle name="Normal 62 4 2 2 2 4" xfId="23018" xr:uid="{00000000-0005-0000-0000-0000C65F0000}"/>
    <cellStyle name="Normal 62 4 2 2 3" xfId="9133" xr:uid="{00000000-0005-0000-0000-0000C75F0000}"/>
    <cellStyle name="Normal 62 4 2 2 3 2" xfId="18307" xr:uid="{00000000-0005-0000-0000-0000C85F0000}"/>
    <cellStyle name="Normal 62 4 2 2 3 2 2" xfId="34881" xr:uid="{00000000-0005-0000-0000-0000C95F0000}"/>
    <cellStyle name="Normal 62 4 2 2 3 3" xfId="26834" xr:uid="{00000000-0005-0000-0000-0000CA5F0000}"/>
    <cellStyle name="Normal 62 4 2 2 4" xfId="14512" xr:uid="{00000000-0005-0000-0000-0000CB5F0000}"/>
    <cellStyle name="Normal 62 4 2 2 4 2" xfId="31060" xr:uid="{00000000-0005-0000-0000-0000CC5F0000}"/>
    <cellStyle name="Normal 62 4 2 2 5" xfId="23017" xr:uid="{00000000-0005-0000-0000-0000CD5F0000}"/>
    <cellStyle name="Normal 62 4 2 3" xfId="5188" xr:uid="{00000000-0005-0000-0000-0000CE5F0000}"/>
    <cellStyle name="Normal 62 4 2 3 2" xfId="9134" xr:uid="{00000000-0005-0000-0000-0000CF5F0000}"/>
    <cellStyle name="Normal 62 4 2 3 2 2" xfId="18308" xr:uid="{00000000-0005-0000-0000-0000D05F0000}"/>
    <cellStyle name="Normal 62 4 2 3 2 2 2" xfId="34882" xr:uid="{00000000-0005-0000-0000-0000D15F0000}"/>
    <cellStyle name="Normal 62 4 2 3 2 3" xfId="26835" xr:uid="{00000000-0005-0000-0000-0000D25F0000}"/>
    <cellStyle name="Normal 62 4 2 3 3" xfId="14514" xr:uid="{00000000-0005-0000-0000-0000D35F0000}"/>
    <cellStyle name="Normal 62 4 2 3 3 2" xfId="31062" xr:uid="{00000000-0005-0000-0000-0000D45F0000}"/>
    <cellStyle name="Normal 62 4 2 3 4" xfId="23019" xr:uid="{00000000-0005-0000-0000-0000D55F0000}"/>
    <cellStyle name="Normal 62 4 2 4" xfId="9135" xr:uid="{00000000-0005-0000-0000-0000D65F0000}"/>
    <cellStyle name="Normal 62 4 2 4 2" xfId="18309" xr:uid="{00000000-0005-0000-0000-0000D75F0000}"/>
    <cellStyle name="Normal 62 4 2 4 2 2" xfId="34883" xr:uid="{00000000-0005-0000-0000-0000D85F0000}"/>
    <cellStyle name="Normal 62 4 2 4 3" xfId="26836" xr:uid="{00000000-0005-0000-0000-0000D95F0000}"/>
    <cellStyle name="Normal 62 4 2 5" xfId="14511" xr:uid="{00000000-0005-0000-0000-0000DA5F0000}"/>
    <cellStyle name="Normal 62 4 2 5 2" xfId="31059" xr:uid="{00000000-0005-0000-0000-0000DB5F0000}"/>
    <cellStyle name="Normal 62 4 2 6" xfId="23016" xr:uid="{00000000-0005-0000-0000-0000DC5F0000}"/>
    <cellStyle name="Normal 62 4 3" xfId="5189" xr:uid="{00000000-0005-0000-0000-0000DD5F0000}"/>
    <cellStyle name="Normal 62 4 3 2" xfId="5190" xr:uid="{00000000-0005-0000-0000-0000DE5F0000}"/>
    <cellStyle name="Normal 62 4 3 2 2" xfId="9136" xr:uid="{00000000-0005-0000-0000-0000DF5F0000}"/>
    <cellStyle name="Normal 62 4 3 2 2 2" xfId="18310" xr:uid="{00000000-0005-0000-0000-0000E05F0000}"/>
    <cellStyle name="Normal 62 4 3 2 2 2 2" xfId="34884" xr:uid="{00000000-0005-0000-0000-0000E15F0000}"/>
    <cellStyle name="Normal 62 4 3 2 2 3" xfId="26837" xr:uid="{00000000-0005-0000-0000-0000E25F0000}"/>
    <cellStyle name="Normal 62 4 3 2 3" xfId="14516" xr:uid="{00000000-0005-0000-0000-0000E35F0000}"/>
    <cellStyle name="Normal 62 4 3 2 3 2" xfId="31064" xr:uid="{00000000-0005-0000-0000-0000E45F0000}"/>
    <cellStyle name="Normal 62 4 3 2 4" xfId="23021" xr:uid="{00000000-0005-0000-0000-0000E55F0000}"/>
    <cellStyle name="Normal 62 4 3 3" xfId="9137" xr:uid="{00000000-0005-0000-0000-0000E65F0000}"/>
    <cellStyle name="Normal 62 4 3 3 2" xfId="18311" xr:uid="{00000000-0005-0000-0000-0000E75F0000}"/>
    <cellStyle name="Normal 62 4 3 3 2 2" xfId="34885" xr:uid="{00000000-0005-0000-0000-0000E85F0000}"/>
    <cellStyle name="Normal 62 4 3 3 3" xfId="26838" xr:uid="{00000000-0005-0000-0000-0000E95F0000}"/>
    <cellStyle name="Normal 62 4 3 4" xfId="14515" xr:uid="{00000000-0005-0000-0000-0000EA5F0000}"/>
    <cellStyle name="Normal 62 4 3 4 2" xfId="31063" xr:uid="{00000000-0005-0000-0000-0000EB5F0000}"/>
    <cellStyle name="Normal 62 4 3 5" xfId="23020" xr:uid="{00000000-0005-0000-0000-0000EC5F0000}"/>
    <cellStyle name="Normal 62 4 4" xfId="5191" xr:uid="{00000000-0005-0000-0000-0000ED5F0000}"/>
    <cellStyle name="Normal 62 4 4 2" xfId="9138" xr:uid="{00000000-0005-0000-0000-0000EE5F0000}"/>
    <cellStyle name="Normal 62 4 4 2 2" xfId="18312" xr:uid="{00000000-0005-0000-0000-0000EF5F0000}"/>
    <cellStyle name="Normal 62 4 4 2 2 2" xfId="34886" xr:uid="{00000000-0005-0000-0000-0000F05F0000}"/>
    <cellStyle name="Normal 62 4 4 2 3" xfId="26839" xr:uid="{00000000-0005-0000-0000-0000F15F0000}"/>
    <cellStyle name="Normal 62 4 4 3" xfId="14517" xr:uid="{00000000-0005-0000-0000-0000F25F0000}"/>
    <cellStyle name="Normal 62 4 4 3 2" xfId="31065" xr:uid="{00000000-0005-0000-0000-0000F35F0000}"/>
    <cellStyle name="Normal 62 4 4 4" xfId="23022" xr:uid="{00000000-0005-0000-0000-0000F45F0000}"/>
    <cellStyle name="Normal 62 4 5" xfId="9139" xr:uid="{00000000-0005-0000-0000-0000F55F0000}"/>
    <cellStyle name="Normal 62 4 5 2" xfId="18313" xr:uid="{00000000-0005-0000-0000-0000F65F0000}"/>
    <cellStyle name="Normal 62 4 5 2 2" xfId="34887" xr:uid="{00000000-0005-0000-0000-0000F75F0000}"/>
    <cellStyle name="Normal 62 4 5 3" xfId="26840" xr:uid="{00000000-0005-0000-0000-0000F85F0000}"/>
    <cellStyle name="Normal 62 4 6" xfId="14510" xr:uid="{00000000-0005-0000-0000-0000F95F0000}"/>
    <cellStyle name="Normal 62 4 6 2" xfId="31058" xr:uid="{00000000-0005-0000-0000-0000FA5F0000}"/>
    <cellStyle name="Normal 62 4 7" xfId="23015" xr:uid="{00000000-0005-0000-0000-0000FB5F0000}"/>
    <cellStyle name="Normal 62 5" xfId="5192" xr:uid="{00000000-0005-0000-0000-0000FC5F0000}"/>
    <cellStyle name="Normal 62 5 2" xfId="5193" xr:uid="{00000000-0005-0000-0000-0000FD5F0000}"/>
    <cellStyle name="Normal 62 5 2 2" xfId="5194" xr:uid="{00000000-0005-0000-0000-0000FE5F0000}"/>
    <cellStyle name="Normal 62 5 2 2 2" xfId="5195" xr:uid="{00000000-0005-0000-0000-0000FF5F0000}"/>
    <cellStyle name="Normal 62 5 2 2 2 2" xfId="9140" xr:uid="{00000000-0005-0000-0000-000000600000}"/>
    <cellStyle name="Normal 62 5 2 2 2 2 2" xfId="18314" xr:uid="{00000000-0005-0000-0000-000001600000}"/>
    <cellStyle name="Normal 62 5 2 2 2 2 2 2" xfId="34888" xr:uid="{00000000-0005-0000-0000-000002600000}"/>
    <cellStyle name="Normal 62 5 2 2 2 2 3" xfId="26841" xr:uid="{00000000-0005-0000-0000-000003600000}"/>
    <cellStyle name="Normal 62 5 2 2 2 3" xfId="14521" xr:uid="{00000000-0005-0000-0000-000004600000}"/>
    <cellStyle name="Normal 62 5 2 2 2 3 2" xfId="31069" xr:uid="{00000000-0005-0000-0000-000005600000}"/>
    <cellStyle name="Normal 62 5 2 2 2 4" xfId="23026" xr:uid="{00000000-0005-0000-0000-000006600000}"/>
    <cellStyle name="Normal 62 5 2 2 3" xfId="9141" xr:uid="{00000000-0005-0000-0000-000007600000}"/>
    <cellStyle name="Normal 62 5 2 2 3 2" xfId="18315" xr:uid="{00000000-0005-0000-0000-000008600000}"/>
    <cellStyle name="Normal 62 5 2 2 3 2 2" xfId="34889" xr:uid="{00000000-0005-0000-0000-000009600000}"/>
    <cellStyle name="Normal 62 5 2 2 3 3" xfId="26842" xr:uid="{00000000-0005-0000-0000-00000A600000}"/>
    <cellStyle name="Normal 62 5 2 2 4" xfId="14520" xr:uid="{00000000-0005-0000-0000-00000B600000}"/>
    <cellStyle name="Normal 62 5 2 2 4 2" xfId="31068" xr:uid="{00000000-0005-0000-0000-00000C600000}"/>
    <cellStyle name="Normal 62 5 2 2 5" xfId="23025" xr:uid="{00000000-0005-0000-0000-00000D600000}"/>
    <cellStyle name="Normal 62 5 2 3" xfId="5196" xr:uid="{00000000-0005-0000-0000-00000E600000}"/>
    <cellStyle name="Normal 62 5 2 3 2" xfId="9142" xr:uid="{00000000-0005-0000-0000-00000F600000}"/>
    <cellStyle name="Normal 62 5 2 3 2 2" xfId="18316" xr:uid="{00000000-0005-0000-0000-000010600000}"/>
    <cellStyle name="Normal 62 5 2 3 2 2 2" xfId="34890" xr:uid="{00000000-0005-0000-0000-000011600000}"/>
    <cellStyle name="Normal 62 5 2 3 2 3" xfId="26843" xr:uid="{00000000-0005-0000-0000-000012600000}"/>
    <cellStyle name="Normal 62 5 2 3 3" xfId="14522" xr:uid="{00000000-0005-0000-0000-000013600000}"/>
    <cellStyle name="Normal 62 5 2 3 3 2" xfId="31070" xr:uid="{00000000-0005-0000-0000-000014600000}"/>
    <cellStyle name="Normal 62 5 2 3 4" xfId="23027" xr:uid="{00000000-0005-0000-0000-000015600000}"/>
    <cellStyle name="Normal 62 5 2 4" xfId="9143" xr:uid="{00000000-0005-0000-0000-000016600000}"/>
    <cellStyle name="Normal 62 5 2 4 2" xfId="18317" xr:uid="{00000000-0005-0000-0000-000017600000}"/>
    <cellStyle name="Normal 62 5 2 4 2 2" xfId="34891" xr:uid="{00000000-0005-0000-0000-000018600000}"/>
    <cellStyle name="Normal 62 5 2 4 3" xfId="26844" xr:uid="{00000000-0005-0000-0000-000019600000}"/>
    <cellStyle name="Normal 62 5 2 5" xfId="14519" xr:uid="{00000000-0005-0000-0000-00001A600000}"/>
    <cellStyle name="Normal 62 5 2 5 2" xfId="31067" xr:uid="{00000000-0005-0000-0000-00001B600000}"/>
    <cellStyle name="Normal 62 5 2 6" xfId="23024" xr:uid="{00000000-0005-0000-0000-00001C600000}"/>
    <cellStyle name="Normal 62 5 3" xfId="5197" xr:uid="{00000000-0005-0000-0000-00001D600000}"/>
    <cellStyle name="Normal 62 5 3 2" xfId="5198" xr:uid="{00000000-0005-0000-0000-00001E600000}"/>
    <cellStyle name="Normal 62 5 3 2 2" xfId="9144" xr:uid="{00000000-0005-0000-0000-00001F600000}"/>
    <cellStyle name="Normal 62 5 3 2 2 2" xfId="18318" xr:uid="{00000000-0005-0000-0000-000020600000}"/>
    <cellStyle name="Normal 62 5 3 2 2 2 2" xfId="34892" xr:uid="{00000000-0005-0000-0000-000021600000}"/>
    <cellStyle name="Normal 62 5 3 2 2 3" xfId="26845" xr:uid="{00000000-0005-0000-0000-000022600000}"/>
    <cellStyle name="Normal 62 5 3 2 3" xfId="14524" xr:uid="{00000000-0005-0000-0000-000023600000}"/>
    <cellStyle name="Normal 62 5 3 2 3 2" xfId="31072" xr:uid="{00000000-0005-0000-0000-000024600000}"/>
    <cellStyle name="Normal 62 5 3 2 4" xfId="23029" xr:uid="{00000000-0005-0000-0000-000025600000}"/>
    <cellStyle name="Normal 62 5 3 3" xfId="9145" xr:uid="{00000000-0005-0000-0000-000026600000}"/>
    <cellStyle name="Normal 62 5 3 3 2" xfId="18319" xr:uid="{00000000-0005-0000-0000-000027600000}"/>
    <cellStyle name="Normal 62 5 3 3 2 2" xfId="34893" xr:uid="{00000000-0005-0000-0000-000028600000}"/>
    <cellStyle name="Normal 62 5 3 3 3" xfId="26846" xr:uid="{00000000-0005-0000-0000-000029600000}"/>
    <cellStyle name="Normal 62 5 3 4" xfId="14523" xr:uid="{00000000-0005-0000-0000-00002A600000}"/>
    <cellStyle name="Normal 62 5 3 4 2" xfId="31071" xr:uid="{00000000-0005-0000-0000-00002B600000}"/>
    <cellStyle name="Normal 62 5 3 5" xfId="23028" xr:uid="{00000000-0005-0000-0000-00002C600000}"/>
    <cellStyle name="Normal 62 5 4" xfId="5199" xr:uid="{00000000-0005-0000-0000-00002D600000}"/>
    <cellStyle name="Normal 62 5 4 2" xfId="9146" xr:uid="{00000000-0005-0000-0000-00002E600000}"/>
    <cellStyle name="Normal 62 5 4 2 2" xfId="18320" xr:uid="{00000000-0005-0000-0000-00002F600000}"/>
    <cellStyle name="Normal 62 5 4 2 2 2" xfId="34894" xr:uid="{00000000-0005-0000-0000-000030600000}"/>
    <cellStyle name="Normal 62 5 4 2 3" xfId="26847" xr:uid="{00000000-0005-0000-0000-000031600000}"/>
    <cellStyle name="Normal 62 5 4 3" xfId="14525" xr:uid="{00000000-0005-0000-0000-000032600000}"/>
    <cellStyle name="Normal 62 5 4 3 2" xfId="31073" xr:uid="{00000000-0005-0000-0000-000033600000}"/>
    <cellStyle name="Normal 62 5 4 4" xfId="23030" xr:uid="{00000000-0005-0000-0000-000034600000}"/>
    <cellStyle name="Normal 62 5 5" xfId="9147" xr:uid="{00000000-0005-0000-0000-000035600000}"/>
    <cellStyle name="Normal 62 5 5 2" xfId="18321" xr:uid="{00000000-0005-0000-0000-000036600000}"/>
    <cellStyle name="Normal 62 5 5 2 2" xfId="34895" xr:uid="{00000000-0005-0000-0000-000037600000}"/>
    <cellStyle name="Normal 62 5 5 3" xfId="26848" xr:uid="{00000000-0005-0000-0000-000038600000}"/>
    <cellStyle name="Normal 62 5 6" xfId="14518" xr:uid="{00000000-0005-0000-0000-000039600000}"/>
    <cellStyle name="Normal 62 5 6 2" xfId="31066" xr:uid="{00000000-0005-0000-0000-00003A600000}"/>
    <cellStyle name="Normal 62 5 7" xfId="23023" xr:uid="{00000000-0005-0000-0000-00003B600000}"/>
    <cellStyle name="Normal 62 6" xfId="5200" xr:uid="{00000000-0005-0000-0000-00003C600000}"/>
    <cellStyle name="Normal 62 6 2" xfId="5201" xr:uid="{00000000-0005-0000-0000-00003D600000}"/>
    <cellStyle name="Normal 62 6 2 2" xfId="5202" xr:uid="{00000000-0005-0000-0000-00003E600000}"/>
    <cellStyle name="Normal 62 6 2 2 2" xfId="9148" xr:uid="{00000000-0005-0000-0000-00003F600000}"/>
    <cellStyle name="Normal 62 6 2 2 2 2" xfId="18322" xr:uid="{00000000-0005-0000-0000-000040600000}"/>
    <cellStyle name="Normal 62 6 2 2 2 2 2" xfId="34896" xr:uid="{00000000-0005-0000-0000-000041600000}"/>
    <cellStyle name="Normal 62 6 2 2 2 3" xfId="26849" xr:uid="{00000000-0005-0000-0000-000042600000}"/>
    <cellStyle name="Normal 62 6 2 2 3" xfId="14528" xr:uid="{00000000-0005-0000-0000-000043600000}"/>
    <cellStyle name="Normal 62 6 2 2 3 2" xfId="31076" xr:uid="{00000000-0005-0000-0000-000044600000}"/>
    <cellStyle name="Normal 62 6 2 2 4" xfId="23033" xr:uid="{00000000-0005-0000-0000-000045600000}"/>
    <cellStyle name="Normal 62 6 2 3" xfId="9149" xr:uid="{00000000-0005-0000-0000-000046600000}"/>
    <cellStyle name="Normal 62 6 2 3 2" xfId="18323" xr:uid="{00000000-0005-0000-0000-000047600000}"/>
    <cellStyle name="Normal 62 6 2 3 2 2" xfId="34897" xr:uid="{00000000-0005-0000-0000-000048600000}"/>
    <cellStyle name="Normal 62 6 2 3 3" xfId="26850" xr:uid="{00000000-0005-0000-0000-000049600000}"/>
    <cellStyle name="Normal 62 6 2 4" xfId="14527" xr:uid="{00000000-0005-0000-0000-00004A600000}"/>
    <cellStyle name="Normal 62 6 2 4 2" xfId="31075" xr:uid="{00000000-0005-0000-0000-00004B600000}"/>
    <cellStyle name="Normal 62 6 2 5" xfId="23032" xr:uid="{00000000-0005-0000-0000-00004C600000}"/>
    <cellStyle name="Normal 62 6 3" xfId="5203" xr:uid="{00000000-0005-0000-0000-00004D600000}"/>
    <cellStyle name="Normal 62 6 3 2" xfId="9150" xr:uid="{00000000-0005-0000-0000-00004E600000}"/>
    <cellStyle name="Normal 62 6 3 2 2" xfId="18324" xr:uid="{00000000-0005-0000-0000-00004F600000}"/>
    <cellStyle name="Normal 62 6 3 2 2 2" xfId="34898" xr:uid="{00000000-0005-0000-0000-000050600000}"/>
    <cellStyle name="Normal 62 6 3 2 3" xfId="26851" xr:uid="{00000000-0005-0000-0000-000051600000}"/>
    <cellStyle name="Normal 62 6 3 3" xfId="14529" xr:uid="{00000000-0005-0000-0000-000052600000}"/>
    <cellStyle name="Normal 62 6 3 3 2" xfId="31077" xr:uid="{00000000-0005-0000-0000-000053600000}"/>
    <cellStyle name="Normal 62 6 3 4" xfId="23034" xr:uid="{00000000-0005-0000-0000-000054600000}"/>
    <cellStyle name="Normal 62 6 4" xfId="9151" xr:uid="{00000000-0005-0000-0000-000055600000}"/>
    <cellStyle name="Normal 62 6 4 2" xfId="18325" xr:uid="{00000000-0005-0000-0000-000056600000}"/>
    <cellStyle name="Normal 62 6 4 2 2" xfId="34899" xr:uid="{00000000-0005-0000-0000-000057600000}"/>
    <cellStyle name="Normal 62 6 4 3" xfId="26852" xr:uid="{00000000-0005-0000-0000-000058600000}"/>
    <cellStyle name="Normal 62 6 5" xfId="14526" xr:uid="{00000000-0005-0000-0000-000059600000}"/>
    <cellStyle name="Normal 62 6 5 2" xfId="31074" xr:uid="{00000000-0005-0000-0000-00005A600000}"/>
    <cellStyle name="Normal 62 6 6" xfId="23031" xr:uid="{00000000-0005-0000-0000-00005B600000}"/>
    <cellStyle name="Normal 62 7" xfId="5204" xr:uid="{00000000-0005-0000-0000-00005C600000}"/>
    <cellStyle name="Normal 62 7 2" xfId="5205" xr:uid="{00000000-0005-0000-0000-00005D600000}"/>
    <cellStyle name="Normal 62 7 2 2" xfId="9152" xr:uid="{00000000-0005-0000-0000-00005E600000}"/>
    <cellStyle name="Normal 62 7 2 2 2" xfId="18326" xr:uid="{00000000-0005-0000-0000-00005F600000}"/>
    <cellStyle name="Normal 62 7 2 2 2 2" xfId="34900" xr:uid="{00000000-0005-0000-0000-000060600000}"/>
    <cellStyle name="Normal 62 7 2 2 3" xfId="26853" xr:uid="{00000000-0005-0000-0000-000061600000}"/>
    <cellStyle name="Normal 62 7 2 3" xfId="14531" xr:uid="{00000000-0005-0000-0000-000062600000}"/>
    <cellStyle name="Normal 62 7 2 3 2" xfId="31079" xr:uid="{00000000-0005-0000-0000-000063600000}"/>
    <cellStyle name="Normal 62 7 2 4" xfId="23036" xr:uid="{00000000-0005-0000-0000-000064600000}"/>
    <cellStyle name="Normal 62 7 3" xfId="9153" xr:uid="{00000000-0005-0000-0000-000065600000}"/>
    <cellStyle name="Normal 62 7 3 2" xfId="18327" xr:uid="{00000000-0005-0000-0000-000066600000}"/>
    <cellStyle name="Normal 62 7 3 2 2" xfId="34901" xr:uid="{00000000-0005-0000-0000-000067600000}"/>
    <cellStyle name="Normal 62 7 3 3" xfId="26854" xr:uid="{00000000-0005-0000-0000-000068600000}"/>
    <cellStyle name="Normal 62 7 4" xfId="14530" xr:uid="{00000000-0005-0000-0000-000069600000}"/>
    <cellStyle name="Normal 62 7 4 2" xfId="31078" xr:uid="{00000000-0005-0000-0000-00006A600000}"/>
    <cellStyle name="Normal 62 7 5" xfId="23035" xr:uid="{00000000-0005-0000-0000-00006B600000}"/>
    <cellStyle name="Normal 62 8" xfId="5206" xr:uid="{00000000-0005-0000-0000-00006C600000}"/>
    <cellStyle name="Normal 62 8 2" xfId="9154" xr:uid="{00000000-0005-0000-0000-00006D600000}"/>
    <cellStyle name="Normal 62 8 2 2" xfId="18328" xr:uid="{00000000-0005-0000-0000-00006E600000}"/>
    <cellStyle name="Normal 62 8 2 2 2" xfId="34902" xr:uid="{00000000-0005-0000-0000-00006F600000}"/>
    <cellStyle name="Normal 62 8 2 3" xfId="26855" xr:uid="{00000000-0005-0000-0000-000070600000}"/>
    <cellStyle name="Normal 62 8 3" xfId="14532" xr:uid="{00000000-0005-0000-0000-000071600000}"/>
    <cellStyle name="Normal 62 8 3 2" xfId="31080" xr:uid="{00000000-0005-0000-0000-000072600000}"/>
    <cellStyle name="Normal 62 8 4" xfId="23037" xr:uid="{00000000-0005-0000-0000-000073600000}"/>
    <cellStyle name="Normal 62 9" xfId="9155" xr:uid="{00000000-0005-0000-0000-000074600000}"/>
    <cellStyle name="Normal 62 9 2" xfId="18329" xr:uid="{00000000-0005-0000-0000-000075600000}"/>
    <cellStyle name="Normal 62 9 2 2" xfId="34903" xr:uid="{00000000-0005-0000-0000-000076600000}"/>
    <cellStyle name="Normal 62 9 3" xfId="26856" xr:uid="{00000000-0005-0000-0000-000077600000}"/>
    <cellStyle name="Normal 63" xfId="5207" xr:uid="{00000000-0005-0000-0000-000078600000}"/>
    <cellStyle name="Normal 63 10" xfId="14533" xr:uid="{00000000-0005-0000-0000-000079600000}"/>
    <cellStyle name="Normal 63 10 2" xfId="31081" xr:uid="{00000000-0005-0000-0000-00007A600000}"/>
    <cellStyle name="Normal 63 11" xfId="23038" xr:uid="{00000000-0005-0000-0000-00007B600000}"/>
    <cellStyle name="Normal 63 2" xfId="5208" xr:uid="{00000000-0005-0000-0000-00007C600000}"/>
    <cellStyle name="Normal 63 2 2" xfId="5209" xr:uid="{00000000-0005-0000-0000-00007D600000}"/>
    <cellStyle name="Normal 63 2 3" xfId="14534" xr:uid="{00000000-0005-0000-0000-00007E600000}"/>
    <cellStyle name="Normal 63 2 3 2" xfId="31082" xr:uid="{00000000-0005-0000-0000-00007F600000}"/>
    <cellStyle name="Normal 63 2 4" xfId="23039" xr:uid="{00000000-0005-0000-0000-000080600000}"/>
    <cellStyle name="Normal 63 3" xfId="5210" xr:uid="{00000000-0005-0000-0000-000081600000}"/>
    <cellStyle name="Normal 63 3 2" xfId="5211" xr:uid="{00000000-0005-0000-0000-000082600000}"/>
    <cellStyle name="Normal 63 3 2 2" xfId="5212" xr:uid="{00000000-0005-0000-0000-000083600000}"/>
    <cellStyle name="Normal 63 3 2 2 2" xfId="5213" xr:uid="{00000000-0005-0000-0000-000084600000}"/>
    <cellStyle name="Normal 63 3 2 2 2 2" xfId="9156" xr:uid="{00000000-0005-0000-0000-000085600000}"/>
    <cellStyle name="Normal 63 3 2 2 2 2 2" xfId="18330" xr:uid="{00000000-0005-0000-0000-000086600000}"/>
    <cellStyle name="Normal 63 3 2 2 2 2 2 2" xfId="34904" xr:uid="{00000000-0005-0000-0000-000087600000}"/>
    <cellStyle name="Normal 63 3 2 2 2 2 3" xfId="26857" xr:uid="{00000000-0005-0000-0000-000088600000}"/>
    <cellStyle name="Normal 63 3 2 2 2 3" xfId="14537" xr:uid="{00000000-0005-0000-0000-000089600000}"/>
    <cellStyle name="Normal 63 3 2 2 2 3 2" xfId="31085" xr:uid="{00000000-0005-0000-0000-00008A600000}"/>
    <cellStyle name="Normal 63 3 2 2 2 4" xfId="23042" xr:uid="{00000000-0005-0000-0000-00008B600000}"/>
    <cellStyle name="Normal 63 3 2 2 3" xfId="9157" xr:uid="{00000000-0005-0000-0000-00008C600000}"/>
    <cellStyle name="Normal 63 3 2 2 3 2" xfId="18331" xr:uid="{00000000-0005-0000-0000-00008D600000}"/>
    <cellStyle name="Normal 63 3 2 2 3 2 2" xfId="34905" xr:uid="{00000000-0005-0000-0000-00008E600000}"/>
    <cellStyle name="Normal 63 3 2 2 3 3" xfId="26858" xr:uid="{00000000-0005-0000-0000-00008F600000}"/>
    <cellStyle name="Normal 63 3 2 2 4" xfId="14536" xr:uid="{00000000-0005-0000-0000-000090600000}"/>
    <cellStyle name="Normal 63 3 2 2 4 2" xfId="31084" xr:uid="{00000000-0005-0000-0000-000091600000}"/>
    <cellStyle name="Normal 63 3 2 2 5" xfId="23041" xr:uid="{00000000-0005-0000-0000-000092600000}"/>
    <cellStyle name="Normal 63 3 2 3" xfId="5214" xr:uid="{00000000-0005-0000-0000-000093600000}"/>
    <cellStyle name="Normal 63 3 2 3 2" xfId="9158" xr:uid="{00000000-0005-0000-0000-000094600000}"/>
    <cellStyle name="Normal 63 3 2 3 2 2" xfId="18332" xr:uid="{00000000-0005-0000-0000-000095600000}"/>
    <cellStyle name="Normal 63 3 2 3 2 2 2" xfId="34906" xr:uid="{00000000-0005-0000-0000-000096600000}"/>
    <cellStyle name="Normal 63 3 2 3 2 3" xfId="26859" xr:uid="{00000000-0005-0000-0000-000097600000}"/>
    <cellStyle name="Normal 63 3 2 3 3" xfId="14538" xr:uid="{00000000-0005-0000-0000-000098600000}"/>
    <cellStyle name="Normal 63 3 2 3 3 2" xfId="31086" xr:uid="{00000000-0005-0000-0000-000099600000}"/>
    <cellStyle name="Normal 63 3 2 3 4" xfId="23043" xr:uid="{00000000-0005-0000-0000-00009A600000}"/>
    <cellStyle name="Normal 63 3 2 4" xfId="9159" xr:uid="{00000000-0005-0000-0000-00009B600000}"/>
    <cellStyle name="Normal 63 3 2 4 2" xfId="18333" xr:uid="{00000000-0005-0000-0000-00009C600000}"/>
    <cellStyle name="Normal 63 3 2 4 2 2" xfId="34907" xr:uid="{00000000-0005-0000-0000-00009D600000}"/>
    <cellStyle name="Normal 63 3 2 4 3" xfId="26860" xr:uid="{00000000-0005-0000-0000-00009E600000}"/>
    <cellStyle name="Normal 63 3 2 5" xfId="14535" xr:uid="{00000000-0005-0000-0000-00009F600000}"/>
    <cellStyle name="Normal 63 3 2 5 2" xfId="31083" xr:uid="{00000000-0005-0000-0000-0000A0600000}"/>
    <cellStyle name="Normal 63 3 2 6" xfId="23040" xr:uid="{00000000-0005-0000-0000-0000A1600000}"/>
    <cellStyle name="Normal 63 3 3" xfId="5215" xr:uid="{00000000-0005-0000-0000-0000A2600000}"/>
    <cellStyle name="Normal 63 3 3 2" xfId="5216" xr:uid="{00000000-0005-0000-0000-0000A3600000}"/>
    <cellStyle name="Normal 63 3 3 2 2" xfId="9160" xr:uid="{00000000-0005-0000-0000-0000A4600000}"/>
    <cellStyle name="Normal 63 3 3 2 2 2" xfId="18334" xr:uid="{00000000-0005-0000-0000-0000A5600000}"/>
    <cellStyle name="Normal 63 3 3 2 2 2 2" xfId="34908" xr:uid="{00000000-0005-0000-0000-0000A6600000}"/>
    <cellStyle name="Normal 63 3 3 2 2 3" xfId="26861" xr:uid="{00000000-0005-0000-0000-0000A7600000}"/>
    <cellStyle name="Normal 63 3 3 2 3" xfId="14540" xr:uid="{00000000-0005-0000-0000-0000A8600000}"/>
    <cellStyle name="Normal 63 3 3 2 3 2" xfId="31088" xr:uid="{00000000-0005-0000-0000-0000A9600000}"/>
    <cellStyle name="Normal 63 3 3 2 4" xfId="23045" xr:uid="{00000000-0005-0000-0000-0000AA600000}"/>
    <cellStyle name="Normal 63 3 3 3" xfId="9161" xr:uid="{00000000-0005-0000-0000-0000AB600000}"/>
    <cellStyle name="Normal 63 3 3 3 2" xfId="18335" xr:uid="{00000000-0005-0000-0000-0000AC600000}"/>
    <cellStyle name="Normal 63 3 3 3 2 2" xfId="34909" xr:uid="{00000000-0005-0000-0000-0000AD600000}"/>
    <cellStyle name="Normal 63 3 3 3 3" xfId="26862" xr:uid="{00000000-0005-0000-0000-0000AE600000}"/>
    <cellStyle name="Normal 63 3 3 4" xfId="14539" xr:uid="{00000000-0005-0000-0000-0000AF600000}"/>
    <cellStyle name="Normal 63 3 3 4 2" xfId="31087" xr:uid="{00000000-0005-0000-0000-0000B0600000}"/>
    <cellStyle name="Normal 63 3 3 5" xfId="23044" xr:uid="{00000000-0005-0000-0000-0000B1600000}"/>
    <cellStyle name="Normal 63 3 4" xfId="5217" xr:uid="{00000000-0005-0000-0000-0000B2600000}"/>
    <cellStyle name="Normal 63 3 4 2" xfId="9162" xr:uid="{00000000-0005-0000-0000-0000B3600000}"/>
    <cellStyle name="Normal 63 3 4 2 2" xfId="18336" xr:uid="{00000000-0005-0000-0000-0000B4600000}"/>
    <cellStyle name="Normal 63 3 4 2 2 2" xfId="34910" xr:uid="{00000000-0005-0000-0000-0000B5600000}"/>
    <cellStyle name="Normal 63 3 4 2 3" xfId="26863" xr:uid="{00000000-0005-0000-0000-0000B6600000}"/>
    <cellStyle name="Normal 63 3 4 3" xfId="14541" xr:uid="{00000000-0005-0000-0000-0000B7600000}"/>
    <cellStyle name="Normal 63 3 4 3 2" xfId="31089" xr:uid="{00000000-0005-0000-0000-0000B8600000}"/>
    <cellStyle name="Normal 63 3 4 4" xfId="23046" xr:uid="{00000000-0005-0000-0000-0000B9600000}"/>
    <cellStyle name="Normal 63 3 5" xfId="5218" xr:uid="{00000000-0005-0000-0000-0000BA600000}"/>
    <cellStyle name="Normal 63 3 5 2" xfId="14542" xr:uid="{00000000-0005-0000-0000-0000BB600000}"/>
    <cellStyle name="Normal 63 3 5 2 2" xfId="31090" xr:uid="{00000000-0005-0000-0000-0000BC600000}"/>
    <cellStyle name="Normal 63 3 5 3" xfId="23047" xr:uid="{00000000-0005-0000-0000-0000BD600000}"/>
    <cellStyle name="Normal 63 4" xfId="5219" xr:uid="{00000000-0005-0000-0000-0000BE600000}"/>
    <cellStyle name="Normal 63 4 2" xfId="5220" xr:uid="{00000000-0005-0000-0000-0000BF600000}"/>
    <cellStyle name="Normal 63 4 2 2" xfId="5221" xr:uid="{00000000-0005-0000-0000-0000C0600000}"/>
    <cellStyle name="Normal 63 4 2 2 2" xfId="5222" xr:uid="{00000000-0005-0000-0000-0000C1600000}"/>
    <cellStyle name="Normal 63 4 2 2 2 2" xfId="9163" xr:uid="{00000000-0005-0000-0000-0000C2600000}"/>
    <cellStyle name="Normal 63 4 2 2 2 2 2" xfId="18337" xr:uid="{00000000-0005-0000-0000-0000C3600000}"/>
    <cellStyle name="Normal 63 4 2 2 2 2 2 2" xfId="34911" xr:uid="{00000000-0005-0000-0000-0000C4600000}"/>
    <cellStyle name="Normal 63 4 2 2 2 2 3" xfId="26864" xr:uid="{00000000-0005-0000-0000-0000C5600000}"/>
    <cellStyle name="Normal 63 4 2 2 2 3" xfId="14546" xr:uid="{00000000-0005-0000-0000-0000C6600000}"/>
    <cellStyle name="Normal 63 4 2 2 2 3 2" xfId="31094" xr:uid="{00000000-0005-0000-0000-0000C7600000}"/>
    <cellStyle name="Normal 63 4 2 2 2 4" xfId="23051" xr:uid="{00000000-0005-0000-0000-0000C8600000}"/>
    <cellStyle name="Normal 63 4 2 2 3" xfId="9164" xr:uid="{00000000-0005-0000-0000-0000C9600000}"/>
    <cellStyle name="Normal 63 4 2 2 3 2" xfId="18338" xr:uid="{00000000-0005-0000-0000-0000CA600000}"/>
    <cellStyle name="Normal 63 4 2 2 3 2 2" xfId="34912" xr:uid="{00000000-0005-0000-0000-0000CB600000}"/>
    <cellStyle name="Normal 63 4 2 2 3 3" xfId="26865" xr:uid="{00000000-0005-0000-0000-0000CC600000}"/>
    <cellStyle name="Normal 63 4 2 2 4" xfId="14545" xr:uid="{00000000-0005-0000-0000-0000CD600000}"/>
    <cellStyle name="Normal 63 4 2 2 4 2" xfId="31093" xr:uid="{00000000-0005-0000-0000-0000CE600000}"/>
    <cellStyle name="Normal 63 4 2 2 5" xfId="23050" xr:uid="{00000000-0005-0000-0000-0000CF600000}"/>
    <cellStyle name="Normal 63 4 2 3" xfId="5223" xr:uid="{00000000-0005-0000-0000-0000D0600000}"/>
    <cellStyle name="Normal 63 4 2 3 2" xfId="9165" xr:uid="{00000000-0005-0000-0000-0000D1600000}"/>
    <cellStyle name="Normal 63 4 2 3 2 2" xfId="18339" xr:uid="{00000000-0005-0000-0000-0000D2600000}"/>
    <cellStyle name="Normal 63 4 2 3 2 2 2" xfId="34913" xr:uid="{00000000-0005-0000-0000-0000D3600000}"/>
    <cellStyle name="Normal 63 4 2 3 2 3" xfId="26866" xr:uid="{00000000-0005-0000-0000-0000D4600000}"/>
    <cellStyle name="Normal 63 4 2 3 3" xfId="14547" xr:uid="{00000000-0005-0000-0000-0000D5600000}"/>
    <cellStyle name="Normal 63 4 2 3 3 2" xfId="31095" xr:uid="{00000000-0005-0000-0000-0000D6600000}"/>
    <cellStyle name="Normal 63 4 2 3 4" xfId="23052" xr:uid="{00000000-0005-0000-0000-0000D7600000}"/>
    <cellStyle name="Normal 63 4 2 4" xfId="9166" xr:uid="{00000000-0005-0000-0000-0000D8600000}"/>
    <cellStyle name="Normal 63 4 2 4 2" xfId="18340" xr:uid="{00000000-0005-0000-0000-0000D9600000}"/>
    <cellStyle name="Normal 63 4 2 4 2 2" xfId="34914" xr:uid="{00000000-0005-0000-0000-0000DA600000}"/>
    <cellStyle name="Normal 63 4 2 4 3" xfId="26867" xr:uid="{00000000-0005-0000-0000-0000DB600000}"/>
    <cellStyle name="Normal 63 4 2 5" xfId="14544" xr:uid="{00000000-0005-0000-0000-0000DC600000}"/>
    <cellStyle name="Normal 63 4 2 5 2" xfId="31092" xr:uid="{00000000-0005-0000-0000-0000DD600000}"/>
    <cellStyle name="Normal 63 4 2 6" xfId="23049" xr:uid="{00000000-0005-0000-0000-0000DE600000}"/>
    <cellStyle name="Normal 63 4 3" xfId="5224" xr:uid="{00000000-0005-0000-0000-0000DF600000}"/>
    <cellStyle name="Normal 63 4 3 2" xfId="5225" xr:uid="{00000000-0005-0000-0000-0000E0600000}"/>
    <cellStyle name="Normal 63 4 3 2 2" xfId="9167" xr:uid="{00000000-0005-0000-0000-0000E1600000}"/>
    <cellStyle name="Normal 63 4 3 2 2 2" xfId="18341" xr:uid="{00000000-0005-0000-0000-0000E2600000}"/>
    <cellStyle name="Normal 63 4 3 2 2 2 2" xfId="34915" xr:uid="{00000000-0005-0000-0000-0000E3600000}"/>
    <cellStyle name="Normal 63 4 3 2 2 3" xfId="26868" xr:uid="{00000000-0005-0000-0000-0000E4600000}"/>
    <cellStyle name="Normal 63 4 3 2 3" xfId="14549" xr:uid="{00000000-0005-0000-0000-0000E5600000}"/>
    <cellStyle name="Normal 63 4 3 2 3 2" xfId="31097" xr:uid="{00000000-0005-0000-0000-0000E6600000}"/>
    <cellStyle name="Normal 63 4 3 2 4" xfId="23054" xr:uid="{00000000-0005-0000-0000-0000E7600000}"/>
    <cellStyle name="Normal 63 4 3 3" xfId="9168" xr:uid="{00000000-0005-0000-0000-0000E8600000}"/>
    <cellStyle name="Normal 63 4 3 3 2" xfId="18342" xr:uid="{00000000-0005-0000-0000-0000E9600000}"/>
    <cellStyle name="Normal 63 4 3 3 2 2" xfId="34916" xr:uid="{00000000-0005-0000-0000-0000EA600000}"/>
    <cellStyle name="Normal 63 4 3 3 3" xfId="26869" xr:uid="{00000000-0005-0000-0000-0000EB600000}"/>
    <cellStyle name="Normal 63 4 3 4" xfId="14548" xr:uid="{00000000-0005-0000-0000-0000EC600000}"/>
    <cellStyle name="Normal 63 4 3 4 2" xfId="31096" xr:uid="{00000000-0005-0000-0000-0000ED600000}"/>
    <cellStyle name="Normal 63 4 3 5" xfId="23053" xr:uid="{00000000-0005-0000-0000-0000EE600000}"/>
    <cellStyle name="Normal 63 4 4" xfId="5226" xr:uid="{00000000-0005-0000-0000-0000EF600000}"/>
    <cellStyle name="Normal 63 4 4 2" xfId="9169" xr:uid="{00000000-0005-0000-0000-0000F0600000}"/>
    <cellStyle name="Normal 63 4 4 2 2" xfId="18343" xr:uid="{00000000-0005-0000-0000-0000F1600000}"/>
    <cellStyle name="Normal 63 4 4 2 2 2" xfId="34917" xr:uid="{00000000-0005-0000-0000-0000F2600000}"/>
    <cellStyle name="Normal 63 4 4 2 3" xfId="26870" xr:uid="{00000000-0005-0000-0000-0000F3600000}"/>
    <cellStyle name="Normal 63 4 4 3" xfId="14550" xr:uid="{00000000-0005-0000-0000-0000F4600000}"/>
    <cellStyle name="Normal 63 4 4 3 2" xfId="31098" xr:uid="{00000000-0005-0000-0000-0000F5600000}"/>
    <cellStyle name="Normal 63 4 4 4" xfId="23055" xr:uid="{00000000-0005-0000-0000-0000F6600000}"/>
    <cellStyle name="Normal 63 4 5" xfId="9170" xr:uid="{00000000-0005-0000-0000-0000F7600000}"/>
    <cellStyle name="Normal 63 4 5 2" xfId="18344" xr:uid="{00000000-0005-0000-0000-0000F8600000}"/>
    <cellStyle name="Normal 63 4 5 2 2" xfId="34918" xr:uid="{00000000-0005-0000-0000-0000F9600000}"/>
    <cellStyle name="Normal 63 4 5 3" xfId="26871" xr:uid="{00000000-0005-0000-0000-0000FA600000}"/>
    <cellStyle name="Normal 63 4 6" xfId="14543" xr:uid="{00000000-0005-0000-0000-0000FB600000}"/>
    <cellStyle name="Normal 63 4 6 2" xfId="31091" xr:uid="{00000000-0005-0000-0000-0000FC600000}"/>
    <cellStyle name="Normal 63 4 7" xfId="23048" xr:uid="{00000000-0005-0000-0000-0000FD600000}"/>
    <cellStyle name="Normal 63 5" xfId="5227" xr:uid="{00000000-0005-0000-0000-0000FE600000}"/>
    <cellStyle name="Normal 63 5 2" xfId="5228" xr:uid="{00000000-0005-0000-0000-0000FF600000}"/>
    <cellStyle name="Normal 63 5 2 2" xfId="5229" xr:uid="{00000000-0005-0000-0000-000000610000}"/>
    <cellStyle name="Normal 63 5 2 2 2" xfId="5230" xr:uid="{00000000-0005-0000-0000-000001610000}"/>
    <cellStyle name="Normal 63 5 2 2 2 2" xfId="9171" xr:uid="{00000000-0005-0000-0000-000002610000}"/>
    <cellStyle name="Normal 63 5 2 2 2 2 2" xfId="18345" xr:uid="{00000000-0005-0000-0000-000003610000}"/>
    <cellStyle name="Normal 63 5 2 2 2 2 2 2" xfId="34919" xr:uid="{00000000-0005-0000-0000-000004610000}"/>
    <cellStyle name="Normal 63 5 2 2 2 2 3" xfId="26872" xr:uid="{00000000-0005-0000-0000-000005610000}"/>
    <cellStyle name="Normal 63 5 2 2 2 3" xfId="14554" xr:uid="{00000000-0005-0000-0000-000006610000}"/>
    <cellStyle name="Normal 63 5 2 2 2 3 2" xfId="31102" xr:uid="{00000000-0005-0000-0000-000007610000}"/>
    <cellStyle name="Normal 63 5 2 2 2 4" xfId="23059" xr:uid="{00000000-0005-0000-0000-000008610000}"/>
    <cellStyle name="Normal 63 5 2 2 3" xfId="9172" xr:uid="{00000000-0005-0000-0000-000009610000}"/>
    <cellStyle name="Normal 63 5 2 2 3 2" xfId="18346" xr:uid="{00000000-0005-0000-0000-00000A610000}"/>
    <cellStyle name="Normal 63 5 2 2 3 2 2" xfId="34920" xr:uid="{00000000-0005-0000-0000-00000B610000}"/>
    <cellStyle name="Normal 63 5 2 2 3 3" xfId="26873" xr:uid="{00000000-0005-0000-0000-00000C610000}"/>
    <cellStyle name="Normal 63 5 2 2 4" xfId="14553" xr:uid="{00000000-0005-0000-0000-00000D610000}"/>
    <cellStyle name="Normal 63 5 2 2 4 2" xfId="31101" xr:uid="{00000000-0005-0000-0000-00000E610000}"/>
    <cellStyle name="Normal 63 5 2 2 5" xfId="23058" xr:uid="{00000000-0005-0000-0000-00000F610000}"/>
    <cellStyle name="Normal 63 5 2 3" xfId="5231" xr:uid="{00000000-0005-0000-0000-000010610000}"/>
    <cellStyle name="Normal 63 5 2 3 2" xfId="9173" xr:uid="{00000000-0005-0000-0000-000011610000}"/>
    <cellStyle name="Normal 63 5 2 3 2 2" xfId="18347" xr:uid="{00000000-0005-0000-0000-000012610000}"/>
    <cellStyle name="Normal 63 5 2 3 2 2 2" xfId="34921" xr:uid="{00000000-0005-0000-0000-000013610000}"/>
    <cellStyle name="Normal 63 5 2 3 2 3" xfId="26874" xr:uid="{00000000-0005-0000-0000-000014610000}"/>
    <cellStyle name="Normal 63 5 2 3 3" xfId="14555" xr:uid="{00000000-0005-0000-0000-000015610000}"/>
    <cellStyle name="Normal 63 5 2 3 3 2" xfId="31103" xr:uid="{00000000-0005-0000-0000-000016610000}"/>
    <cellStyle name="Normal 63 5 2 3 4" xfId="23060" xr:uid="{00000000-0005-0000-0000-000017610000}"/>
    <cellStyle name="Normal 63 5 2 4" xfId="9174" xr:uid="{00000000-0005-0000-0000-000018610000}"/>
    <cellStyle name="Normal 63 5 2 4 2" xfId="18348" xr:uid="{00000000-0005-0000-0000-000019610000}"/>
    <cellStyle name="Normal 63 5 2 4 2 2" xfId="34922" xr:uid="{00000000-0005-0000-0000-00001A610000}"/>
    <cellStyle name="Normal 63 5 2 4 3" xfId="26875" xr:uid="{00000000-0005-0000-0000-00001B610000}"/>
    <cellStyle name="Normal 63 5 2 5" xfId="14552" xr:uid="{00000000-0005-0000-0000-00001C610000}"/>
    <cellStyle name="Normal 63 5 2 5 2" xfId="31100" xr:uid="{00000000-0005-0000-0000-00001D610000}"/>
    <cellStyle name="Normal 63 5 2 6" xfId="23057" xr:uid="{00000000-0005-0000-0000-00001E610000}"/>
    <cellStyle name="Normal 63 5 3" xfId="5232" xr:uid="{00000000-0005-0000-0000-00001F610000}"/>
    <cellStyle name="Normal 63 5 3 2" xfId="5233" xr:uid="{00000000-0005-0000-0000-000020610000}"/>
    <cellStyle name="Normal 63 5 3 2 2" xfId="9175" xr:uid="{00000000-0005-0000-0000-000021610000}"/>
    <cellStyle name="Normal 63 5 3 2 2 2" xfId="18349" xr:uid="{00000000-0005-0000-0000-000022610000}"/>
    <cellStyle name="Normal 63 5 3 2 2 2 2" xfId="34923" xr:uid="{00000000-0005-0000-0000-000023610000}"/>
    <cellStyle name="Normal 63 5 3 2 2 3" xfId="26876" xr:uid="{00000000-0005-0000-0000-000024610000}"/>
    <cellStyle name="Normal 63 5 3 2 3" xfId="14557" xr:uid="{00000000-0005-0000-0000-000025610000}"/>
    <cellStyle name="Normal 63 5 3 2 3 2" xfId="31105" xr:uid="{00000000-0005-0000-0000-000026610000}"/>
    <cellStyle name="Normal 63 5 3 2 4" xfId="23062" xr:uid="{00000000-0005-0000-0000-000027610000}"/>
    <cellStyle name="Normal 63 5 3 3" xfId="9176" xr:uid="{00000000-0005-0000-0000-000028610000}"/>
    <cellStyle name="Normal 63 5 3 3 2" xfId="18350" xr:uid="{00000000-0005-0000-0000-000029610000}"/>
    <cellStyle name="Normal 63 5 3 3 2 2" xfId="34924" xr:uid="{00000000-0005-0000-0000-00002A610000}"/>
    <cellStyle name="Normal 63 5 3 3 3" xfId="26877" xr:uid="{00000000-0005-0000-0000-00002B610000}"/>
    <cellStyle name="Normal 63 5 3 4" xfId="14556" xr:uid="{00000000-0005-0000-0000-00002C610000}"/>
    <cellStyle name="Normal 63 5 3 4 2" xfId="31104" xr:uid="{00000000-0005-0000-0000-00002D610000}"/>
    <cellStyle name="Normal 63 5 3 5" xfId="23061" xr:uid="{00000000-0005-0000-0000-00002E610000}"/>
    <cellStyle name="Normal 63 5 4" xfId="5234" xr:uid="{00000000-0005-0000-0000-00002F610000}"/>
    <cellStyle name="Normal 63 5 4 2" xfId="9177" xr:uid="{00000000-0005-0000-0000-000030610000}"/>
    <cellStyle name="Normal 63 5 4 2 2" xfId="18351" xr:uid="{00000000-0005-0000-0000-000031610000}"/>
    <cellStyle name="Normal 63 5 4 2 2 2" xfId="34925" xr:uid="{00000000-0005-0000-0000-000032610000}"/>
    <cellStyle name="Normal 63 5 4 2 3" xfId="26878" xr:uid="{00000000-0005-0000-0000-000033610000}"/>
    <cellStyle name="Normal 63 5 4 3" xfId="14558" xr:uid="{00000000-0005-0000-0000-000034610000}"/>
    <cellStyle name="Normal 63 5 4 3 2" xfId="31106" xr:uid="{00000000-0005-0000-0000-000035610000}"/>
    <cellStyle name="Normal 63 5 4 4" xfId="23063" xr:uid="{00000000-0005-0000-0000-000036610000}"/>
    <cellStyle name="Normal 63 5 5" xfId="9178" xr:uid="{00000000-0005-0000-0000-000037610000}"/>
    <cellStyle name="Normal 63 5 5 2" xfId="18352" xr:uid="{00000000-0005-0000-0000-000038610000}"/>
    <cellStyle name="Normal 63 5 5 2 2" xfId="34926" xr:uid="{00000000-0005-0000-0000-000039610000}"/>
    <cellStyle name="Normal 63 5 5 3" xfId="26879" xr:uid="{00000000-0005-0000-0000-00003A610000}"/>
    <cellStyle name="Normal 63 5 6" xfId="14551" xr:uid="{00000000-0005-0000-0000-00003B610000}"/>
    <cellStyle name="Normal 63 5 6 2" xfId="31099" xr:uid="{00000000-0005-0000-0000-00003C610000}"/>
    <cellStyle name="Normal 63 5 7" xfId="23056" xr:uid="{00000000-0005-0000-0000-00003D610000}"/>
    <cellStyle name="Normal 63 6" xfId="5235" xr:uid="{00000000-0005-0000-0000-00003E610000}"/>
    <cellStyle name="Normal 63 6 2" xfId="5236" xr:uid="{00000000-0005-0000-0000-00003F610000}"/>
    <cellStyle name="Normal 63 6 2 2" xfId="5237" xr:uid="{00000000-0005-0000-0000-000040610000}"/>
    <cellStyle name="Normal 63 6 2 2 2" xfId="9179" xr:uid="{00000000-0005-0000-0000-000041610000}"/>
    <cellStyle name="Normal 63 6 2 2 2 2" xfId="18353" xr:uid="{00000000-0005-0000-0000-000042610000}"/>
    <cellStyle name="Normal 63 6 2 2 2 2 2" xfId="34927" xr:uid="{00000000-0005-0000-0000-000043610000}"/>
    <cellStyle name="Normal 63 6 2 2 2 3" xfId="26880" xr:uid="{00000000-0005-0000-0000-000044610000}"/>
    <cellStyle name="Normal 63 6 2 2 3" xfId="14561" xr:uid="{00000000-0005-0000-0000-000045610000}"/>
    <cellStyle name="Normal 63 6 2 2 3 2" xfId="31109" xr:uid="{00000000-0005-0000-0000-000046610000}"/>
    <cellStyle name="Normal 63 6 2 2 4" xfId="23066" xr:uid="{00000000-0005-0000-0000-000047610000}"/>
    <cellStyle name="Normal 63 6 2 3" xfId="9180" xr:uid="{00000000-0005-0000-0000-000048610000}"/>
    <cellStyle name="Normal 63 6 2 3 2" xfId="18354" xr:uid="{00000000-0005-0000-0000-000049610000}"/>
    <cellStyle name="Normal 63 6 2 3 2 2" xfId="34928" xr:uid="{00000000-0005-0000-0000-00004A610000}"/>
    <cellStyle name="Normal 63 6 2 3 3" xfId="26881" xr:uid="{00000000-0005-0000-0000-00004B610000}"/>
    <cellStyle name="Normal 63 6 2 4" xfId="14560" xr:uid="{00000000-0005-0000-0000-00004C610000}"/>
    <cellStyle name="Normal 63 6 2 4 2" xfId="31108" xr:uid="{00000000-0005-0000-0000-00004D610000}"/>
    <cellStyle name="Normal 63 6 2 5" xfId="23065" xr:uid="{00000000-0005-0000-0000-00004E610000}"/>
    <cellStyle name="Normal 63 6 3" xfId="5238" xr:uid="{00000000-0005-0000-0000-00004F610000}"/>
    <cellStyle name="Normal 63 6 3 2" xfId="9181" xr:uid="{00000000-0005-0000-0000-000050610000}"/>
    <cellStyle name="Normal 63 6 3 2 2" xfId="18355" xr:uid="{00000000-0005-0000-0000-000051610000}"/>
    <cellStyle name="Normal 63 6 3 2 2 2" xfId="34929" xr:uid="{00000000-0005-0000-0000-000052610000}"/>
    <cellStyle name="Normal 63 6 3 2 3" xfId="26882" xr:uid="{00000000-0005-0000-0000-000053610000}"/>
    <cellStyle name="Normal 63 6 3 3" xfId="14562" xr:uid="{00000000-0005-0000-0000-000054610000}"/>
    <cellStyle name="Normal 63 6 3 3 2" xfId="31110" xr:uid="{00000000-0005-0000-0000-000055610000}"/>
    <cellStyle name="Normal 63 6 3 4" xfId="23067" xr:uid="{00000000-0005-0000-0000-000056610000}"/>
    <cellStyle name="Normal 63 6 4" xfId="9182" xr:uid="{00000000-0005-0000-0000-000057610000}"/>
    <cellStyle name="Normal 63 6 4 2" xfId="18356" xr:uid="{00000000-0005-0000-0000-000058610000}"/>
    <cellStyle name="Normal 63 6 4 2 2" xfId="34930" xr:uid="{00000000-0005-0000-0000-000059610000}"/>
    <cellStyle name="Normal 63 6 4 3" xfId="26883" xr:uid="{00000000-0005-0000-0000-00005A610000}"/>
    <cellStyle name="Normal 63 6 5" xfId="14559" xr:uid="{00000000-0005-0000-0000-00005B610000}"/>
    <cellStyle name="Normal 63 6 5 2" xfId="31107" xr:uid="{00000000-0005-0000-0000-00005C610000}"/>
    <cellStyle name="Normal 63 6 6" xfId="23064" xr:uid="{00000000-0005-0000-0000-00005D610000}"/>
    <cellStyle name="Normal 63 7" xfId="5239" xr:uid="{00000000-0005-0000-0000-00005E610000}"/>
    <cellStyle name="Normal 63 7 2" xfId="5240" xr:uid="{00000000-0005-0000-0000-00005F610000}"/>
    <cellStyle name="Normal 63 7 2 2" xfId="9183" xr:uid="{00000000-0005-0000-0000-000060610000}"/>
    <cellStyle name="Normal 63 7 2 2 2" xfId="18357" xr:uid="{00000000-0005-0000-0000-000061610000}"/>
    <cellStyle name="Normal 63 7 2 2 2 2" xfId="34931" xr:uid="{00000000-0005-0000-0000-000062610000}"/>
    <cellStyle name="Normal 63 7 2 2 3" xfId="26884" xr:uid="{00000000-0005-0000-0000-000063610000}"/>
    <cellStyle name="Normal 63 7 2 3" xfId="14564" xr:uid="{00000000-0005-0000-0000-000064610000}"/>
    <cellStyle name="Normal 63 7 2 3 2" xfId="31112" xr:uid="{00000000-0005-0000-0000-000065610000}"/>
    <cellStyle name="Normal 63 7 2 4" xfId="23069" xr:uid="{00000000-0005-0000-0000-000066610000}"/>
    <cellStyle name="Normal 63 7 3" xfId="9184" xr:uid="{00000000-0005-0000-0000-000067610000}"/>
    <cellStyle name="Normal 63 7 3 2" xfId="18358" xr:uid="{00000000-0005-0000-0000-000068610000}"/>
    <cellStyle name="Normal 63 7 3 2 2" xfId="34932" xr:uid="{00000000-0005-0000-0000-000069610000}"/>
    <cellStyle name="Normal 63 7 3 3" xfId="26885" xr:uid="{00000000-0005-0000-0000-00006A610000}"/>
    <cellStyle name="Normal 63 7 4" xfId="14563" xr:uid="{00000000-0005-0000-0000-00006B610000}"/>
    <cellStyle name="Normal 63 7 4 2" xfId="31111" xr:uid="{00000000-0005-0000-0000-00006C610000}"/>
    <cellStyle name="Normal 63 7 5" xfId="23068" xr:uid="{00000000-0005-0000-0000-00006D610000}"/>
    <cellStyle name="Normal 63 8" xfId="5241" xr:uid="{00000000-0005-0000-0000-00006E610000}"/>
    <cellStyle name="Normal 63 8 2" xfId="9185" xr:uid="{00000000-0005-0000-0000-00006F610000}"/>
    <cellStyle name="Normal 63 8 2 2" xfId="18359" xr:uid="{00000000-0005-0000-0000-000070610000}"/>
    <cellStyle name="Normal 63 8 2 2 2" xfId="34933" xr:uid="{00000000-0005-0000-0000-000071610000}"/>
    <cellStyle name="Normal 63 8 2 3" xfId="26886" xr:uid="{00000000-0005-0000-0000-000072610000}"/>
    <cellStyle name="Normal 63 8 3" xfId="14565" xr:uid="{00000000-0005-0000-0000-000073610000}"/>
    <cellStyle name="Normal 63 8 3 2" xfId="31113" xr:uid="{00000000-0005-0000-0000-000074610000}"/>
    <cellStyle name="Normal 63 8 4" xfId="23070" xr:uid="{00000000-0005-0000-0000-000075610000}"/>
    <cellStyle name="Normal 63 9" xfId="9186" xr:uid="{00000000-0005-0000-0000-000076610000}"/>
    <cellStyle name="Normal 63 9 2" xfId="18360" xr:uid="{00000000-0005-0000-0000-000077610000}"/>
    <cellStyle name="Normal 63 9 2 2" xfId="34934" xr:uid="{00000000-0005-0000-0000-000078610000}"/>
    <cellStyle name="Normal 63 9 3" xfId="26887" xr:uid="{00000000-0005-0000-0000-000079610000}"/>
    <cellStyle name="Normal 64" xfId="5242" xr:uid="{00000000-0005-0000-0000-00007A610000}"/>
    <cellStyle name="Normal 64 10" xfId="14566" xr:uid="{00000000-0005-0000-0000-00007B610000}"/>
    <cellStyle name="Normal 64 10 2" xfId="31114" xr:uid="{00000000-0005-0000-0000-00007C610000}"/>
    <cellStyle name="Normal 64 11" xfId="23071" xr:uid="{00000000-0005-0000-0000-00007D610000}"/>
    <cellStyle name="Normal 64 2" xfId="5243" xr:uid="{00000000-0005-0000-0000-00007E610000}"/>
    <cellStyle name="Normal 64 2 2" xfId="5244" xr:uid="{00000000-0005-0000-0000-00007F610000}"/>
    <cellStyle name="Normal 64 2 3" xfId="14567" xr:uid="{00000000-0005-0000-0000-000080610000}"/>
    <cellStyle name="Normal 64 2 3 2" xfId="31115" xr:uid="{00000000-0005-0000-0000-000081610000}"/>
    <cellStyle name="Normal 64 2 4" xfId="23072" xr:uid="{00000000-0005-0000-0000-000082610000}"/>
    <cellStyle name="Normal 64 3" xfId="5245" xr:uid="{00000000-0005-0000-0000-000083610000}"/>
    <cellStyle name="Normal 64 3 2" xfId="5246" xr:uid="{00000000-0005-0000-0000-000084610000}"/>
    <cellStyle name="Normal 64 3 2 2" xfId="5247" xr:uid="{00000000-0005-0000-0000-000085610000}"/>
    <cellStyle name="Normal 64 3 2 2 2" xfId="5248" xr:uid="{00000000-0005-0000-0000-000086610000}"/>
    <cellStyle name="Normal 64 3 2 2 2 2" xfId="9187" xr:uid="{00000000-0005-0000-0000-000087610000}"/>
    <cellStyle name="Normal 64 3 2 2 2 2 2" xfId="18361" xr:uid="{00000000-0005-0000-0000-000088610000}"/>
    <cellStyle name="Normal 64 3 2 2 2 2 2 2" xfId="34935" xr:uid="{00000000-0005-0000-0000-000089610000}"/>
    <cellStyle name="Normal 64 3 2 2 2 2 3" xfId="26888" xr:uid="{00000000-0005-0000-0000-00008A610000}"/>
    <cellStyle name="Normal 64 3 2 2 2 3" xfId="14570" xr:uid="{00000000-0005-0000-0000-00008B610000}"/>
    <cellStyle name="Normal 64 3 2 2 2 3 2" xfId="31118" xr:uid="{00000000-0005-0000-0000-00008C610000}"/>
    <cellStyle name="Normal 64 3 2 2 2 4" xfId="23075" xr:uid="{00000000-0005-0000-0000-00008D610000}"/>
    <cellStyle name="Normal 64 3 2 2 3" xfId="9188" xr:uid="{00000000-0005-0000-0000-00008E610000}"/>
    <cellStyle name="Normal 64 3 2 2 3 2" xfId="18362" xr:uid="{00000000-0005-0000-0000-00008F610000}"/>
    <cellStyle name="Normal 64 3 2 2 3 2 2" xfId="34936" xr:uid="{00000000-0005-0000-0000-000090610000}"/>
    <cellStyle name="Normal 64 3 2 2 3 3" xfId="26889" xr:uid="{00000000-0005-0000-0000-000091610000}"/>
    <cellStyle name="Normal 64 3 2 2 4" xfId="14569" xr:uid="{00000000-0005-0000-0000-000092610000}"/>
    <cellStyle name="Normal 64 3 2 2 4 2" xfId="31117" xr:uid="{00000000-0005-0000-0000-000093610000}"/>
    <cellStyle name="Normal 64 3 2 2 5" xfId="23074" xr:uid="{00000000-0005-0000-0000-000094610000}"/>
    <cellStyle name="Normal 64 3 2 3" xfId="5249" xr:uid="{00000000-0005-0000-0000-000095610000}"/>
    <cellStyle name="Normal 64 3 2 3 2" xfId="9189" xr:uid="{00000000-0005-0000-0000-000096610000}"/>
    <cellStyle name="Normal 64 3 2 3 2 2" xfId="18363" xr:uid="{00000000-0005-0000-0000-000097610000}"/>
    <cellStyle name="Normal 64 3 2 3 2 2 2" xfId="34937" xr:uid="{00000000-0005-0000-0000-000098610000}"/>
    <cellStyle name="Normal 64 3 2 3 2 3" xfId="26890" xr:uid="{00000000-0005-0000-0000-000099610000}"/>
    <cellStyle name="Normal 64 3 2 3 3" xfId="14571" xr:uid="{00000000-0005-0000-0000-00009A610000}"/>
    <cellStyle name="Normal 64 3 2 3 3 2" xfId="31119" xr:uid="{00000000-0005-0000-0000-00009B610000}"/>
    <cellStyle name="Normal 64 3 2 3 4" xfId="23076" xr:uid="{00000000-0005-0000-0000-00009C610000}"/>
    <cellStyle name="Normal 64 3 2 4" xfId="9190" xr:uid="{00000000-0005-0000-0000-00009D610000}"/>
    <cellStyle name="Normal 64 3 2 4 2" xfId="18364" xr:uid="{00000000-0005-0000-0000-00009E610000}"/>
    <cellStyle name="Normal 64 3 2 4 2 2" xfId="34938" xr:uid="{00000000-0005-0000-0000-00009F610000}"/>
    <cellStyle name="Normal 64 3 2 4 3" xfId="26891" xr:uid="{00000000-0005-0000-0000-0000A0610000}"/>
    <cellStyle name="Normal 64 3 2 5" xfId="14568" xr:uid="{00000000-0005-0000-0000-0000A1610000}"/>
    <cellStyle name="Normal 64 3 2 5 2" xfId="31116" xr:uid="{00000000-0005-0000-0000-0000A2610000}"/>
    <cellStyle name="Normal 64 3 2 6" xfId="23073" xr:uid="{00000000-0005-0000-0000-0000A3610000}"/>
    <cellStyle name="Normal 64 3 3" xfId="5250" xr:uid="{00000000-0005-0000-0000-0000A4610000}"/>
    <cellStyle name="Normal 64 3 3 2" xfId="5251" xr:uid="{00000000-0005-0000-0000-0000A5610000}"/>
    <cellStyle name="Normal 64 3 3 2 2" xfId="9191" xr:uid="{00000000-0005-0000-0000-0000A6610000}"/>
    <cellStyle name="Normal 64 3 3 2 2 2" xfId="18365" xr:uid="{00000000-0005-0000-0000-0000A7610000}"/>
    <cellStyle name="Normal 64 3 3 2 2 2 2" xfId="34939" xr:uid="{00000000-0005-0000-0000-0000A8610000}"/>
    <cellStyle name="Normal 64 3 3 2 2 3" xfId="26892" xr:uid="{00000000-0005-0000-0000-0000A9610000}"/>
    <cellStyle name="Normal 64 3 3 2 3" xfId="14573" xr:uid="{00000000-0005-0000-0000-0000AA610000}"/>
    <cellStyle name="Normal 64 3 3 2 3 2" xfId="31121" xr:uid="{00000000-0005-0000-0000-0000AB610000}"/>
    <cellStyle name="Normal 64 3 3 2 4" xfId="23078" xr:uid="{00000000-0005-0000-0000-0000AC610000}"/>
    <cellStyle name="Normal 64 3 3 3" xfId="9192" xr:uid="{00000000-0005-0000-0000-0000AD610000}"/>
    <cellStyle name="Normal 64 3 3 3 2" xfId="18366" xr:uid="{00000000-0005-0000-0000-0000AE610000}"/>
    <cellStyle name="Normal 64 3 3 3 2 2" xfId="34940" xr:uid="{00000000-0005-0000-0000-0000AF610000}"/>
    <cellStyle name="Normal 64 3 3 3 3" xfId="26893" xr:uid="{00000000-0005-0000-0000-0000B0610000}"/>
    <cellStyle name="Normal 64 3 3 4" xfId="14572" xr:uid="{00000000-0005-0000-0000-0000B1610000}"/>
    <cellStyle name="Normal 64 3 3 4 2" xfId="31120" xr:uid="{00000000-0005-0000-0000-0000B2610000}"/>
    <cellStyle name="Normal 64 3 3 5" xfId="23077" xr:uid="{00000000-0005-0000-0000-0000B3610000}"/>
    <cellStyle name="Normal 64 3 4" xfId="5252" xr:uid="{00000000-0005-0000-0000-0000B4610000}"/>
    <cellStyle name="Normal 64 3 4 2" xfId="9193" xr:uid="{00000000-0005-0000-0000-0000B5610000}"/>
    <cellStyle name="Normal 64 3 4 2 2" xfId="18367" xr:uid="{00000000-0005-0000-0000-0000B6610000}"/>
    <cellStyle name="Normal 64 3 4 2 2 2" xfId="34941" xr:uid="{00000000-0005-0000-0000-0000B7610000}"/>
    <cellStyle name="Normal 64 3 4 2 3" xfId="26894" xr:uid="{00000000-0005-0000-0000-0000B8610000}"/>
    <cellStyle name="Normal 64 3 4 3" xfId="14574" xr:uid="{00000000-0005-0000-0000-0000B9610000}"/>
    <cellStyle name="Normal 64 3 4 3 2" xfId="31122" xr:uid="{00000000-0005-0000-0000-0000BA610000}"/>
    <cellStyle name="Normal 64 3 4 4" xfId="23079" xr:uid="{00000000-0005-0000-0000-0000BB610000}"/>
    <cellStyle name="Normal 64 3 5" xfId="5253" xr:uid="{00000000-0005-0000-0000-0000BC610000}"/>
    <cellStyle name="Normal 64 3 5 2" xfId="14575" xr:uid="{00000000-0005-0000-0000-0000BD610000}"/>
    <cellStyle name="Normal 64 3 5 2 2" xfId="31123" xr:uid="{00000000-0005-0000-0000-0000BE610000}"/>
    <cellStyle name="Normal 64 3 5 3" xfId="23080" xr:uid="{00000000-0005-0000-0000-0000BF610000}"/>
    <cellStyle name="Normal 64 4" xfId="5254" xr:uid="{00000000-0005-0000-0000-0000C0610000}"/>
    <cellStyle name="Normal 64 4 2" xfId="5255" xr:uid="{00000000-0005-0000-0000-0000C1610000}"/>
    <cellStyle name="Normal 64 4 2 2" xfId="5256" xr:uid="{00000000-0005-0000-0000-0000C2610000}"/>
    <cellStyle name="Normal 64 4 2 2 2" xfId="5257" xr:uid="{00000000-0005-0000-0000-0000C3610000}"/>
    <cellStyle name="Normal 64 4 2 2 2 2" xfId="9194" xr:uid="{00000000-0005-0000-0000-0000C4610000}"/>
    <cellStyle name="Normal 64 4 2 2 2 2 2" xfId="18368" xr:uid="{00000000-0005-0000-0000-0000C5610000}"/>
    <cellStyle name="Normal 64 4 2 2 2 2 2 2" xfId="34942" xr:uid="{00000000-0005-0000-0000-0000C6610000}"/>
    <cellStyle name="Normal 64 4 2 2 2 2 3" xfId="26895" xr:uid="{00000000-0005-0000-0000-0000C7610000}"/>
    <cellStyle name="Normal 64 4 2 2 2 3" xfId="14579" xr:uid="{00000000-0005-0000-0000-0000C8610000}"/>
    <cellStyle name="Normal 64 4 2 2 2 3 2" xfId="31127" xr:uid="{00000000-0005-0000-0000-0000C9610000}"/>
    <cellStyle name="Normal 64 4 2 2 2 4" xfId="23084" xr:uid="{00000000-0005-0000-0000-0000CA610000}"/>
    <cellStyle name="Normal 64 4 2 2 3" xfId="9195" xr:uid="{00000000-0005-0000-0000-0000CB610000}"/>
    <cellStyle name="Normal 64 4 2 2 3 2" xfId="18369" xr:uid="{00000000-0005-0000-0000-0000CC610000}"/>
    <cellStyle name="Normal 64 4 2 2 3 2 2" xfId="34943" xr:uid="{00000000-0005-0000-0000-0000CD610000}"/>
    <cellStyle name="Normal 64 4 2 2 3 3" xfId="26896" xr:uid="{00000000-0005-0000-0000-0000CE610000}"/>
    <cellStyle name="Normal 64 4 2 2 4" xfId="14578" xr:uid="{00000000-0005-0000-0000-0000CF610000}"/>
    <cellStyle name="Normal 64 4 2 2 4 2" xfId="31126" xr:uid="{00000000-0005-0000-0000-0000D0610000}"/>
    <cellStyle name="Normal 64 4 2 2 5" xfId="23083" xr:uid="{00000000-0005-0000-0000-0000D1610000}"/>
    <cellStyle name="Normal 64 4 2 3" xfId="5258" xr:uid="{00000000-0005-0000-0000-0000D2610000}"/>
    <cellStyle name="Normal 64 4 2 3 2" xfId="9196" xr:uid="{00000000-0005-0000-0000-0000D3610000}"/>
    <cellStyle name="Normal 64 4 2 3 2 2" xfId="18370" xr:uid="{00000000-0005-0000-0000-0000D4610000}"/>
    <cellStyle name="Normal 64 4 2 3 2 2 2" xfId="34944" xr:uid="{00000000-0005-0000-0000-0000D5610000}"/>
    <cellStyle name="Normal 64 4 2 3 2 3" xfId="26897" xr:uid="{00000000-0005-0000-0000-0000D6610000}"/>
    <cellStyle name="Normal 64 4 2 3 3" xfId="14580" xr:uid="{00000000-0005-0000-0000-0000D7610000}"/>
    <cellStyle name="Normal 64 4 2 3 3 2" xfId="31128" xr:uid="{00000000-0005-0000-0000-0000D8610000}"/>
    <cellStyle name="Normal 64 4 2 3 4" xfId="23085" xr:uid="{00000000-0005-0000-0000-0000D9610000}"/>
    <cellStyle name="Normal 64 4 2 4" xfId="9197" xr:uid="{00000000-0005-0000-0000-0000DA610000}"/>
    <cellStyle name="Normal 64 4 2 4 2" xfId="18371" xr:uid="{00000000-0005-0000-0000-0000DB610000}"/>
    <cellStyle name="Normal 64 4 2 4 2 2" xfId="34945" xr:uid="{00000000-0005-0000-0000-0000DC610000}"/>
    <cellStyle name="Normal 64 4 2 4 3" xfId="26898" xr:uid="{00000000-0005-0000-0000-0000DD610000}"/>
    <cellStyle name="Normal 64 4 2 5" xfId="14577" xr:uid="{00000000-0005-0000-0000-0000DE610000}"/>
    <cellStyle name="Normal 64 4 2 5 2" xfId="31125" xr:uid="{00000000-0005-0000-0000-0000DF610000}"/>
    <cellStyle name="Normal 64 4 2 6" xfId="23082" xr:uid="{00000000-0005-0000-0000-0000E0610000}"/>
    <cellStyle name="Normal 64 4 3" xfId="5259" xr:uid="{00000000-0005-0000-0000-0000E1610000}"/>
    <cellStyle name="Normal 64 4 3 2" xfId="5260" xr:uid="{00000000-0005-0000-0000-0000E2610000}"/>
    <cellStyle name="Normal 64 4 3 2 2" xfId="9198" xr:uid="{00000000-0005-0000-0000-0000E3610000}"/>
    <cellStyle name="Normal 64 4 3 2 2 2" xfId="18372" xr:uid="{00000000-0005-0000-0000-0000E4610000}"/>
    <cellStyle name="Normal 64 4 3 2 2 2 2" xfId="34946" xr:uid="{00000000-0005-0000-0000-0000E5610000}"/>
    <cellStyle name="Normal 64 4 3 2 2 3" xfId="26899" xr:uid="{00000000-0005-0000-0000-0000E6610000}"/>
    <cellStyle name="Normal 64 4 3 2 3" xfId="14582" xr:uid="{00000000-0005-0000-0000-0000E7610000}"/>
    <cellStyle name="Normal 64 4 3 2 3 2" xfId="31130" xr:uid="{00000000-0005-0000-0000-0000E8610000}"/>
    <cellStyle name="Normal 64 4 3 2 4" xfId="23087" xr:uid="{00000000-0005-0000-0000-0000E9610000}"/>
    <cellStyle name="Normal 64 4 3 3" xfId="9199" xr:uid="{00000000-0005-0000-0000-0000EA610000}"/>
    <cellStyle name="Normal 64 4 3 3 2" xfId="18373" xr:uid="{00000000-0005-0000-0000-0000EB610000}"/>
    <cellStyle name="Normal 64 4 3 3 2 2" xfId="34947" xr:uid="{00000000-0005-0000-0000-0000EC610000}"/>
    <cellStyle name="Normal 64 4 3 3 3" xfId="26900" xr:uid="{00000000-0005-0000-0000-0000ED610000}"/>
    <cellStyle name="Normal 64 4 3 4" xfId="14581" xr:uid="{00000000-0005-0000-0000-0000EE610000}"/>
    <cellStyle name="Normal 64 4 3 4 2" xfId="31129" xr:uid="{00000000-0005-0000-0000-0000EF610000}"/>
    <cellStyle name="Normal 64 4 3 5" xfId="23086" xr:uid="{00000000-0005-0000-0000-0000F0610000}"/>
    <cellStyle name="Normal 64 4 4" xfId="5261" xr:uid="{00000000-0005-0000-0000-0000F1610000}"/>
    <cellStyle name="Normal 64 4 4 2" xfId="9200" xr:uid="{00000000-0005-0000-0000-0000F2610000}"/>
    <cellStyle name="Normal 64 4 4 2 2" xfId="18374" xr:uid="{00000000-0005-0000-0000-0000F3610000}"/>
    <cellStyle name="Normal 64 4 4 2 2 2" xfId="34948" xr:uid="{00000000-0005-0000-0000-0000F4610000}"/>
    <cellStyle name="Normal 64 4 4 2 3" xfId="26901" xr:uid="{00000000-0005-0000-0000-0000F5610000}"/>
    <cellStyle name="Normal 64 4 4 3" xfId="14583" xr:uid="{00000000-0005-0000-0000-0000F6610000}"/>
    <cellStyle name="Normal 64 4 4 3 2" xfId="31131" xr:uid="{00000000-0005-0000-0000-0000F7610000}"/>
    <cellStyle name="Normal 64 4 4 4" xfId="23088" xr:uid="{00000000-0005-0000-0000-0000F8610000}"/>
    <cellStyle name="Normal 64 4 5" xfId="9201" xr:uid="{00000000-0005-0000-0000-0000F9610000}"/>
    <cellStyle name="Normal 64 4 5 2" xfId="18375" xr:uid="{00000000-0005-0000-0000-0000FA610000}"/>
    <cellStyle name="Normal 64 4 5 2 2" xfId="34949" xr:uid="{00000000-0005-0000-0000-0000FB610000}"/>
    <cellStyle name="Normal 64 4 5 3" xfId="26902" xr:uid="{00000000-0005-0000-0000-0000FC610000}"/>
    <cellStyle name="Normal 64 4 6" xfId="14576" xr:uid="{00000000-0005-0000-0000-0000FD610000}"/>
    <cellStyle name="Normal 64 4 6 2" xfId="31124" xr:uid="{00000000-0005-0000-0000-0000FE610000}"/>
    <cellStyle name="Normal 64 4 7" xfId="23081" xr:uid="{00000000-0005-0000-0000-0000FF610000}"/>
    <cellStyle name="Normal 64 5" xfId="5262" xr:uid="{00000000-0005-0000-0000-000000620000}"/>
    <cellStyle name="Normal 64 5 2" xfId="5263" xr:uid="{00000000-0005-0000-0000-000001620000}"/>
    <cellStyle name="Normal 64 5 2 2" xfId="5264" xr:uid="{00000000-0005-0000-0000-000002620000}"/>
    <cellStyle name="Normal 64 5 2 2 2" xfId="5265" xr:uid="{00000000-0005-0000-0000-000003620000}"/>
    <cellStyle name="Normal 64 5 2 2 2 2" xfId="9202" xr:uid="{00000000-0005-0000-0000-000004620000}"/>
    <cellStyle name="Normal 64 5 2 2 2 2 2" xfId="18376" xr:uid="{00000000-0005-0000-0000-000005620000}"/>
    <cellStyle name="Normal 64 5 2 2 2 2 2 2" xfId="34950" xr:uid="{00000000-0005-0000-0000-000006620000}"/>
    <cellStyle name="Normal 64 5 2 2 2 2 3" xfId="26903" xr:uid="{00000000-0005-0000-0000-000007620000}"/>
    <cellStyle name="Normal 64 5 2 2 2 3" xfId="14587" xr:uid="{00000000-0005-0000-0000-000008620000}"/>
    <cellStyle name="Normal 64 5 2 2 2 3 2" xfId="31135" xr:uid="{00000000-0005-0000-0000-000009620000}"/>
    <cellStyle name="Normal 64 5 2 2 2 4" xfId="23092" xr:uid="{00000000-0005-0000-0000-00000A620000}"/>
    <cellStyle name="Normal 64 5 2 2 3" xfId="9203" xr:uid="{00000000-0005-0000-0000-00000B620000}"/>
    <cellStyle name="Normal 64 5 2 2 3 2" xfId="18377" xr:uid="{00000000-0005-0000-0000-00000C620000}"/>
    <cellStyle name="Normal 64 5 2 2 3 2 2" xfId="34951" xr:uid="{00000000-0005-0000-0000-00000D620000}"/>
    <cellStyle name="Normal 64 5 2 2 3 3" xfId="26904" xr:uid="{00000000-0005-0000-0000-00000E620000}"/>
    <cellStyle name="Normal 64 5 2 2 4" xfId="14586" xr:uid="{00000000-0005-0000-0000-00000F620000}"/>
    <cellStyle name="Normal 64 5 2 2 4 2" xfId="31134" xr:uid="{00000000-0005-0000-0000-000010620000}"/>
    <cellStyle name="Normal 64 5 2 2 5" xfId="23091" xr:uid="{00000000-0005-0000-0000-000011620000}"/>
    <cellStyle name="Normal 64 5 2 3" xfId="5266" xr:uid="{00000000-0005-0000-0000-000012620000}"/>
    <cellStyle name="Normal 64 5 2 3 2" xfId="9204" xr:uid="{00000000-0005-0000-0000-000013620000}"/>
    <cellStyle name="Normal 64 5 2 3 2 2" xfId="18378" xr:uid="{00000000-0005-0000-0000-000014620000}"/>
    <cellStyle name="Normal 64 5 2 3 2 2 2" xfId="34952" xr:uid="{00000000-0005-0000-0000-000015620000}"/>
    <cellStyle name="Normal 64 5 2 3 2 3" xfId="26905" xr:uid="{00000000-0005-0000-0000-000016620000}"/>
    <cellStyle name="Normal 64 5 2 3 3" xfId="14588" xr:uid="{00000000-0005-0000-0000-000017620000}"/>
    <cellStyle name="Normal 64 5 2 3 3 2" xfId="31136" xr:uid="{00000000-0005-0000-0000-000018620000}"/>
    <cellStyle name="Normal 64 5 2 3 4" xfId="23093" xr:uid="{00000000-0005-0000-0000-000019620000}"/>
    <cellStyle name="Normal 64 5 2 4" xfId="9205" xr:uid="{00000000-0005-0000-0000-00001A620000}"/>
    <cellStyle name="Normal 64 5 2 4 2" xfId="18379" xr:uid="{00000000-0005-0000-0000-00001B620000}"/>
    <cellStyle name="Normal 64 5 2 4 2 2" xfId="34953" xr:uid="{00000000-0005-0000-0000-00001C620000}"/>
    <cellStyle name="Normal 64 5 2 4 3" xfId="26906" xr:uid="{00000000-0005-0000-0000-00001D620000}"/>
    <cellStyle name="Normal 64 5 2 5" xfId="14585" xr:uid="{00000000-0005-0000-0000-00001E620000}"/>
    <cellStyle name="Normal 64 5 2 5 2" xfId="31133" xr:uid="{00000000-0005-0000-0000-00001F620000}"/>
    <cellStyle name="Normal 64 5 2 6" xfId="23090" xr:uid="{00000000-0005-0000-0000-000020620000}"/>
    <cellStyle name="Normal 64 5 3" xfId="5267" xr:uid="{00000000-0005-0000-0000-000021620000}"/>
    <cellStyle name="Normal 64 5 3 2" xfId="5268" xr:uid="{00000000-0005-0000-0000-000022620000}"/>
    <cellStyle name="Normal 64 5 3 2 2" xfId="9206" xr:uid="{00000000-0005-0000-0000-000023620000}"/>
    <cellStyle name="Normal 64 5 3 2 2 2" xfId="18380" xr:uid="{00000000-0005-0000-0000-000024620000}"/>
    <cellStyle name="Normal 64 5 3 2 2 2 2" xfId="34954" xr:uid="{00000000-0005-0000-0000-000025620000}"/>
    <cellStyle name="Normal 64 5 3 2 2 3" xfId="26907" xr:uid="{00000000-0005-0000-0000-000026620000}"/>
    <cellStyle name="Normal 64 5 3 2 3" xfId="14590" xr:uid="{00000000-0005-0000-0000-000027620000}"/>
    <cellStyle name="Normal 64 5 3 2 3 2" xfId="31138" xr:uid="{00000000-0005-0000-0000-000028620000}"/>
    <cellStyle name="Normal 64 5 3 2 4" xfId="23095" xr:uid="{00000000-0005-0000-0000-000029620000}"/>
    <cellStyle name="Normal 64 5 3 3" xfId="9207" xr:uid="{00000000-0005-0000-0000-00002A620000}"/>
    <cellStyle name="Normal 64 5 3 3 2" xfId="18381" xr:uid="{00000000-0005-0000-0000-00002B620000}"/>
    <cellStyle name="Normal 64 5 3 3 2 2" xfId="34955" xr:uid="{00000000-0005-0000-0000-00002C620000}"/>
    <cellStyle name="Normal 64 5 3 3 3" xfId="26908" xr:uid="{00000000-0005-0000-0000-00002D620000}"/>
    <cellStyle name="Normal 64 5 3 4" xfId="14589" xr:uid="{00000000-0005-0000-0000-00002E620000}"/>
    <cellStyle name="Normal 64 5 3 4 2" xfId="31137" xr:uid="{00000000-0005-0000-0000-00002F620000}"/>
    <cellStyle name="Normal 64 5 3 5" xfId="23094" xr:uid="{00000000-0005-0000-0000-000030620000}"/>
    <cellStyle name="Normal 64 5 4" xfId="5269" xr:uid="{00000000-0005-0000-0000-000031620000}"/>
    <cellStyle name="Normal 64 5 4 2" xfId="9208" xr:uid="{00000000-0005-0000-0000-000032620000}"/>
    <cellStyle name="Normal 64 5 4 2 2" xfId="18382" xr:uid="{00000000-0005-0000-0000-000033620000}"/>
    <cellStyle name="Normal 64 5 4 2 2 2" xfId="34956" xr:uid="{00000000-0005-0000-0000-000034620000}"/>
    <cellStyle name="Normal 64 5 4 2 3" xfId="26909" xr:uid="{00000000-0005-0000-0000-000035620000}"/>
    <cellStyle name="Normal 64 5 4 3" xfId="14591" xr:uid="{00000000-0005-0000-0000-000036620000}"/>
    <cellStyle name="Normal 64 5 4 3 2" xfId="31139" xr:uid="{00000000-0005-0000-0000-000037620000}"/>
    <cellStyle name="Normal 64 5 4 4" xfId="23096" xr:uid="{00000000-0005-0000-0000-000038620000}"/>
    <cellStyle name="Normal 64 5 5" xfId="9209" xr:uid="{00000000-0005-0000-0000-000039620000}"/>
    <cellStyle name="Normal 64 5 5 2" xfId="18383" xr:uid="{00000000-0005-0000-0000-00003A620000}"/>
    <cellStyle name="Normal 64 5 5 2 2" xfId="34957" xr:uid="{00000000-0005-0000-0000-00003B620000}"/>
    <cellStyle name="Normal 64 5 5 3" xfId="26910" xr:uid="{00000000-0005-0000-0000-00003C620000}"/>
    <cellStyle name="Normal 64 5 6" xfId="14584" xr:uid="{00000000-0005-0000-0000-00003D620000}"/>
    <cellStyle name="Normal 64 5 6 2" xfId="31132" xr:uid="{00000000-0005-0000-0000-00003E620000}"/>
    <cellStyle name="Normal 64 5 7" xfId="23089" xr:uid="{00000000-0005-0000-0000-00003F620000}"/>
    <cellStyle name="Normal 64 6" xfId="5270" xr:uid="{00000000-0005-0000-0000-000040620000}"/>
    <cellStyle name="Normal 64 6 2" xfId="5271" xr:uid="{00000000-0005-0000-0000-000041620000}"/>
    <cellStyle name="Normal 64 6 2 2" xfId="5272" xr:uid="{00000000-0005-0000-0000-000042620000}"/>
    <cellStyle name="Normal 64 6 2 2 2" xfId="9210" xr:uid="{00000000-0005-0000-0000-000043620000}"/>
    <cellStyle name="Normal 64 6 2 2 2 2" xfId="18384" xr:uid="{00000000-0005-0000-0000-000044620000}"/>
    <cellStyle name="Normal 64 6 2 2 2 2 2" xfId="34958" xr:uid="{00000000-0005-0000-0000-000045620000}"/>
    <cellStyle name="Normal 64 6 2 2 2 3" xfId="26911" xr:uid="{00000000-0005-0000-0000-000046620000}"/>
    <cellStyle name="Normal 64 6 2 2 3" xfId="14594" xr:uid="{00000000-0005-0000-0000-000047620000}"/>
    <cellStyle name="Normal 64 6 2 2 3 2" xfId="31142" xr:uid="{00000000-0005-0000-0000-000048620000}"/>
    <cellStyle name="Normal 64 6 2 2 4" xfId="23099" xr:uid="{00000000-0005-0000-0000-000049620000}"/>
    <cellStyle name="Normal 64 6 2 3" xfId="9211" xr:uid="{00000000-0005-0000-0000-00004A620000}"/>
    <cellStyle name="Normal 64 6 2 3 2" xfId="18385" xr:uid="{00000000-0005-0000-0000-00004B620000}"/>
    <cellStyle name="Normal 64 6 2 3 2 2" xfId="34959" xr:uid="{00000000-0005-0000-0000-00004C620000}"/>
    <cellStyle name="Normal 64 6 2 3 3" xfId="26912" xr:uid="{00000000-0005-0000-0000-00004D620000}"/>
    <cellStyle name="Normal 64 6 2 4" xfId="14593" xr:uid="{00000000-0005-0000-0000-00004E620000}"/>
    <cellStyle name="Normal 64 6 2 4 2" xfId="31141" xr:uid="{00000000-0005-0000-0000-00004F620000}"/>
    <cellStyle name="Normal 64 6 2 5" xfId="23098" xr:uid="{00000000-0005-0000-0000-000050620000}"/>
    <cellStyle name="Normal 64 6 3" xfId="5273" xr:uid="{00000000-0005-0000-0000-000051620000}"/>
    <cellStyle name="Normal 64 6 3 2" xfId="9212" xr:uid="{00000000-0005-0000-0000-000052620000}"/>
    <cellStyle name="Normal 64 6 3 2 2" xfId="18386" xr:uid="{00000000-0005-0000-0000-000053620000}"/>
    <cellStyle name="Normal 64 6 3 2 2 2" xfId="34960" xr:uid="{00000000-0005-0000-0000-000054620000}"/>
    <cellStyle name="Normal 64 6 3 2 3" xfId="26913" xr:uid="{00000000-0005-0000-0000-000055620000}"/>
    <cellStyle name="Normal 64 6 3 3" xfId="14595" xr:uid="{00000000-0005-0000-0000-000056620000}"/>
    <cellStyle name="Normal 64 6 3 3 2" xfId="31143" xr:uid="{00000000-0005-0000-0000-000057620000}"/>
    <cellStyle name="Normal 64 6 3 4" xfId="23100" xr:uid="{00000000-0005-0000-0000-000058620000}"/>
    <cellStyle name="Normal 64 6 4" xfId="9213" xr:uid="{00000000-0005-0000-0000-000059620000}"/>
    <cellStyle name="Normal 64 6 4 2" xfId="18387" xr:uid="{00000000-0005-0000-0000-00005A620000}"/>
    <cellStyle name="Normal 64 6 4 2 2" xfId="34961" xr:uid="{00000000-0005-0000-0000-00005B620000}"/>
    <cellStyle name="Normal 64 6 4 3" xfId="26914" xr:uid="{00000000-0005-0000-0000-00005C620000}"/>
    <cellStyle name="Normal 64 6 5" xfId="14592" xr:uid="{00000000-0005-0000-0000-00005D620000}"/>
    <cellStyle name="Normal 64 6 5 2" xfId="31140" xr:uid="{00000000-0005-0000-0000-00005E620000}"/>
    <cellStyle name="Normal 64 6 6" xfId="23097" xr:uid="{00000000-0005-0000-0000-00005F620000}"/>
    <cellStyle name="Normal 64 7" xfId="5274" xr:uid="{00000000-0005-0000-0000-000060620000}"/>
    <cellStyle name="Normal 64 7 2" xfId="5275" xr:uid="{00000000-0005-0000-0000-000061620000}"/>
    <cellStyle name="Normal 64 7 2 2" xfId="9214" xr:uid="{00000000-0005-0000-0000-000062620000}"/>
    <cellStyle name="Normal 64 7 2 2 2" xfId="18388" xr:uid="{00000000-0005-0000-0000-000063620000}"/>
    <cellStyle name="Normal 64 7 2 2 2 2" xfId="34962" xr:uid="{00000000-0005-0000-0000-000064620000}"/>
    <cellStyle name="Normal 64 7 2 2 3" xfId="26915" xr:uid="{00000000-0005-0000-0000-000065620000}"/>
    <cellStyle name="Normal 64 7 2 3" xfId="14597" xr:uid="{00000000-0005-0000-0000-000066620000}"/>
    <cellStyle name="Normal 64 7 2 3 2" xfId="31145" xr:uid="{00000000-0005-0000-0000-000067620000}"/>
    <cellStyle name="Normal 64 7 2 4" xfId="23102" xr:uid="{00000000-0005-0000-0000-000068620000}"/>
    <cellStyle name="Normal 64 7 3" xfId="9215" xr:uid="{00000000-0005-0000-0000-000069620000}"/>
    <cellStyle name="Normal 64 7 3 2" xfId="18389" xr:uid="{00000000-0005-0000-0000-00006A620000}"/>
    <cellStyle name="Normal 64 7 3 2 2" xfId="34963" xr:uid="{00000000-0005-0000-0000-00006B620000}"/>
    <cellStyle name="Normal 64 7 3 3" xfId="26916" xr:uid="{00000000-0005-0000-0000-00006C620000}"/>
    <cellStyle name="Normal 64 7 4" xfId="14596" xr:uid="{00000000-0005-0000-0000-00006D620000}"/>
    <cellStyle name="Normal 64 7 4 2" xfId="31144" xr:uid="{00000000-0005-0000-0000-00006E620000}"/>
    <cellStyle name="Normal 64 7 5" xfId="23101" xr:uid="{00000000-0005-0000-0000-00006F620000}"/>
    <cellStyle name="Normal 64 8" xfId="5276" xr:uid="{00000000-0005-0000-0000-000070620000}"/>
    <cellStyle name="Normal 64 8 2" xfId="9216" xr:uid="{00000000-0005-0000-0000-000071620000}"/>
    <cellStyle name="Normal 64 8 2 2" xfId="18390" xr:uid="{00000000-0005-0000-0000-000072620000}"/>
    <cellStyle name="Normal 64 8 2 2 2" xfId="34964" xr:uid="{00000000-0005-0000-0000-000073620000}"/>
    <cellStyle name="Normal 64 8 2 3" xfId="26917" xr:uid="{00000000-0005-0000-0000-000074620000}"/>
    <cellStyle name="Normal 64 8 3" xfId="14598" xr:uid="{00000000-0005-0000-0000-000075620000}"/>
    <cellStyle name="Normal 64 8 3 2" xfId="31146" xr:uid="{00000000-0005-0000-0000-000076620000}"/>
    <cellStyle name="Normal 64 8 4" xfId="23103" xr:uid="{00000000-0005-0000-0000-000077620000}"/>
    <cellStyle name="Normal 64 9" xfId="9217" xr:uid="{00000000-0005-0000-0000-000078620000}"/>
    <cellStyle name="Normal 64 9 2" xfId="18391" xr:uid="{00000000-0005-0000-0000-000079620000}"/>
    <cellStyle name="Normal 64 9 2 2" xfId="34965" xr:uid="{00000000-0005-0000-0000-00007A620000}"/>
    <cellStyle name="Normal 64 9 3" xfId="26918" xr:uid="{00000000-0005-0000-0000-00007B620000}"/>
    <cellStyle name="Normal 65" xfId="5277" xr:uid="{00000000-0005-0000-0000-00007C620000}"/>
    <cellStyle name="Normal 65 10" xfId="14599" xr:uid="{00000000-0005-0000-0000-00007D620000}"/>
    <cellStyle name="Normal 65 10 2" xfId="31147" xr:uid="{00000000-0005-0000-0000-00007E620000}"/>
    <cellStyle name="Normal 65 11" xfId="23104" xr:uid="{00000000-0005-0000-0000-00007F620000}"/>
    <cellStyle name="Normal 65 2" xfId="5278" xr:uid="{00000000-0005-0000-0000-000080620000}"/>
    <cellStyle name="Normal 65 2 2" xfId="5279" xr:uid="{00000000-0005-0000-0000-000081620000}"/>
    <cellStyle name="Normal 65 2 3" xfId="14600" xr:uid="{00000000-0005-0000-0000-000082620000}"/>
    <cellStyle name="Normal 65 2 3 2" xfId="31148" xr:uid="{00000000-0005-0000-0000-000083620000}"/>
    <cellStyle name="Normal 65 2 4" xfId="23105" xr:uid="{00000000-0005-0000-0000-000084620000}"/>
    <cellStyle name="Normal 65 3" xfId="5280" xr:uid="{00000000-0005-0000-0000-000085620000}"/>
    <cellStyle name="Normal 65 3 2" xfId="5281" xr:uid="{00000000-0005-0000-0000-000086620000}"/>
    <cellStyle name="Normal 65 3 2 2" xfId="5282" xr:uid="{00000000-0005-0000-0000-000087620000}"/>
    <cellStyle name="Normal 65 3 2 2 2" xfId="5283" xr:uid="{00000000-0005-0000-0000-000088620000}"/>
    <cellStyle name="Normal 65 3 2 2 2 2" xfId="9218" xr:uid="{00000000-0005-0000-0000-000089620000}"/>
    <cellStyle name="Normal 65 3 2 2 2 2 2" xfId="18392" xr:uid="{00000000-0005-0000-0000-00008A620000}"/>
    <cellStyle name="Normal 65 3 2 2 2 2 2 2" xfId="34966" xr:uid="{00000000-0005-0000-0000-00008B620000}"/>
    <cellStyle name="Normal 65 3 2 2 2 2 3" xfId="26919" xr:uid="{00000000-0005-0000-0000-00008C620000}"/>
    <cellStyle name="Normal 65 3 2 2 2 3" xfId="14603" xr:uid="{00000000-0005-0000-0000-00008D620000}"/>
    <cellStyle name="Normal 65 3 2 2 2 3 2" xfId="31151" xr:uid="{00000000-0005-0000-0000-00008E620000}"/>
    <cellStyle name="Normal 65 3 2 2 2 4" xfId="23108" xr:uid="{00000000-0005-0000-0000-00008F620000}"/>
    <cellStyle name="Normal 65 3 2 2 3" xfId="9219" xr:uid="{00000000-0005-0000-0000-000090620000}"/>
    <cellStyle name="Normal 65 3 2 2 3 2" xfId="18393" xr:uid="{00000000-0005-0000-0000-000091620000}"/>
    <cellStyle name="Normal 65 3 2 2 3 2 2" xfId="34967" xr:uid="{00000000-0005-0000-0000-000092620000}"/>
    <cellStyle name="Normal 65 3 2 2 3 3" xfId="26920" xr:uid="{00000000-0005-0000-0000-000093620000}"/>
    <cellStyle name="Normal 65 3 2 2 4" xfId="14602" xr:uid="{00000000-0005-0000-0000-000094620000}"/>
    <cellStyle name="Normal 65 3 2 2 4 2" xfId="31150" xr:uid="{00000000-0005-0000-0000-000095620000}"/>
    <cellStyle name="Normal 65 3 2 2 5" xfId="23107" xr:uid="{00000000-0005-0000-0000-000096620000}"/>
    <cellStyle name="Normal 65 3 2 3" xfId="5284" xr:uid="{00000000-0005-0000-0000-000097620000}"/>
    <cellStyle name="Normal 65 3 2 3 2" xfId="9220" xr:uid="{00000000-0005-0000-0000-000098620000}"/>
    <cellStyle name="Normal 65 3 2 3 2 2" xfId="18394" xr:uid="{00000000-0005-0000-0000-000099620000}"/>
    <cellStyle name="Normal 65 3 2 3 2 2 2" xfId="34968" xr:uid="{00000000-0005-0000-0000-00009A620000}"/>
    <cellStyle name="Normal 65 3 2 3 2 3" xfId="26921" xr:uid="{00000000-0005-0000-0000-00009B620000}"/>
    <cellStyle name="Normal 65 3 2 3 3" xfId="14604" xr:uid="{00000000-0005-0000-0000-00009C620000}"/>
    <cellStyle name="Normal 65 3 2 3 3 2" xfId="31152" xr:uid="{00000000-0005-0000-0000-00009D620000}"/>
    <cellStyle name="Normal 65 3 2 3 4" xfId="23109" xr:uid="{00000000-0005-0000-0000-00009E620000}"/>
    <cellStyle name="Normal 65 3 2 4" xfId="9221" xr:uid="{00000000-0005-0000-0000-00009F620000}"/>
    <cellStyle name="Normal 65 3 2 4 2" xfId="18395" xr:uid="{00000000-0005-0000-0000-0000A0620000}"/>
    <cellStyle name="Normal 65 3 2 4 2 2" xfId="34969" xr:uid="{00000000-0005-0000-0000-0000A1620000}"/>
    <cellStyle name="Normal 65 3 2 4 3" xfId="26922" xr:uid="{00000000-0005-0000-0000-0000A2620000}"/>
    <cellStyle name="Normal 65 3 2 5" xfId="14601" xr:uid="{00000000-0005-0000-0000-0000A3620000}"/>
    <cellStyle name="Normal 65 3 2 5 2" xfId="31149" xr:uid="{00000000-0005-0000-0000-0000A4620000}"/>
    <cellStyle name="Normal 65 3 2 6" xfId="23106" xr:uid="{00000000-0005-0000-0000-0000A5620000}"/>
    <cellStyle name="Normal 65 3 3" xfId="5285" xr:uid="{00000000-0005-0000-0000-0000A6620000}"/>
    <cellStyle name="Normal 65 3 3 2" xfId="5286" xr:uid="{00000000-0005-0000-0000-0000A7620000}"/>
    <cellStyle name="Normal 65 3 3 2 2" xfId="9222" xr:uid="{00000000-0005-0000-0000-0000A8620000}"/>
    <cellStyle name="Normal 65 3 3 2 2 2" xfId="18396" xr:uid="{00000000-0005-0000-0000-0000A9620000}"/>
    <cellStyle name="Normal 65 3 3 2 2 2 2" xfId="34970" xr:uid="{00000000-0005-0000-0000-0000AA620000}"/>
    <cellStyle name="Normal 65 3 3 2 2 3" xfId="26923" xr:uid="{00000000-0005-0000-0000-0000AB620000}"/>
    <cellStyle name="Normal 65 3 3 2 3" xfId="14606" xr:uid="{00000000-0005-0000-0000-0000AC620000}"/>
    <cellStyle name="Normal 65 3 3 2 3 2" xfId="31154" xr:uid="{00000000-0005-0000-0000-0000AD620000}"/>
    <cellStyle name="Normal 65 3 3 2 4" xfId="23111" xr:uid="{00000000-0005-0000-0000-0000AE620000}"/>
    <cellStyle name="Normal 65 3 3 3" xfId="9223" xr:uid="{00000000-0005-0000-0000-0000AF620000}"/>
    <cellStyle name="Normal 65 3 3 3 2" xfId="18397" xr:uid="{00000000-0005-0000-0000-0000B0620000}"/>
    <cellStyle name="Normal 65 3 3 3 2 2" xfId="34971" xr:uid="{00000000-0005-0000-0000-0000B1620000}"/>
    <cellStyle name="Normal 65 3 3 3 3" xfId="26924" xr:uid="{00000000-0005-0000-0000-0000B2620000}"/>
    <cellStyle name="Normal 65 3 3 4" xfId="14605" xr:uid="{00000000-0005-0000-0000-0000B3620000}"/>
    <cellStyle name="Normal 65 3 3 4 2" xfId="31153" xr:uid="{00000000-0005-0000-0000-0000B4620000}"/>
    <cellStyle name="Normal 65 3 3 5" xfId="23110" xr:uid="{00000000-0005-0000-0000-0000B5620000}"/>
    <cellStyle name="Normal 65 3 4" xfId="5287" xr:uid="{00000000-0005-0000-0000-0000B6620000}"/>
    <cellStyle name="Normal 65 3 4 2" xfId="9224" xr:uid="{00000000-0005-0000-0000-0000B7620000}"/>
    <cellStyle name="Normal 65 3 4 2 2" xfId="18398" xr:uid="{00000000-0005-0000-0000-0000B8620000}"/>
    <cellStyle name="Normal 65 3 4 2 2 2" xfId="34972" xr:uid="{00000000-0005-0000-0000-0000B9620000}"/>
    <cellStyle name="Normal 65 3 4 2 3" xfId="26925" xr:uid="{00000000-0005-0000-0000-0000BA620000}"/>
    <cellStyle name="Normal 65 3 4 3" xfId="14607" xr:uid="{00000000-0005-0000-0000-0000BB620000}"/>
    <cellStyle name="Normal 65 3 4 3 2" xfId="31155" xr:uid="{00000000-0005-0000-0000-0000BC620000}"/>
    <cellStyle name="Normal 65 3 4 4" xfId="23112" xr:uid="{00000000-0005-0000-0000-0000BD620000}"/>
    <cellStyle name="Normal 65 3 5" xfId="5288" xr:uid="{00000000-0005-0000-0000-0000BE620000}"/>
    <cellStyle name="Normal 65 3 5 2" xfId="14608" xr:uid="{00000000-0005-0000-0000-0000BF620000}"/>
    <cellStyle name="Normal 65 3 5 2 2" xfId="31156" xr:uid="{00000000-0005-0000-0000-0000C0620000}"/>
    <cellStyle name="Normal 65 3 5 3" xfId="23113" xr:uid="{00000000-0005-0000-0000-0000C1620000}"/>
    <cellStyle name="Normal 65 4" xfId="5289" xr:uid="{00000000-0005-0000-0000-0000C2620000}"/>
    <cellStyle name="Normal 65 4 2" xfId="5290" xr:uid="{00000000-0005-0000-0000-0000C3620000}"/>
    <cellStyle name="Normal 65 4 2 2" xfId="5291" xr:uid="{00000000-0005-0000-0000-0000C4620000}"/>
    <cellStyle name="Normal 65 4 2 2 2" xfId="5292" xr:uid="{00000000-0005-0000-0000-0000C5620000}"/>
    <cellStyle name="Normal 65 4 2 2 2 2" xfId="9225" xr:uid="{00000000-0005-0000-0000-0000C6620000}"/>
    <cellStyle name="Normal 65 4 2 2 2 2 2" xfId="18399" xr:uid="{00000000-0005-0000-0000-0000C7620000}"/>
    <cellStyle name="Normal 65 4 2 2 2 2 2 2" xfId="34973" xr:uid="{00000000-0005-0000-0000-0000C8620000}"/>
    <cellStyle name="Normal 65 4 2 2 2 2 3" xfId="26926" xr:uid="{00000000-0005-0000-0000-0000C9620000}"/>
    <cellStyle name="Normal 65 4 2 2 2 3" xfId="14612" xr:uid="{00000000-0005-0000-0000-0000CA620000}"/>
    <cellStyle name="Normal 65 4 2 2 2 3 2" xfId="31160" xr:uid="{00000000-0005-0000-0000-0000CB620000}"/>
    <cellStyle name="Normal 65 4 2 2 2 4" xfId="23117" xr:uid="{00000000-0005-0000-0000-0000CC620000}"/>
    <cellStyle name="Normal 65 4 2 2 3" xfId="9226" xr:uid="{00000000-0005-0000-0000-0000CD620000}"/>
    <cellStyle name="Normal 65 4 2 2 3 2" xfId="18400" xr:uid="{00000000-0005-0000-0000-0000CE620000}"/>
    <cellStyle name="Normal 65 4 2 2 3 2 2" xfId="34974" xr:uid="{00000000-0005-0000-0000-0000CF620000}"/>
    <cellStyle name="Normal 65 4 2 2 3 3" xfId="26927" xr:uid="{00000000-0005-0000-0000-0000D0620000}"/>
    <cellStyle name="Normal 65 4 2 2 4" xfId="14611" xr:uid="{00000000-0005-0000-0000-0000D1620000}"/>
    <cellStyle name="Normal 65 4 2 2 4 2" xfId="31159" xr:uid="{00000000-0005-0000-0000-0000D2620000}"/>
    <cellStyle name="Normal 65 4 2 2 5" xfId="23116" xr:uid="{00000000-0005-0000-0000-0000D3620000}"/>
    <cellStyle name="Normal 65 4 2 3" xfId="5293" xr:uid="{00000000-0005-0000-0000-0000D4620000}"/>
    <cellStyle name="Normal 65 4 2 3 2" xfId="9227" xr:uid="{00000000-0005-0000-0000-0000D5620000}"/>
    <cellStyle name="Normal 65 4 2 3 2 2" xfId="18401" xr:uid="{00000000-0005-0000-0000-0000D6620000}"/>
    <cellStyle name="Normal 65 4 2 3 2 2 2" xfId="34975" xr:uid="{00000000-0005-0000-0000-0000D7620000}"/>
    <cellStyle name="Normal 65 4 2 3 2 3" xfId="26928" xr:uid="{00000000-0005-0000-0000-0000D8620000}"/>
    <cellStyle name="Normal 65 4 2 3 3" xfId="14613" xr:uid="{00000000-0005-0000-0000-0000D9620000}"/>
    <cellStyle name="Normal 65 4 2 3 3 2" xfId="31161" xr:uid="{00000000-0005-0000-0000-0000DA620000}"/>
    <cellStyle name="Normal 65 4 2 3 4" xfId="23118" xr:uid="{00000000-0005-0000-0000-0000DB620000}"/>
    <cellStyle name="Normal 65 4 2 4" xfId="9228" xr:uid="{00000000-0005-0000-0000-0000DC620000}"/>
    <cellStyle name="Normal 65 4 2 4 2" xfId="18402" xr:uid="{00000000-0005-0000-0000-0000DD620000}"/>
    <cellStyle name="Normal 65 4 2 4 2 2" xfId="34976" xr:uid="{00000000-0005-0000-0000-0000DE620000}"/>
    <cellStyle name="Normal 65 4 2 4 3" xfId="26929" xr:uid="{00000000-0005-0000-0000-0000DF620000}"/>
    <cellStyle name="Normal 65 4 2 5" xfId="14610" xr:uid="{00000000-0005-0000-0000-0000E0620000}"/>
    <cellStyle name="Normal 65 4 2 5 2" xfId="31158" xr:uid="{00000000-0005-0000-0000-0000E1620000}"/>
    <cellStyle name="Normal 65 4 2 6" xfId="23115" xr:uid="{00000000-0005-0000-0000-0000E2620000}"/>
    <cellStyle name="Normal 65 4 3" xfId="5294" xr:uid="{00000000-0005-0000-0000-0000E3620000}"/>
    <cellStyle name="Normal 65 4 3 2" xfId="5295" xr:uid="{00000000-0005-0000-0000-0000E4620000}"/>
    <cellStyle name="Normal 65 4 3 2 2" xfId="9229" xr:uid="{00000000-0005-0000-0000-0000E5620000}"/>
    <cellStyle name="Normal 65 4 3 2 2 2" xfId="18403" xr:uid="{00000000-0005-0000-0000-0000E6620000}"/>
    <cellStyle name="Normal 65 4 3 2 2 2 2" xfId="34977" xr:uid="{00000000-0005-0000-0000-0000E7620000}"/>
    <cellStyle name="Normal 65 4 3 2 2 3" xfId="26930" xr:uid="{00000000-0005-0000-0000-0000E8620000}"/>
    <cellStyle name="Normal 65 4 3 2 3" xfId="14615" xr:uid="{00000000-0005-0000-0000-0000E9620000}"/>
    <cellStyle name="Normal 65 4 3 2 3 2" xfId="31163" xr:uid="{00000000-0005-0000-0000-0000EA620000}"/>
    <cellStyle name="Normal 65 4 3 2 4" xfId="23120" xr:uid="{00000000-0005-0000-0000-0000EB620000}"/>
    <cellStyle name="Normal 65 4 3 3" xfId="9230" xr:uid="{00000000-0005-0000-0000-0000EC620000}"/>
    <cellStyle name="Normal 65 4 3 3 2" xfId="18404" xr:uid="{00000000-0005-0000-0000-0000ED620000}"/>
    <cellStyle name="Normal 65 4 3 3 2 2" xfId="34978" xr:uid="{00000000-0005-0000-0000-0000EE620000}"/>
    <cellStyle name="Normal 65 4 3 3 3" xfId="26931" xr:uid="{00000000-0005-0000-0000-0000EF620000}"/>
    <cellStyle name="Normal 65 4 3 4" xfId="14614" xr:uid="{00000000-0005-0000-0000-0000F0620000}"/>
    <cellStyle name="Normal 65 4 3 4 2" xfId="31162" xr:uid="{00000000-0005-0000-0000-0000F1620000}"/>
    <cellStyle name="Normal 65 4 3 5" xfId="23119" xr:uid="{00000000-0005-0000-0000-0000F2620000}"/>
    <cellStyle name="Normal 65 4 4" xfId="5296" xr:uid="{00000000-0005-0000-0000-0000F3620000}"/>
    <cellStyle name="Normal 65 4 4 2" xfId="9231" xr:uid="{00000000-0005-0000-0000-0000F4620000}"/>
    <cellStyle name="Normal 65 4 4 2 2" xfId="18405" xr:uid="{00000000-0005-0000-0000-0000F5620000}"/>
    <cellStyle name="Normal 65 4 4 2 2 2" xfId="34979" xr:uid="{00000000-0005-0000-0000-0000F6620000}"/>
    <cellStyle name="Normal 65 4 4 2 3" xfId="26932" xr:uid="{00000000-0005-0000-0000-0000F7620000}"/>
    <cellStyle name="Normal 65 4 4 3" xfId="14616" xr:uid="{00000000-0005-0000-0000-0000F8620000}"/>
    <cellStyle name="Normal 65 4 4 3 2" xfId="31164" xr:uid="{00000000-0005-0000-0000-0000F9620000}"/>
    <cellStyle name="Normal 65 4 4 4" xfId="23121" xr:uid="{00000000-0005-0000-0000-0000FA620000}"/>
    <cellStyle name="Normal 65 4 5" xfId="9232" xr:uid="{00000000-0005-0000-0000-0000FB620000}"/>
    <cellStyle name="Normal 65 4 5 2" xfId="18406" xr:uid="{00000000-0005-0000-0000-0000FC620000}"/>
    <cellStyle name="Normal 65 4 5 2 2" xfId="34980" xr:uid="{00000000-0005-0000-0000-0000FD620000}"/>
    <cellStyle name="Normal 65 4 5 3" xfId="26933" xr:uid="{00000000-0005-0000-0000-0000FE620000}"/>
    <cellStyle name="Normal 65 4 6" xfId="14609" xr:uid="{00000000-0005-0000-0000-0000FF620000}"/>
    <cellStyle name="Normal 65 4 6 2" xfId="31157" xr:uid="{00000000-0005-0000-0000-000000630000}"/>
    <cellStyle name="Normal 65 4 7" xfId="23114" xr:uid="{00000000-0005-0000-0000-000001630000}"/>
    <cellStyle name="Normal 65 5" xfId="5297" xr:uid="{00000000-0005-0000-0000-000002630000}"/>
    <cellStyle name="Normal 65 5 2" xfId="5298" xr:uid="{00000000-0005-0000-0000-000003630000}"/>
    <cellStyle name="Normal 65 5 2 2" xfId="5299" xr:uid="{00000000-0005-0000-0000-000004630000}"/>
    <cellStyle name="Normal 65 5 2 2 2" xfId="5300" xr:uid="{00000000-0005-0000-0000-000005630000}"/>
    <cellStyle name="Normal 65 5 2 2 2 2" xfId="9233" xr:uid="{00000000-0005-0000-0000-000006630000}"/>
    <cellStyle name="Normal 65 5 2 2 2 2 2" xfId="18407" xr:uid="{00000000-0005-0000-0000-000007630000}"/>
    <cellStyle name="Normal 65 5 2 2 2 2 2 2" xfId="34981" xr:uid="{00000000-0005-0000-0000-000008630000}"/>
    <cellStyle name="Normal 65 5 2 2 2 2 3" xfId="26934" xr:uid="{00000000-0005-0000-0000-000009630000}"/>
    <cellStyle name="Normal 65 5 2 2 2 3" xfId="14620" xr:uid="{00000000-0005-0000-0000-00000A630000}"/>
    <cellStyle name="Normal 65 5 2 2 2 3 2" xfId="31168" xr:uid="{00000000-0005-0000-0000-00000B630000}"/>
    <cellStyle name="Normal 65 5 2 2 2 4" xfId="23125" xr:uid="{00000000-0005-0000-0000-00000C630000}"/>
    <cellStyle name="Normal 65 5 2 2 3" xfId="9234" xr:uid="{00000000-0005-0000-0000-00000D630000}"/>
    <cellStyle name="Normal 65 5 2 2 3 2" xfId="18408" xr:uid="{00000000-0005-0000-0000-00000E630000}"/>
    <cellStyle name="Normal 65 5 2 2 3 2 2" xfId="34982" xr:uid="{00000000-0005-0000-0000-00000F630000}"/>
    <cellStyle name="Normal 65 5 2 2 3 3" xfId="26935" xr:uid="{00000000-0005-0000-0000-000010630000}"/>
    <cellStyle name="Normal 65 5 2 2 4" xfId="14619" xr:uid="{00000000-0005-0000-0000-000011630000}"/>
    <cellStyle name="Normal 65 5 2 2 4 2" xfId="31167" xr:uid="{00000000-0005-0000-0000-000012630000}"/>
    <cellStyle name="Normal 65 5 2 2 5" xfId="23124" xr:uid="{00000000-0005-0000-0000-000013630000}"/>
    <cellStyle name="Normal 65 5 2 3" xfId="5301" xr:uid="{00000000-0005-0000-0000-000014630000}"/>
    <cellStyle name="Normal 65 5 2 3 2" xfId="9235" xr:uid="{00000000-0005-0000-0000-000015630000}"/>
    <cellStyle name="Normal 65 5 2 3 2 2" xfId="18409" xr:uid="{00000000-0005-0000-0000-000016630000}"/>
    <cellStyle name="Normal 65 5 2 3 2 2 2" xfId="34983" xr:uid="{00000000-0005-0000-0000-000017630000}"/>
    <cellStyle name="Normal 65 5 2 3 2 3" xfId="26936" xr:uid="{00000000-0005-0000-0000-000018630000}"/>
    <cellStyle name="Normal 65 5 2 3 3" xfId="14621" xr:uid="{00000000-0005-0000-0000-000019630000}"/>
    <cellStyle name="Normal 65 5 2 3 3 2" xfId="31169" xr:uid="{00000000-0005-0000-0000-00001A630000}"/>
    <cellStyle name="Normal 65 5 2 3 4" xfId="23126" xr:uid="{00000000-0005-0000-0000-00001B630000}"/>
    <cellStyle name="Normal 65 5 2 4" xfId="9236" xr:uid="{00000000-0005-0000-0000-00001C630000}"/>
    <cellStyle name="Normal 65 5 2 4 2" xfId="18410" xr:uid="{00000000-0005-0000-0000-00001D630000}"/>
    <cellStyle name="Normal 65 5 2 4 2 2" xfId="34984" xr:uid="{00000000-0005-0000-0000-00001E630000}"/>
    <cellStyle name="Normal 65 5 2 4 3" xfId="26937" xr:uid="{00000000-0005-0000-0000-00001F630000}"/>
    <cellStyle name="Normal 65 5 2 5" xfId="14618" xr:uid="{00000000-0005-0000-0000-000020630000}"/>
    <cellStyle name="Normal 65 5 2 5 2" xfId="31166" xr:uid="{00000000-0005-0000-0000-000021630000}"/>
    <cellStyle name="Normal 65 5 2 6" xfId="23123" xr:uid="{00000000-0005-0000-0000-000022630000}"/>
    <cellStyle name="Normal 65 5 3" xfId="5302" xr:uid="{00000000-0005-0000-0000-000023630000}"/>
    <cellStyle name="Normal 65 5 3 2" xfId="5303" xr:uid="{00000000-0005-0000-0000-000024630000}"/>
    <cellStyle name="Normal 65 5 3 2 2" xfId="9237" xr:uid="{00000000-0005-0000-0000-000025630000}"/>
    <cellStyle name="Normal 65 5 3 2 2 2" xfId="18411" xr:uid="{00000000-0005-0000-0000-000026630000}"/>
    <cellStyle name="Normal 65 5 3 2 2 2 2" xfId="34985" xr:uid="{00000000-0005-0000-0000-000027630000}"/>
    <cellStyle name="Normal 65 5 3 2 2 3" xfId="26938" xr:uid="{00000000-0005-0000-0000-000028630000}"/>
    <cellStyle name="Normal 65 5 3 2 3" xfId="14623" xr:uid="{00000000-0005-0000-0000-000029630000}"/>
    <cellStyle name="Normal 65 5 3 2 3 2" xfId="31171" xr:uid="{00000000-0005-0000-0000-00002A630000}"/>
    <cellStyle name="Normal 65 5 3 2 4" xfId="23128" xr:uid="{00000000-0005-0000-0000-00002B630000}"/>
    <cellStyle name="Normal 65 5 3 3" xfId="9238" xr:uid="{00000000-0005-0000-0000-00002C630000}"/>
    <cellStyle name="Normal 65 5 3 3 2" xfId="18412" xr:uid="{00000000-0005-0000-0000-00002D630000}"/>
    <cellStyle name="Normal 65 5 3 3 2 2" xfId="34986" xr:uid="{00000000-0005-0000-0000-00002E630000}"/>
    <cellStyle name="Normal 65 5 3 3 3" xfId="26939" xr:uid="{00000000-0005-0000-0000-00002F630000}"/>
    <cellStyle name="Normal 65 5 3 4" xfId="14622" xr:uid="{00000000-0005-0000-0000-000030630000}"/>
    <cellStyle name="Normal 65 5 3 4 2" xfId="31170" xr:uid="{00000000-0005-0000-0000-000031630000}"/>
    <cellStyle name="Normal 65 5 3 5" xfId="23127" xr:uid="{00000000-0005-0000-0000-000032630000}"/>
    <cellStyle name="Normal 65 5 4" xfId="5304" xr:uid="{00000000-0005-0000-0000-000033630000}"/>
    <cellStyle name="Normal 65 5 4 2" xfId="9239" xr:uid="{00000000-0005-0000-0000-000034630000}"/>
    <cellStyle name="Normal 65 5 4 2 2" xfId="18413" xr:uid="{00000000-0005-0000-0000-000035630000}"/>
    <cellStyle name="Normal 65 5 4 2 2 2" xfId="34987" xr:uid="{00000000-0005-0000-0000-000036630000}"/>
    <cellStyle name="Normal 65 5 4 2 3" xfId="26940" xr:uid="{00000000-0005-0000-0000-000037630000}"/>
    <cellStyle name="Normal 65 5 4 3" xfId="14624" xr:uid="{00000000-0005-0000-0000-000038630000}"/>
    <cellStyle name="Normal 65 5 4 3 2" xfId="31172" xr:uid="{00000000-0005-0000-0000-000039630000}"/>
    <cellStyle name="Normal 65 5 4 4" xfId="23129" xr:uid="{00000000-0005-0000-0000-00003A630000}"/>
    <cellStyle name="Normal 65 5 5" xfId="9240" xr:uid="{00000000-0005-0000-0000-00003B630000}"/>
    <cellStyle name="Normal 65 5 5 2" xfId="18414" xr:uid="{00000000-0005-0000-0000-00003C630000}"/>
    <cellStyle name="Normal 65 5 5 2 2" xfId="34988" xr:uid="{00000000-0005-0000-0000-00003D630000}"/>
    <cellStyle name="Normal 65 5 5 3" xfId="26941" xr:uid="{00000000-0005-0000-0000-00003E630000}"/>
    <cellStyle name="Normal 65 5 6" xfId="14617" xr:uid="{00000000-0005-0000-0000-00003F630000}"/>
    <cellStyle name="Normal 65 5 6 2" xfId="31165" xr:uid="{00000000-0005-0000-0000-000040630000}"/>
    <cellStyle name="Normal 65 5 7" xfId="23122" xr:uid="{00000000-0005-0000-0000-000041630000}"/>
    <cellStyle name="Normal 65 6" xfId="5305" xr:uid="{00000000-0005-0000-0000-000042630000}"/>
    <cellStyle name="Normal 65 6 2" xfId="5306" xr:uid="{00000000-0005-0000-0000-000043630000}"/>
    <cellStyle name="Normal 65 6 2 2" xfId="5307" xr:uid="{00000000-0005-0000-0000-000044630000}"/>
    <cellStyle name="Normal 65 6 2 2 2" xfId="9241" xr:uid="{00000000-0005-0000-0000-000045630000}"/>
    <cellStyle name="Normal 65 6 2 2 2 2" xfId="18415" xr:uid="{00000000-0005-0000-0000-000046630000}"/>
    <cellStyle name="Normal 65 6 2 2 2 2 2" xfId="34989" xr:uid="{00000000-0005-0000-0000-000047630000}"/>
    <cellStyle name="Normal 65 6 2 2 2 3" xfId="26942" xr:uid="{00000000-0005-0000-0000-000048630000}"/>
    <cellStyle name="Normal 65 6 2 2 3" xfId="14627" xr:uid="{00000000-0005-0000-0000-000049630000}"/>
    <cellStyle name="Normal 65 6 2 2 3 2" xfId="31175" xr:uid="{00000000-0005-0000-0000-00004A630000}"/>
    <cellStyle name="Normal 65 6 2 2 4" xfId="23132" xr:uid="{00000000-0005-0000-0000-00004B630000}"/>
    <cellStyle name="Normal 65 6 2 3" xfId="9242" xr:uid="{00000000-0005-0000-0000-00004C630000}"/>
    <cellStyle name="Normal 65 6 2 3 2" xfId="18416" xr:uid="{00000000-0005-0000-0000-00004D630000}"/>
    <cellStyle name="Normal 65 6 2 3 2 2" xfId="34990" xr:uid="{00000000-0005-0000-0000-00004E630000}"/>
    <cellStyle name="Normal 65 6 2 3 3" xfId="26943" xr:uid="{00000000-0005-0000-0000-00004F630000}"/>
    <cellStyle name="Normal 65 6 2 4" xfId="14626" xr:uid="{00000000-0005-0000-0000-000050630000}"/>
    <cellStyle name="Normal 65 6 2 4 2" xfId="31174" xr:uid="{00000000-0005-0000-0000-000051630000}"/>
    <cellStyle name="Normal 65 6 2 5" xfId="23131" xr:uid="{00000000-0005-0000-0000-000052630000}"/>
    <cellStyle name="Normal 65 6 3" xfId="5308" xr:uid="{00000000-0005-0000-0000-000053630000}"/>
    <cellStyle name="Normal 65 6 3 2" xfId="9243" xr:uid="{00000000-0005-0000-0000-000054630000}"/>
    <cellStyle name="Normal 65 6 3 2 2" xfId="18417" xr:uid="{00000000-0005-0000-0000-000055630000}"/>
    <cellStyle name="Normal 65 6 3 2 2 2" xfId="34991" xr:uid="{00000000-0005-0000-0000-000056630000}"/>
    <cellStyle name="Normal 65 6 3 2 3" xfId="26944" xr:uid="{00000000-0005-0000-0000-000057630000}"/>
    <cellStyle name="Normal 65 6 3 3" xfId="14628" xr:uid="{00000000-0005-0000-0000-000058630000}"/>
    <cellStyle name="Normal 65 6 3 3 2" xfId="31176" xr:uid="{00000000-0005-0000-0000-000059630000}"/>
    <cellStyle name="Normal 65 6 3 4" xfId="23133" xr:uid="{00000000-0005-0000-0000-00005A630000}"/>
    <cellStyle name="Normal 65 6 4" xfId="9244" xr:uid="{00000000-0005-0000-0000-00005B630000}"/>
    <cellStyle name="Normal 65 6 4 2" xfId="18418" xr:uid="{00000000-0005-0000-0000-00005C630000}"/>
    <cellStyle name="Normal 65 6 4 2 2" xfId="34992" xr:uid="{00000000-0005-0000-0000-00005D630000}"/>
    <cellStyle name="Normal 65 6 4 3" xfId="26945" xr:uid="{00000000-0005-0000-0000-00005E630000}"/>
    <cellStyle name="Normal 65 6 5" xfId="14625" xr:uid="{00000000-0005-0000-0000-00005F630000}"/>
    <cellStyle name="Normal 65 6 5 2" xfId="31173" xr:uid="{00000000-0005-0000-0000-000060630000}"/>
    <cellStyle name="Normal 65 6 6" xfId="23130" xr:uid="{00000000-0005-0000-0000-000061630000}"/>
    <cellStyle name="Normal 65 7" xfId="5309" xr:uid="{00000000-0005-0000-0000-000062630000}"/>
    <cellStyle name="Normal 65 7 2" xfId="5310" xr:uid="{00000000-0005-0000-0000-000063630000}"/>
    <cellStyle name="Normal 65 7 2 2" xfId="9245" xr:uid="{00000000-0005-0000-0000-000064630000}"/>
    <cellStyle name="Normal 65 7 2 2 2" xfId="18419" xr:uid="{00000000-0005-0000-0000-000065630000}"/>
    <cellStyle name="Normal 65 7 2 2 2 2" xfId="34993" xr:uid="{00000000-0005-0000-0000-000066630000}"/>
    <cellStyle name="Normal 65 7 2 2 3" xfId="26946" xr:uid="{00000000-0005-0000-0000-000067630000}"/>
    <cellStyle name="Normal 65 7 2 3" xfId="14630" xr:uid="{00000000-0005-0000-0000-000068630000}"/>
    <cellStyle name="Normal 65 7 2 3 2" xfId="31178" xr:uid="{00000000-0005-0000-0000-000069630000}"/>
    <cellStyle name="Normal 65 7 2 4" xfId="23135" xr:uid="{00000000-0005-0000-0000-00006A630000}"/>
    <cellStyle name="Normal 65 7 3" xfId="9246" xr:uid="{00000000-0005-0000-0000-00006B630000}"/>
    <cellStyle name="Normal 65 7 3 2" xfId="18420" xr:uid="{00000000-0005-0000-0000-00006C630000}"/>
    <cellStyle name="Normal 65 7 3 2 2" xfId="34994" xr:uid="{00000000-0005-0000-0000-00006D630000}"/>
    <cellStyle name="Normal 65 7 3 3" xfId="26947" xr:uid="{00000000-0005-0000-0000-00006E630000}"/>
    <cellStyle name="Normal 65 7 4" xfId="14629" xr:uid="{00000000-0005-0000-0000-00006F630000}"/>
    <cellStyle name="Normal 65 7 4 2" xfId="31177" xr:uid="{00000000-0005-0000-0000-000070630000}"/>
    <cellStyle name="Normal 65 7 5" xfId="23134" xr:uid="{00000000-0005-0000-0000-000071630000}"/>
    <cellStyle name="Normal 65 8" xfId="5311" xr:uid="{00000000-0005-0000-0000-000072630000}"/>
    <cellStyle name="Normal 65 8 2" xfId="9247" xr:uid="{00000000-0005-0000-0000-000073630000}"/>
    <cellStyle name="Normal 65 8 2 2" xfId="18421" xr:uid="{00000000-0005-0000-0000-000074630000}"/>
    <cellStyle name="Normal 65 8 2 2 2" xfId="34995" xr:uid="{00000000-0005-0000-0000-000075630000}"/>
    <cellStyle name="Normal 65 8 2 3" xfId="26948" xr:uid="{00000000-0005-0000-0000-000076630000}"/>
    <cellStyle name="Normal 65 8 3" xfId="14631" xr:uid="{00000000-0005-0000-0000-000077630000}"/>
    <cellStyle name="Normal 65 8 3 2" xfId="31179" xr:uid="{00000000-0005-0000-0000-000078630000}"/>
    <cellStyle name="Normal 65 8 4" xfId="23136" xr:uid="{00000000-0005-0000-0000-000079630000}"/>
    <cellStyle name="Normal 65 9" xfId="9248" xr:uid="{00000000-0005-0000-0000-00007A630000}"/>
    <cellStyle name="Normal 65 9 2" xfId="18422" xr:uid="{00000000-0005-0000-0000-00007B630000}"/>
    <cellStyle name="Normal 65 9 2 2" xfId="34996" xr:uid="{00000000-0005-0000-0000-00007C630000}"/>
    <cellStyle name="Normal 65 9 3" xfId="26949" xr:uid="{00000000-0005-0000-0000-00007D630000}"/>
    <cellStyle name="Normal 66" xfId="5312" xr:uid="{00000000-0005-0000-0000-00007E630000}"/>
    <cellStyle name="Normal 66 10" xfId="14632" xr:uid="{00000000-0005-0000-0000-00007F630000}"/>
    <cellStyle name="Normal 66 10 2" xfId="31180" xr:uid="{00000000-0005-0000-0000-000080630000}"/>
    <cellStyle name="Normal 66 11" xfId="23137" xr:uid="{00000000-0005-0000-0000-000081630000}"/>
    <cellStyle name="Normal 66 2" xfId="5313" xr:uid="{00000000-0005-0000-0000-000082630000}"/>
    <cellStyle name="Normal 66 2 2" xfId="5314" xr:uid="{00000000-0005-0000-0000-000083630000}"/>
    <cellStyle name="Normal 66 2 3" xfId="14633" xr:uid="{00000000-0005-0000-0000-000084630000}"/>
    <cellStyle name="Normal 66 2 3 2" xfId="31181" xr:uid="{00000000-0005-0000-0000-000085630000}"/>
    <cellStyle name="Normal 66 2 4" xfId="23138" xr:uid="{00000000-0005-0000-0000-000086630000}"/>
    <cellStyle name="Normal 66 3" xfId="5315" xr:uid="{00000000-0005-0000-0000-000087630000}"/>
    <cellStyle name="Normal 66 3 2" xfId="5316" xr:uid="{00000000-0005-0000-0000-000088630000}"/>
    <cellStyle name="Normal 66 3 2 2" xfId="5317" xr:uid="{00000000-0005-0000-0000-000089630000}"/>
    <cellStyle name="Normal 66 3 2 2 2" xfId="5318" xr:uid="{00000000-0005-0000-0000-00008A630000}"/>
    <cellStyle name="Normal 66 3 2 2 2 2" xfId="9249" xr:uid="{00000000-0005-0000-0000-00008B630000}"/>
    <cellStyle name="Normal 66 3 2 2 2 2 2" xfId="18423" xr:uid="{00000000-0005-0000-0000-00008C630000}"/>
    <cellStyle name="Normal 66 3 2 2 2 2 2 2" xfId="34997" xr:uid="{00000000-0005-0000-0000-00008D630000}"/>
    <cellStyle name="Normal 66 3 2 2 2 2 3" xfId="26950" xr:uid="{00000000-0005-0000-0000-00008E630000}"/>
    <cellStyle name="Normal 66 3 2 2 2 3" xfId="14636" xr:uid="{00000000-0005-0000-0000-00008F630000}"/>
    <cellStyle name="Normal 66 3 2 2 2 3 2" xfId="31184" xr:uid="{00000000-0005-0000-0000-000090630000}"/>
    <cellStyle name="Normal 66 3 2 2 2 4" xfId="23141" xr:uid="{00000000-0005-0000-0000-000091630000}"/>
    <cellStyle name="Normal 66 3 2 2 3" xfId="9250" xr:uid="{00000000-0005-0000-0000-000092630000}"/>
    <cellStyle name="Normal 66 3 2 2 3 2" xfId="18424" xr:uid="{00000000-0005-0000-0000-000093630000}"/>
    <cellStyle name="Normal 66 3 2 2 3 2 2" xfId="34998" xr:uid="{00000000-0005-0000-0000-000094630000}"/>
    <cellStyle name="Normal 66 3 2 2 3 3" xfId="26951" xr:uid="{00000000-0005-0000-0000-000095630000}"/>
    <cellStyle name="Normal 66 3 2 2 4" xfId="14635" xr:uid="{00000000-0005-0000-0000-000096630000}"/>
    <cellStyle name="Normal 66 3 2 2 4 2" xfId="31183" xr:uid="{00000000-0005-0000-0000-000097630000}"/>
    <cellStyle name="Normal 66 3 2 2 5" xfId="23140" xr:uid="{00000000-0005-0000-0000-000098630000}"/>
    <cellStyle name="Normal 66 3 2 3" xfId="5319" xr:uid="{00000000-0005-0000-0000-000099630000}"/>
    <cellStyle name="Normal 66 3 2 3 2" xfId="9251" xr:uid="{00000000-0005-0000-0000-00009A630000}"/>
    <cellStyle name="Normal 66 3 2 3 2 2" xfId="18425" xr:uid="{00000000-0005-0000-0000-00009B630000}"/>
    <cellStyle name="Normal 66 3 2 3 2 2 2" xfId="34999" xr:uid="{00000000-0005-0000-0000-00009C630000}"/>
    <cellStyle name="Normal 66 3 2 3 2 3" xfId="26952" xr:uid="{00000000-0005-0000-0000-00009D630000}"/>
    <cellStyle name="Normal 66 3 2 3 3" xfId="14637" xr:uid="{00000000-0005-0000-0000-00009E630000}"/>
    <cellStyle name="Normal 66 3 2 3 3 2" xfId="31185" xr:uid="{00000000-0005-0000-0000-00009F630000}"/>
    <cellStyle name="Normal 66 3 2 3 4" xfId="23142" xr:uid="{00000000-0005-0000-0000-0000A0630000}"/>
    <cellStyle name="Normal 66 3 2 4" xfId="9252" xr:uid="{00000000-0005-0000-0000-0000A1630000}"/>
    <cellStyle name="Normal 66 3 2 4 2" xfId="18426" xr:uid="{00000000-0005-0000-0000-0000A2630000}"/>
    <cellStyle name="Normal 66 3 2 4 2 2" xfId="35000" xr:uid="{00000000-0005-0000-0000-0000A3630000}"/>
    <cellStyle name="Normal 66 3 2 4 3" xfId="26953" xr:uid="{00000000-0005-0000-0000-0000A4630000}"/>
    <cellStyle name="Normal 66 3 2 5" xfId="14634" xr:uid="{00000000-0005-0000-0000-0000A5630000}"/>
    <cellStyle name="Normal 66 3 2 5 2" xfId="31182" xr:uid="{00000000-0005-0000-0000-0000A6630000}"/>
    <cellStyle name="Normal 66 3 2 6" xfId="23139" xr:uid="{00000000-0005-0000-0000-0000A7630000}"/>
    <cellStyle name="Normal 66 3 3" xfId="5320" xr:uid="{00000000-0005-0000-0000-0000A8630000}"/>
    <cellStyle name="Normal 66 3 3 2" xfId="5321" xr:uid="{00000000-0005-0000-0000-0000A9630000}"/>
    <cellStyle name="Normal 66 3 3 2 2" xfId="9253" xr:uid="{00000000-0005-0000-0000-0000AA630000}"/>
    <cellStyle name="Normal 66 3 3 2 2 2" xfId="18427" xr:uid="{00000000-0005-0000-0000-0000AB630000}"/>
    <cellStyle name="Normal 66 3 3 2 2 2 2" xfId="35001" xr:uid="{00000000-0005-0000-0000-0000AC630000}"/>
    <cellStyle name="Normal 66 3 3 2 2 3" xfId="26954" xr:uid="{00000000-0005-0000-0000-0000AD630000}"/>
    <cellStyle name="Normal 66 3 3 2 3" xfId="14639" xr:uid="{00000000-0005-0000-0000-0000AE630000}"/>
    <cellStyle name="Normal 66 3 3 2 3 2" xfId="31187" xr:uid="{00000000-0005-0000-0000-0000AF630000}"/>
    <cellStyle name="Normal 66 3 3 2 4" xfId="23144" xr:uid="{00000000-0005-0000-0000-0000B0630000}"/>
    <cellStyle name="Normal 66 3 3 3" xfId="9254" xr:uid="{00000000-0005-0000-0000-0000B1630000}"/>
    <cellStyle name="Normal 66 3 3 3 2" xfId="18428" xr:uid="{00000000-0005-0000-0000-0000B2630000}"/>
    <cellStyle name="Normal 66 3 3 3 2 2" xfId="35002" xr:uid="{00000000-0005-0000-0000-0000B3630000}"/>
    <cellStyle name="Normal 66 3 3 3 3" xfId="26955" xr:uid="{00000000-0005-0000-0000-0000B4630000}"/>
    <cellStyle name="Normal 66 3 3 4" xfId="14638" xr:uid="{00000000-0005-0000-0000-0000B5630000}"/>
    <cellStyle name="Normal 66 3 3 4 2" xfId="31186" xr:uid="{00000000-0005-0000-0000-0000B6630000}"/>
    <cellStyle name="Normal 66 3 3 5" xfId="23143" xr:uid="{00000000-0005-0000-0000-0000B7630000}"/>
    <cellStyle name="Normal 66 3 4" xfId="5322" xr:uid="{00000000-0005-0000-0000-0000B8630000}"/>
    <cellStyle name="Normal 66 3 4 2" xfId="9255" xr:uid="{00000000-0005-0000-0000-0000B9630000}"/>
    <cellStyle name="Normal 66 3 4 2 2" xfId="18429" xr:uid="{00000000-0005-0000-0000-0000BA630000}"/>
    <cellStyle name="Normal 66 3 4 2 2 2" xfId="35003" xr:uid="{00000000-0005-0000-0000-0000BB630000}"/>
    <cellStyle name="Normal 66 3 4 2 3" xfId="26956" xr:uid="{00000000-0005-0000-0000-0000BC630000}"/>
    <cellStyle name="Normal 66 3 4 3" xfId="14640" xr:uid="{00000000-0005-0000-0000-0000BD630000}"/>
    <cellStyle name="Normal 66 3 4 3 2" xfId="31188" xr:uid="{00000000-0005-0000-0000-0000BE630000}"/>
    <cellStyle name="Normal 66 3 4 4" xfId="23145" xr:uid="{00000000-0005-0000-0000-0000BF630000}"/>
    <cellStyle name="Normal 66 3 5" xfId="5323" xr:uid="{00000000-0005-0000-0000-0000C0630000}"/>
    <cellStyle name="Normal 66 3 5 2" xfId="14641" xr:uid="{00000000-0005-0000-0000-0000C1630000}"/>
    <cellStyle name="Normal 66 3 5 2 2" xfId="31189" xr:uid="{00000000-0005-0000-0000-0000C2630000}"/>
    <cellStyle name="Normal 66 3 5 3" xfId="23146" xr:uid="{00000000-0005-0000-0000-0000C3630000}"/>
    <cellStyle name="Normal 66 4" xfId="5324" xr:uid="{00000000-0005-0000-0000-0000C4630000}"/>
    <cellStyle name="Normal 66 4 2" xfId="5325" xr:uid="{00000000-0005-0000-0000-0000C5630000}"/>
    <cellStyle name="Normal 66 4 2 2" xfId="5326" xr:uid="{00000000-0005-0000-0000-0000C6630000}"/>
    <cellStyle name="Normal 66 4 2 2 2" xfId="5327" xr:uid="{00000000-0005-0000-0000-0000C7630000}"/>
    <cellStyle name="Normal 66 4 2 2 2 2" xfId="9256" xr:uid="{00000000-0005-0000-0000-0000C8630000}"/>
    <cellStyle name="Normal 66 4 2 2 2 2 2" xfId="18430" xr:uid="{00000000-0005-0000-0000-0000C9630000}"/>
    <cellStyle name="Normal 66 4 2 2 2 2 2 2" xfId="35004" xr:uid="{00000000-0005-0000-0000-0000CA630000}"/>
    <cellStyle name="Normal 66 4 2 2 2 2 3" xfId="26957" xr:uid="{00000000-0005-0000-0000-0000CB630000}"/>
    <cellStyle name="Normal 66 4 2 2 2 3" xfId="14645" xr:uid="{00000000-0005-0000-0000-0000CC630000}"/>
    <cellStyle name="Normal 66 4 2 2 2 3 2" xfId="31193" xr:uid="{00000000-0005-0000-0000-0000CD630000}"/>
    <cellStyle name="Normal 66 4 2 2 2 4" xfId="23150" xr:uid="{00000000-0005-0000-0000-0000CE630000}"/>
    <cellStyle name="Normal 66 4 2 2 3" xfId="9257" xr:uid="{00000000-0005-0000-0000-0000CF630000}"/>
    <cellStyle name="Normal 66 4 2 2 3 2" xfId="18431" xr:uid="{00000000-0005-0000-0000-0000D0630000}"/>
    <cellStyle name="Normal 66 4 2 2 3 2 2" xfId="35005" xr:uid="{00000000-0005-0000-0000-0000D1630000}"/>
    <cellStyle name="Normal 66 4 2 2 3 3" xfId="26958" xr:uid="{00000000-0005-0000-0000-0000D2630000}"/>
    <cellStyle name="Normal 66 4 2 2 4" xfId="14644" xr:uid="{00000000-0005-0000-0000-0000D3630000}"/>
    <cellStyle name="Normal 66 4 2 2 4 2" xfId="31192" xr:uid="{00000000-0005-0000-0000-0000D4630000}"/>
    <cellStyle name="Normal 66 4 2 2 5" xfId="23149" xr:uid="{00000000-0005-0000-0000-0000D5630000}"/>
    <cellStyle name="Normal 66 4 2 3" xfId="5328" xr:uid="{00000000-0005-0000-0000-0000D6630000}"/>
    <cellStyle name="Normal 66 4 2 3 2" xfId="9258" xr:uid="{00000000-0005-0000-0000-0000D7630000}"/>
    <cellStyle name="Normal 66 4 2 3 2 2" xfId="18432" xr:uid="{00000000-0005-0000-0000-0000D8630000}"/>
    <cellStyle name="Normal 66 4 2 3 2 2 2" xfId="35006" xr:uid="{00000000-0005-0000-0000-0000D9630000}"/>
    <cellStyle name="Normal 66 4 2 3 2 3" xfId="26959" xr:uid="{00000000-0005-0000-0000-0000DA630000}"/>
    <cellStyle name="Normal 66 4 2 3 3" xfId="14646" xr:uid="{00000000-0005-0000-0000-0000DB630000}"/>
    <cellStyle name="Normal 66 4 2 3 3 2" xfId="31194" xr:uid="{00000000-0005-0000-0000-0000DC630000}"/>
    <cellStyle name="Normal 66 4 2 3 4" xfId="23151" xr:uid="{00000000-0005-0000-0000-0000DD630000}"/>
    <cellStyle name="Normal 66 4 2 4" xfId="9259" xr:uid="{00000000-0005-0000-0000-0000DE630000}"/>
    <cellStyle name="Normal 66 4 2 4 2" xfId="18433" xr:uid="{00000000-0005-0000-0000-0000DF630000}"/>
    <cellStyle name="Normal 66 4 2 4 2 2" xfId="35007" xr:uid="{00000000-0005-0000-0000-0000E0630000}"/>
    <cellStyle name="Normal 66 4 2 4 3" xfId="26960" xr:uid="{00000000-0005-0000-0000-0000E1630000}"/>
    <cellStyle name="Normal 66 4 2 5" xfId="14643" xr:uid="{00000000-0005-0000-0000-0000E2630000}"/>
    <cellStyle name="Normal 66 4 2 5 2" xfId="31191" xr:uid="{00000000-0005-0000-0000-0000E3630000}"/>
    <cellStyle name="Normal 66 4 2 6" xfId="23148" xr:uid="{00000000-0005-0000-0000-0000E4630000}"/>
    <cellStyle name="Normal 66 4 3" xfId="5329" xr:uid="{00000000-0005-0000-0000-0000E5630000}"/>
    <cellStyle name="Normal 66 4 3 2" xfId="5330" xr:uid="{00000000-0005-0000-0000-0000E6630000}"/>
    <cellStyle name="Normal 66 4 3 2 2" xfId="9260" xr:uid="{00000000-0005-0000-0000-0000E7630000}"/>
    <cellStyle name="Normal 66 4 3 2 2 2" xfId="18434" xr:uid="{00000000-0005-0000-0000-0000E8630000}"/>
    <cellStyle name="Normal 66 4 3 2 2 2 2" xfId="35008" xr:uid="{00000000-0005-0000-0000-0000E9630000}"/>
    <cellStyle name="Normal 66 4 3 2 2 3" xfId="26961" xr:uid="{00000000-0005-0000-0000-0000EA630000}"/>
    <cellStyle name="Normal 66 4 3 2 3" xfId="14648" xr:uid="{00000000-0005-0000-0000-0000EB630000}"/>
    <cellStyle name="Normal 66 4 3 2 3 2" xfId="31196" xr:uid="{00000000-0005-0000-0000-0000EC630000}"/>
    <cellStyle name="Normal 66 4 3 2 4" xfId="23153" xr:uid="{00000000-0005-0000-0000-0000ED630000}"/>
    <cellStyle name="Normal 66 4 3 3" xfId="9261" xr:uid="{00000000-0005-0000-0000-0000EE630000}"/>
    <cellStyle name="Normal 66 4 3 3 2" xfId="18435" xr:uid="{00000000-0005-0000-0000-0000EF630000}"/>
    <cellStyle name="Normal 66 4 3 3 2 2" xfId="35009" xr:uid="{00000000-0005-0000-0000-0000F0630000}"/>
    <cellStyle name="Normal 66 4 3 3 3" xfId="26962" xr:uid="{00000000-0005-0000-0000-0000F1630000}"/>
    <cellStyle name="Normal 66 4 3 4" xfId="14647" xr:uid="{00000000-0005-0000-0000-0000F2630000}"/>
    <cellStyle name="Normal 66 4 3 4 2" xfId="31195" xr:uid="{00000000-0005-0000-0000-0000F3630000}"/>
    <cellStyle name="Normal 66 4 3 5" xfId="23152" xr:uid="{00000000-0005-0000-0000-0000F4630000}"/>
    <cellStyle name="Normal 66 4 4" xfId="5331" xr:uid="{00000000-0005-0000-0000-0000F5630000}"/>
    <cellStyle name="Normal 66 4 4 2" xfId="9262" xr:uid="{00000000-0005-0000-0000-0000F6630000}"/>
    <cellStyle name="Normal 66 4 4 2 2" xfId="18436" xr:uid="{00000000-0005-0000-0000-0000F7630000}"/>
    <cellStyle name="Normal 66 4 4 2 2 2" xfId="35010" xr:uid="{00000000-0005-0000-0000-0000F8630000}"/>
    <cellStyle name="Normal 66 4 4 2 3" xfId="26963" xr:uid="{00000000-0005-0000-0000-0000F9630000}"/>
    <cellStyle name="Normal 66 4 4 3" xfId="14649" xr:uid="{00000000-0005-0000-0000-0000FA630000}"/>
    <cellStyle name="Normal 66 4 4 3 2" xfId="31197" xr:uid="{00000000-0005-0000-0000-0000FB630000}"/>
    <cellStyle name="Normal 66 4 4 4" xfId="23154" xr:uid="{00000000-0005-0000-0000-0000FC630000}"/>
    <cellStyle name="Normal 66 4 5" xfId="9263" xr:uid="{00000000-0005-0000-0000-0000FD630000}"/>
    <cellStyle name="Normal 66 4 5 2" xfId="18437" xr:uid="{00000000-0005-0000-0000-0000FE630000}"/>
    <cellStyle name="Normal 66 4 5 2 2" xfId="35011" xr:uid="{00000000-0005-0000-0000-0000FF630000}"/>
    <cellStyle name="Normal 66 4 5 3" xfId="26964" xr:uid="{00000000-0005-0000-0000-000000640000}"/>
    <cellStyle name="Normal 66 4 6" xfId="14642" xr:uid="{00000000-0005-0000-0000-000001640000}"/>
    <cellStyle name="Normal 66 4 6 2" xfId="31190" xr:uid="{00000000-0005-0000-0000-000002640000}"/>
    <cellStyle name="Normal 66 4 7" xfId="23147" xr:uid="{00000000-0005-0000-0000-000003640000}"/>
    <cellStyle name="Normal 66 5" xfId="5332" xr:uid="{00000000-0005-0000-0000-000004640000}"/>
    <cellStyle name="Normal 66 5 2" xfId="5333" xr:uid="{00000000-0005-0000-0000-000005640000}"/>
    <cellStyle name="Normal 66 5 2 2" xfId="5334" xr:uid="{00000000-0005-0000-0000-000006640000}"/>
    <cellStyle name="Normal 66 5 2 2 2" xfId="5335" xr:uid="{00000000-0005-0000-0000-000007640000}"/>
    <cellStyle name="Normal 66 5 2 2 2 2" xfId="9264" xr:uid="{00000000-0005-0000-0000-000008640000}"/>
    <cellStyle name="Normal 66 5 2 2 2 2 2" xfId="18438" xr:uid="{00000000-0005-0000-0000-000009640000}"/>
    <cellStyle name="Normal 66 5 2 2 2 2 2 2" xfId="35012" xr:uid="{00000000-0005-0000-0000-00000A640000}"/>
    <cellStyle name="Normal 66 5 2 2 2 2 3" xfId="26965" xr:uid="{00000000-0005-0000-0000-00000B640000}"/>
    <cellStyle name="Normal 66 5 2 2 2 3" xfId="14653" xr:uid="{00000000-0005-0000-0000-00000C640000}"/>
    <cellStyle name="Normal 66 5 2 2 2 3 2" xfId="31201" xr:uid="{00000000-0005-0000-0000-00000D640000}"/>
    <cellStyle name="Normal 66 5 2 2 2 4" xfId="23158" xr:uid="{00000000-0005-0000-0000-00000E640000}"/>
    <cellStyle name="Normal 66 5 2 2 3" xfId="9265" xr:uid="{00000000-0005-0000-0000-00000F640000}"/>
    <cellStyle name="Normal 66 5 2 2 3 2" xfId="18439" xr:uid="{00000000-0005-0000-0000-000010640000}"/>
    <cellStyle name="Normal 66 5 2 2 3 2 2" xfId="35013" xr:uid="{00000000-0005-0000-0000-000011640000}"/>
    <cellStyle name="Normal 66 5 2 2 3 3" xfId="26966" xr:uid="{00000000-0005-0000-0000-000012640000}"/>
    <cellStyle name="Normal 66 5 2 2 4" xfId="14652" xr:uid="{00000000-0005-0000-0000-000013640000}"/>
    <cellStyle name="Normal 66 5 2 2 4 2" xfId="31200" xr:uid="{00000000-0005-0000-0000-000014640000}"/>
    <cellStyle name="Normal 66 5 2 2 5" xfId="23157" xr:uid="{00000000-0005-0000-0000-000015640000}"/>
    <cellStyle name="Normal 66 5 2 3" xfId="5336" xr:uid="{00000000-0005-0000-0000-000016640000}"/>
    <cellStyle name="Normal 66 5 2 3 2" xfId="9266" xr:uid="{00000000-0005-0000-0000-000017640000}"/>
    <cellStyle name="Normal 66 5 2 3 2 2" xfId="18440" xr:uid="{00000000-0005-0000-0000-000018640000}"/>
    <cellStyle name="Normal 66 5 2 3 2 2 2" xfId="35014" xr:uid="{00000000-0005-0000-0000-000019640000}"/>
    <cellStyle name="Normal 66 5 2 3 2 3" xfId="26967" xr:uid="{00000000-0005-0000-0000-00001A640000}"/>
    <cellStyle name="Normal 66 5 2 3 3" xfId="14654" xr:uid="{00000000-0005-0000-0000-00001B640000}"/>
    <cellStyle name="Normal 66 5 2 3 3 2" xfId="31202" xr:uid="{00000000-0005-0000-0000-00001C640000}"/>
    <cellStyle name="Normal 66 5 2 3 4" xfId="23159" xr:uid="{00000000-0005-0000-0000-00001D640000}"/>
    <cellStyle name="Normal 66 5 2 4" xfId="9267" xr:uid="{00000000-0005-0000-0000-00001E640000}"/>
    <cellStyle name="Normal 66 5 2 4 2" xfId="18441" xr:uid="{00000000-0005-0000-0000-00001F640000}"/>
    <cellStyle name="Normal 66 5 2 4 2 2" xfId="35015" xr:uid="{00000000-0005-0000-0000-000020640000}"/>
    <cellStyle name="Normal 66 5 2 4 3" xfId="26968" xr:uid="{00000000-0005-0000-0000-000021640000}"/>
    <cellStyle name="Normal 66 5 2 5" xfId="14651" xr:uid="{00000000-0005-0000-0000-000022640000}"/>
    <cellStyle name="Normal 66 5 2 5 2" xfId="31199" xr:uid="{00000000-0005-0000-0000-000023640000}"/>
    <cellStyle name="Normal 66 5 2 6" xfId="23156" xr:uid="{00000000-0005-0000-0000-000024640000}"/>
    <cellStyle name="Normal 66 5 3" xfId="5337" xr:uid="{00000000-0005-0000-0000-000025640000}"/>
    <cellStyle name="Normal 66 5 3 2" xfId="5338" xr:uid="{00000000-0005-0000-0000-000026640000}"/>
    <cellStyle name="Normal 66 5 3 2 2" xfId="9268" xr:uid="{00000000-0005-0000-0000-000027640000}"/>
    <cellStyle name="Normal 66 5 3 2 2 2" xfId="18442" xr:uid="{00000000-0005-0000-0000-000028640000}"/>
    <cellStyle name="Normal 66 5 3 2 2 2 2" xfId="35016" xr:uid="{00000000-0005-0000-0000-000029640000}"/>
    <cellStyle name="Normal 66 5 3 2 2 3" xfId="26969" xr:uid="{00000000-0005-0000-0000-00002A640000}"/>
    <cellStyle name="Normal 66 5 3 2 3" xfId="14656" xr:uid="{00000000-0005-0000-0000-00002B640000}"/>
    <cellStyle name="Normal 66 5 3 2 3 2" xfId="31204" xr:uid="{00000000-0005-0000-0000-00002C640000}"/>
    <cellStyle name="Normal 66 5 3 2 4" xfId="23161" xr:uid="{00000000-0005-0000-0000-00002D640000}"/>
    <cellStyle name="Normal 66 5 3 3" xfId="9269" xr:uid="{00000000-0005-0000-0000-00002E640000}"/>
    <cellStyle name="Normal 66 5 3 3 2" xfId="18443" xr:uid="{00000000-0005-0000-0000-00002F640000}"/>
    <cellStyle name="Normal 66 5 3 3 2 2" xfId="35017" xr:uid="{00000000-0005-0000-0000-000030640000}"/>
    <cellStyle name="Normal 66 5 3 3 3" xfId="26970" xr:uid="{00000000-0005-0000-0000-000031640000}"/>
    <cellStyle name="Normal 66 5 3 4" xfId="14655" xr:uid="{00000000-0005-0000-0000-000032640000}"/>
    <cellStyle name="Normal 66 5 3 4 2" xfId="31203" xr:uid="{00000000-0005-0000-0000-000033640000}"/>
    <cellStyle name="Normal 66 5 3 5" xfId="23160" xr:uid="{00000000-0005-0000-0000-000034640000}"/>
    <cellStyle name="Normal 66 5 4" xfId="5339" xr:uid="{00000000-0005-0000-0000-000035640000}"/>
    <cellStyle name="Normal 66 5 4 2" xfId="9270" xr:uid="{00000000-0005-0000-0000-000036640000}"/>
    <cellStyle name="Normal 66 5 4 2 2" xfId="18444" xr:uid="{00000000-0005-0000-0000-000037640000}"/>
    <cellStyle name="Normal 66 5 4 2 2 2" xfId="35018" xr:uid="{00000000-0005-0000-0000-000038640000}"/>
    <cellStyle name="Normal 66 5 4 2 3" xfId="26971" xr:uid="{00000000-0005-0000-0000-000039640000}"/>
    <cellStyle name="Normal 66 5 4 3" xfId="14657" xr:uid="{00000000-0005-0000-0000-00003A640000}"/>
    <cellStyle name="Normal 66 5 4 3 2" xfId="31205" xr:uid="{00000000-0005-0000-0000-00003B640000}"/>
    <cellStyle name="Normal 66 5 4 4" xfId="23162" xr:uid="{00000000-0005-0000-0000-00003C640000}"/>
    <cellStyle name="Normal 66 5 5" xfId="9271" xr:uid="{00000000-0005-0000-0000-00003D640000}"/>
    <cellStyle name="Normal 66 5 5 2" xfId="18445" xr:uid="{00000000-0005-0000-0000-00003E640000}"/>
    <cellStyle name="Normal 66 5 5 2 2" xfId="35019" xr:uid="{00000000-0005-0000-0000-00003F640000}"/>
    <cellStyle name="Normal 66 5 5 3" xfId="26972" xr:uid="{00000000-0005-0000-0000-000040640000}"/>
    <cellStyle name="Normal 66 5 6" xfId="14650" xr:uid="{00000000-0005-0000-0000-000041640000}"/>
    <cellStyle name="Normal 66 5 6 2" xfId="31198" xr:uid="{00000000-0005-0000-0000-000042640000}"/>
    <cellStyle name="Normal 66 5 7" xfId="23155" xr:uid="{00000000-0005-0000-0000-000043640000}"/>
    <cellStyle name="Normal 66 6" xfId="5340" xr:uid="{00000000-0005-0000-0000-000044640000}"/>
    <cellStyle name="Normal 66 6 2" xfId="5341" xr:uid="{00000000-0005-0000-0000-000045640000}"/>
    <cellStyle name="Normal 66 6 2 2" xfId="5342" xr:uid="{00000000-0005-0000-0000-000046640000}"/>
    <cellStyle name="Normal 66 6 2 2 2" xfId="9272" xr:uid="{00000000-0005-0000-0000-000047640000}"/>
    <cellStyle name="Normal 66 6 2 2 2 2" xfId="18446" xr:uid="{00000000-0005-0000-0000-000048640000}"/>
    <cellStyle name="Normal 66 6 2 2 2 2 2" xfId="35020" xr:uid="{00000000-0005-0000-0000-000049640000}"/>
    <cellStyle name="Normal 66 6 2 2 2 3" xfId="26973" xr:uid="{00000000-0005-0000-0000-00004A640000}"/>
    <cellStyle name="Normal 66 6 2 2 3" xfId="14660" xr:uid="{00000000-0005-0000-0000-00004B640000}"/>
    <cellStyle name="Normal 66 6 2 2 3 2" xfId="31208" xr:uid="{00000000-0005-0000-0000-00004C640000}"/>
    <cellStyle name="Normal 66 6 2 2 4" xfId="23165" xr:uid="{00000000-0005-0000-0000-00004D640000}"/>
    <cellStyle name="Normal 66 6 2 3" xfId="9273" xr:uid="{00000000-0005-0000-0000-00004E640000}"/>
    <cellStyle name="Normal 66 6 2 3 2" xfId="18447" xr:uid="{00000000-0005-0000-0000-00004F640000}"/>
    <cellStyle name="Normal 66 6 2 3 2 2" xfId="35021" xr:uid="{00000000-0005-0000-0000-000050640000}"/>
    <cellStyle name="Normal 66 6 2 3 3" xfId="26974" xr:uid="{00000000-0005-0000-0000-000051640000}"/>
    <cellStyle name="Normal 66 6 2 4" xfId="14659" xr:uid="{00000000-0005-0000-0000-000052640000}"/>
    <cellStyle name="Normal 66 6 2 4 2" xfId="31207" xr:uid="{00000000-0005-0000-0000-000053640000}"/>
    <cellStyle name="Normal 66 6 2 5" xfId="23164" xr:uid="{00000000-0005-0000-0000-000054640000}"/>
    <cellStyle name="Normal 66 6 3" xfId="5343" xr:uid="{00000000-0005-0000-0000-000055640000}"/>
    <cellStyle name="Normal 66 6 3 2" xfId="9274" xr:uid="{00000000-0005-0000-0000-000056640000}"/>
    <cellStyle name="Normal 66 6 3 2 2" xfId="18448" xr:uid="{00000000-0005-0000-0000-000057640000}"/>
    <cellStyle name="Normal 66 6 3 2 2 2" xfId="35022" xr:uid="{00000000-0005-0000-0000-000058640000}"/>
    <cellStyle name="Normal 66 6 3 2 3" xfId="26975" xr:uid="{00000000-0005-0000-0000-000059640000}"/>
    <cellStyle name="Normal 66 6 3 3" xfId="14661" xr:uid="{00000000-0005-0000-0000-00005A640000}"/>
    <cellStyle name="Normal 66 6 3 3 2" xfId="31209" xr:uid="{00000000-0005-0000-0000-00005B640000}"/>
    <cellStyle name="Normal 66 6 3 4" xfId="23166" xr:uid="{00000000-0005-0000-0000-00005C640000}"/>
    <cellStyle name="Normal 66 6 4" xfId="9275" xr:uid="{00000000-0005-0000-0000-00005D640000}"/>
    <cellStyle name="Normal 66 6 4 2" xfId="18449" xr:uid="{00000000-0005-0000-0000-00005E640000}"/>
    <cellStyle name="Normal 66 6 4 2 2" xfId="35023" xr:uid="{00000000-0005-0000-0000-00005F640000}"/>
    <cellStyle name="Normal 66 6 4 3" xfId="26976" xr:uid="{00000000-0005-0000-0000-000060640000}"/>
    <cellStyle name="Normal 66 6 5" xfId="14658" xr:uid="{00000000-0005-0000-0000-000061640000}"/>
    <cellStyle name="Normal 66 6 5 2" xfId="31206" xr:uid="{00000000-0005-0000-0000-000062640000}"/>
    <cellStyle name="Normal 66 6 6" xfId="23163" xr:uid="{00000000-0005-0000-0000-000063640000}"/>
    <cellStyle name="Normal 66 7" xfId="5344" xr:uid="{00000000-0005-0000-0000-000064640000}"/>
    <cellStyle name="Normal 66 7 2" xfId="5345" xr:uid="{00000000-0005-0000-0000-000065640000}"/>
    <cellStyle name="Normal 66 7 2 2" xfId="9276" xr:uid="{00000000-0005-0000-0000-000066640000}"/>
    <cellStyle name="Normal 66 7 2 2 2" xfId="18450" xr:uid="{00000000-0005-0000-0000-000067640000}"/>
    <cellStyle name="Normal 66 7 2 2 2 2" xfId="35024" xr:uid="{00000000-0005-0000-0000-000068640000}"/>
    <cellStyle name="Normal 66 7 2 2 3" xfId="26977" xr:uid="{00000000-0005-0000-0000-000069640000}"/>
    <cellStyle name="Normal 66 7 2 3" xfId="14663" xr:uid="{00000000-0005-0000-0000-00006A640000}"/>
    <cellStyle name="Normal 66 7 2 3 2" xfId="31211" xr:uid="{00000000-0005-0000-0000-00006B640000}"/>
    <cellStyle name="Normal 66 7 2 4" xfId="23168" xr:uid="{00000000-0005-0000-0000-00006C640000}"/>
    <cellStyle name="Normal 66 7 3" xfId="9277" xr:uid="{00000000-0005-0000-0000-00006D640000}"/>
    <cellStyle name="Normal 66 7 3 2" xfId="18451" xr:uid="{00000000-0005-0000-0000-00006E640000}"/>
    <cellStyle name="Normal 66 7 3 2 2" xfId="35025" xr:uid="{00000000-0005-0000-0000-00006F640000}"/>
    <cellStyle name="Normal 66 7 3 3" xfId="26978" xr:uid="{00000000-0005-0000-0000-000070640000}"/>
    <cellStyle name="Normal 66 7 4" xfId="14662" xr:uid="{00000000-0005-0000-0000-000071640000}"/>
    <cellStyle name="Normal 66 7 4 2" xfId="31210" xr:uid="{00000000-0005-0000-0000-000072640000}"/>
    <cellStyle name="Normal 66 7 5" xfId="23167" xr:uid="{00000000-0005-0000-0000-000073640000}"/>
    <cellStyle name="Normal 66 8" xfId="5346" xr:uid="{00000000-0005-0000-0000-000074640000}"/>
    <cellStyle name="Normal 66 8 2" xfId="9278" xr:uid="{00000000-0005-0000-0000-000075640000}"/>
    <cellStyle name="Normal 66 8 2 2" xfId="18452" xr:uid="{00000000-0005-0000-0000-000076640000}"/>
    <cellStyle name="Normal 66 8 2 2 2" xfId="35026" xr:uid="{00000000-0005-0000-0000-000077640000}"/>
    <cellStyle name="Normal 66 8 2 3" xfId="26979" xr:uid="{00000000-0005-0000-0000-000078640000}"/>
    <cellStyle name="Normal 66 8 3" xfId="14664" xr:uid="{00000000-0005-0000-0000-000079640000}"/>
    <cellStyle name="Normal 66 8 3 2" xfId="31212" xr:uid="{00000000-0005-0000-0000-00007A640000}"/>
    <cellStyle name="Normal 66 8 4" xfId="23169" xr:uid="{00000000-0005-0000-0000-00007B640000}"/>
    <cellStyle name="Normal 66 9" xfId="9279" xr:uid="{00000000-0005-0000-0000-00007C640000}"/>
    <cellStyle name="Normal 66 9 2" xfId="18453" xr:uid="{00000000-0005-0000-0000-00007D640000}"/>
    <cellStyle name="Normal 66 9 2 2" xfId="35027" xr:uid="{00000000-0005-0000-0000-00007E640000}"/>
    <cellStyle name="Normal 66 9 3" xfId="26980" xr:uid="{00000000-0005-0000-0000-00007F640000}"/>
    <cellStyle name="Normal 67" xfId="5347" xr:uid="{00000000-0005-0000-0000-000080640000}"/>
    <cellStyle name="Normal 67 10" xfId="14665" xr:uid="{00000000-0005-0000-0000-000081640000}"/>
    <cellStyle name="Normal 67 10 2" xfId="31213" xr:uid="{00000000-0005-0000-0000-000082640000}"/>
    <cellStyle name="Normal 67 11" xfId="23170" xr:uid="{00000000-0005-0000-0000-000083640000}"/>
    <cellStyle name="Normal 67 2" xfId="5348" xr:uid="{00000000-0005-0000-0000-000084640000}"/>
    <cellStyle name="Normal 67 2 2" xfId="5349" xr:uid="{00000000-0005-0000-0000-000085640000}"/>
    <cellStyle name="Normal 67 2 3" xfId="14666" xr:uid="{00000000-0005-0000-0000-000086640000}"/>
    <cellStyle name="Normal 67 2 3 2" xfId="31214" xr:uid="{00000000-0005-0000-0000-000087640000}"/>
    <cellStyle name="Normal 67 2 4" xfId="23171" xr:uid="{00000000-0005-0000-0000-000088640000}"/>
    <cellStyle name="Normal 67 3" xfId="5350" xr:uid="{00000000-0005-0000-0000-000089640000}"/>
    <cellStyle name="Normal 67 3 2" xfId="5351" xr:uid="{00000000-0005-0000-0000-00008A640000}"/>
    <cellStyle name="Normal 67 3 2 2" xfId="5352" xr:uid="{00000000-0005-0000-0000-00008B640000}"/>
    <cellStyle name="Normal 67 3 2 2 2" xfId="5353" xr:uid="{00000000-0005-0000-0000-00008C640000}"/>
    <cellStyle name="Normal 67 3 2 2 2 2" xfId="9280" xr:uid="{00000000-0005-0000-0000-00008D640000}"/>
    <cellStyle name="Normal 67 3 2 2 2 2 2" xfId="18454" xr:uid="{00000000-0005-0000-0000-00008E640000}"/>
    <cellStyle name="Normal 67 3 2 2 2 2 2 2" xfId="35028" xr:uid="{00000000-0005-0000-0000-00008F640000}"/>
    <cellStyle name="Normal 67 3 2 2 2 2 3" xfId="26981" xr:uid="{00000000-0005-0000-0000-000090640000}"/>
    <cellStyle name="Normal 67 3 2 2 2 3" xfId="14669" xr:uid="{00000000-0005-0000-0000-000091640000}"/>
    <cellStyle name="Normal 67 3 2 2 2 3 2" xfId="31217" xr:uid="{00000000-0005-0000-0000-000092640000}"/>
    <cellStyle name="Normal 67 3 2 2 2 4" xfId="23174" xr:uid="{00000000-0005-0000-0000-000093640000}"/>
    <cellStyle name="Normal 67 3 2 2 3" xfId="9281" xr:uid="{00000000-0005-0000-0000-000094640000}"/>
    <cellStyle name="Normal 67 3 2 2 3 2" xfId="18455" xr:uid="{00000000-0005-0000-0000-000095640000}"/>
    <cellStyle name="Normal 67 3 2 2 3 2 2" xfId="35029" xr:uid="{00000000-0005-0000-0000-000096640000}"/>
    <cellStyle name="Normal 67 3 2 2 3 3" xfId="26982" xr:uid="{00000000-0005-0000-0000-000097640000}"/>
    <cellStyle name="Normal 67 3 2 2 4" xfId="14668" xr:uid="{00000000-0005-0000-0000-000098640000}"/>
    <cellStyle name="Normal 67 3 2 2 4 2" xfId="31216" xr:uid="{00000000-0005-0000-0000-000099640000}"/>
    <cellStyle name="Normal 67 3 2 2 5" xfId="23173" xr:uid="{00000000-0005-0000-0000-00009A640000}"/>
    <cellStyle name="Normal 67 3 2 3" xfId="5354" xr:uid="{00000000-0005-0000-0000-00009B640000}"/>
    <cellStyle name="Normal 67 3 2 3 2" xfId="9282" xr:uid="{00000000-0005-0000-0000-00009C640000}"/>
    <cellStyle name="Normal 67 3 2 3 2 2" xfId="18456" xr:uid="{00000000-0005-0000-0000-00009D640000}"/>
    <cellStyle name="Normal 67 3 2 3 2 2 2" xfId="35030" xr:uid="{00000000-0005-0000-0000-00009E640000}"/>
    <cellStyle name="Normal 67 3 2 3 2 3" xfId="26983" xr:uid="{00000000-0005-0000-0000-00009F640000}"/>
    <cellStyle name="Normal 67 3 2 3 3" xfId="14670" xr:uid="{00000000-0005-0000-0000-0000A0640000}"/>
    <cellStyle name="Normal 67 3 2 3 3 2" xfId="31218" xr:uid="{00000000-0005-0000-0000-0000A1640000}"/>
    <cellStyle name="Normal 67 3 2 3 4" xfId="23175" xr:uid="{00000000-0005-0000-0000-0000A2640000}"/>
    <cellStyle name="Normal 67 3 2 4" xfId="9283" xr:uid="{00000000-0005-0000-0000-0000A3640000}"/>
    <cellStyle name="Normal 67 3 2 4 2" xfId="18457" xr:uid="{00000000-0005-0000-0000-0000A4640000}"/>
    <cellStyle name="Normal 67 3 2 4 2 2" xfId="35031" xr:uid="{00000000-0005-0000-0000-0000A5640000}"/>
    <cellStyle name="Normal 67 3 2 4 3" xfId="26984" xr:uid="{00000000-0005-0000-0000-0000A6640000}"/>
    <cellStyle name="Normal 67 3 2 5" xfId="14667" xr:uid="{00000000-0005-0000-0000-0000A7640000}"/>
    <cellStyle name="Normal 67 3 2 5 2" xfId="31215" xr:uid="{00000000-0005-0000-0000-0000A8640000}"/>
    <cellStyle name="Normal 67 3 2 6" xfId="23172" xr:uid="{00000000-0005-0000-0000-0000A9640000}"/>
    <cellStyle name="Normal 67 3 3" xfId="5355" xr:uid="{00000000-0005-0000-0000-0000AA640000}"/>
    <cellStyle name="Normal 67 3 3 2" xfId="5356" xr:uid="{00000000-0005-0000-0000-0000AB640000}"/>
    <cellStyle name="Normal 67 3 3 2 2" xfId="9284" xr:uid="{00000000-0005-0000-0000-0000AC640000}"/>
    <cellStyle name="Normal 67 3 3 2 2 2" xfId="18458" xr:uid="{00000000-0005-0000-0000-0000AD640000}"/>
    <cellStyle name="Normal 67 3 3 2 2 2 2" xfId="35032" xr:uid="{00000000-0005-0000-0000-0000AE640000}"/>
    <cellStyle name="Normal 67 3 3 2 2 3" xfId="26985" xr:uid="{00000000-0005-0000-0000-0000AF640000}"/>
    <cellStyle name="Normal 67 3 3 2 3" xfId="14672" xr:uid="{00000000-0005-0000-0000-0000B0640000}"/>
    <cellStyle name="Normal 67 3 3 2 3 2" xfId="31220" xr:uid="{00000000-0005-0000-0000-0000B1640000}"/>
    <cellStyle name="Normal 67 3 3 2 4" xfId="23177" xr:uid="{00000000-0005-0000-0000-0000B2640000}"/>
    <cellStyle name="Normal 67 3 3 3" xfId="9285" xr:uid="{00000000-0005-0000-0000-0000B3640000}"/>
    <cellStyle name="Normal 67 3 3 3 2" xfId="18459" xr:uid="{00000000-0005-0000-0000-0000B4640000}"/>
    <cellStyle name="Normal 67 3 3 3 2 2" xfId="35033" xr:uid="{00000000-0005-0000-0000-0000B5640000}"/>
    <cellStyle name="Normal 67 3 3 3 3" xfId="26986" xr:uid="{00000000-0005-0000-0000-0000B6640000}"/>
    <cellStyle name="Normal 67 3 3 4" xfId="14671" xr:uid="{00000000-0005-0000-0000-0000B7640000}"/>
    <cellStyle name="Normal 67 3 3 4 2" xfId="31219" xr:uid="{00000000-0005-0000-0000-0000B8640000}"/>
    <cellStyle name="Normal 67 3 3 5" xfId="23176" xr:uid="{00000000-0005-0000-0000-0000B9640000}"/>
    <cellStyle name="Normal 67 3 4" xfId="5357" xr:uid="{00000000-0005-0000-0000-0000BA640000}"/>
    <cellStyle name="Normal 67 3 4 2" xfId="9286" xr:uid="{00000000-0005-0000-0000-0000BB640000}"/>
    <cellStyle name="Normal 67 3 4 2 2" xfId="18460" xr:uid="{00000000-0005-0000-0000-0000BC640000}"/>
    <cellStyle name="Normal 67 3 4 2 2 2" xfId="35034" xr:uid="{00000000-0005-0000-0000-0000BD640000}"/>
    <cellStyle name="Normal 67 3 4 2 3" xfId="26987" xr:uid="{00000000-0005-0000-0000-0000BE640000}"/>
    <cellStyle name="Normal 67 3 4 3" xfId="14673" xr:uid="{00000000-0005-0000-0000-0000BF640000}"/>
    <cellStyle name="Normal 67 3 4 3 2" xfId="31221" xr:uid="{00000000-0005-0000-0000-0000C0640000}"/>
    <cellStyle name="Normal 67 3 4 4" xfId="23178" xr:uid="{00000000-0005-0000-0000-0000C1640000}"/>
    <cellStyle name="Normal 67 3 5" xfId="5358" xr:uid="{00000000-0005-0000-0000-0000C2640000}"/>
    <cellStyle name="Normal 67 3 5 2" xfId="14674" xr:uid="{00000000-0005-0000-0000-0000C3640000}"/>
    <cellStyle name="Normal 67 3 5 2 2" xfId="31222" xr:uid="{00000000-0005-0000-0000-0000C4640000}"/>
    <cellStyle name="Normal 67 3 5 3" xfId="23179" xr:uid="{00000000-0005-0000-0000-0000C5640000}"/>
    <cellStyle name="Normal 67 4" xfId="5359" xr:uid="{00000000-0005-0000-0000-0000C6640000}"/>
    <cellStyle name="Normal 67 4 2" xfId="5360" xr:uid="{00000000-0005-0000-0000-0000C7640000}"/>
    <cellStyle name="Normal 67 4 2 2" xfId="5361" xr:uid="{00000000-0005-0000-0000-0000C8640000}"/>
    <cellStyle name="Normal 67 4 2 2 2" xfId="5362" xr:uid="{00000000-0005-0000-0000-0000C9640000}"/>
    <cellStyle name="Normal 67 4 2 2 2 2" xfId="9287" xr:uid="{00000000-0005-0000-0000-0000CA640000}"/>
    <cellStyle name="Normal 67 4 2 2 2 2 2" xfId="18461" xr:uid="{00000000-0005-0000-0000-0000CB640000}"/>
    <cellStyle name="Normal 67 4 2 2 2 2 2 2" xfId="35035" xr:uid="{00000000-0005-0000-0000-0000CC640000}"/>
    <cellStyle name="Normal 67 4 2 2 2 2 3" xfId="26988" xr:uid="{00000000-0005-0000-0000-0000CD640000}"/>
    <cellStyle name="Normal 67 4 2 2 2 3" xfId="14678" xr:uid="{00000000-0005-0000-0000-0000CE640000}"/>
    <cellStyle name="Normal 67 4 2 2 2 3 2" xfId="31226" xr:uid="{00000000-0005-0000-0000-0000CF640000}"/>
    <cellStyle name="Normal 67 4 2 2 2 4" xfId="23183" xr:uid="{00000000-0005-0000-0000-0000D0640000}"/>
    <cellStyle name="Normal 67 4 2 2 3" xfId="9288" xr:uid="{00000000-0005-0000-0000-0000D1640000}"/>
    <cellStyle name="Normal 67 4 2 2 3 2" xfId="18462" xr:uid="{00000000-0005-0000-0000-0000D2640000}"/>
    <cellStyle name="Normal 67 4 2 2 3 2 2" xfId="35036" xr:uid="{00000000-0005-0000-0000-0000D3640000}"/>
    <cellStyle name="Normal 67 4 2 2 3 3" xfId="26989" xr:uid="{00000000-0005-0000-0000-0000D4640000}"/>
    <cellStyle name="Normal 67 4 2 2 4" xfId="14677" xr:uid="{00000000-0005-0000-0000-0000D5640000}"/>
    <cellStyle name="Normal 67 4 2 2 4 2" xfId="31225" xr:uid="{00000000-0005-0000-0000-0000D6640000}"/>
    <cellStyle name="Normal 67 4 2 2 5" xfId="23182" xr:uid="{00000000-0005-0000-0000-0000D7640000}"/>
    <cellStyle name="Normal 67 4 2 3" xfId="5363" xr:uid="{00000000-0005-0000-0000-0000D8640000}"/>
    <cellStyle name="Normal 67 4 2 3 2" xfId="9289" xr:uid="{00000000-0005-0000-0000-0000D9640000}"/>
    <cellStyle name="Normal 67 4 2 3 2 2" xfId="18463" xr:uid="{00000000-0005-0000-0000-0000DA640000}"/>
    <cellStyle name="Normal 67 4 2 3 2 2 2" xfId="35037" xr:uid="{00000000-0005-0000-0000-0000DB640000}"/>
    <cellStyle name="Normal 67 4 2 3 2 3" xfId="26990" xr:uid="{00000000-0005-0000-0000-0000DC640000}"/>
    <cellStyle name="Normal 67 4 2 3 3" xfId="14679" xr:uid="{00000000-0005-0000-0000-0000DD640000}"/>
    <cellStyle name="Normal 67 4 2 3 3 2" xfId="31227" xr:uid="{00000000-0005-0000-0000-0000DE640000}"/>
    <cellStyle name="Normal 67 4 2 3 4" xfId="23184" xr:uid="{00000000-0005-0000-0000-0000DF640000}"/>
    <cellStyle name="Normal 67 4 2 4" xfId="9290" xr:uid="{00000000-0005-0000-0000-0000E0640000}"/>
    <cellStyle name="Normal 67 4 2 4 2" xfId="18464" xr:uid="{00000000-0005-0000-0000-0000E1640000}"/>
    <cellStyle name="Normal 67 4 2 4 2 2" xfId="35038" xr:uid="{00000000-0005-0000-0000-0000E2640000}"/>
    <cellStyle name="Normal 67 4 2 4 3" xfId="26991" xr:uid="{00000000-0005-0000-0000-0000E3640000}"/>
    <cellStyle name="Normal 67 4 2 5" xfId="14676" xr:uid="{00000000-0005-0000-0000-0000E4640000}"/>
    <cellStyle name="Normal 67 4 2 5 2" xfId="31224" xr:uid="{00000000-0005-0000-0000-0000E5640000}"/>
    <cellStyle name="Normal 67 4 2 6" xfId="23181" xr:uid="{00000000-0005-0000-0000-0000E6640000}"/>
    <cellStyle name="Normal 67 4 3" xfId="5364" xr:uid="{00000000-0005-0000-0000-0000E7640000}"/>
    <cellStyle name="Normal 67 4 3 2" xfId="5365" xr:uid="{00000000-0005-0000-0000-0000E8640000}"/>
    <cellStyle name="Normal 67 4 3 2 2" xfId="9291" xr:uid="{00000000-0005-0000-0000-0000E9640000}"/>
    <cellStyle name="Normal 67 4 3 2 2 2" xfId="18465" xr:uid="{00000000-0005-0000-0000-0000EA640000}"/>
    <cellStyle name="Normal 67 4 3 2 2 2 2" xfId="35039" xr:uid="{00000000-0005-0000-0000-0000EB640000}"/>
    <cellStyle name="Normal 67 4 3 2 2 3" xfId="26992" xr:uid="{00000000-0005-0000-0000-0000EC640000}"/>
    <cellStyle name="Normal 67 4 3 2 3" xfId="14681" xr:uid="{00000000-0005-0000-0000-0000ED640000}"/>
    <cellStyle name="Normal 67 4 3 2 3 2" xfId="31229" xr:uid="{00000000-0005-0000-0000-0000EE640000}"/>
    <cellStyle name="Normal 67 4 3 2 4" xfId="23186" xr:uid="{00000000-0005-0000-0000-0000EF640000}"/>
    <cellStyle name="Normal 67 4 3 3" xfId="9292" xr:uid="{00000000-0005-0000-0000-0000F0640000}"/>
    <cellStyle name="Normal 67 4 3 3 2" xfId="18466" xr:uid="{00000000-0005-0000-0000-0000F1640000}"/>
    <cellStyle name="Normal 67 4 3 3 2 2" xfId="35040" xr:uid="{00000000-0005-0000-0000-0000F2640000}"/>
    <cellStyle name="Normal 67 4 3 3 3" xfId="26993" xr:uid="{00000000-0005-0000-0000-0000F3640000}"/>
    <cellStyle name="Normal 67 4 3 4" xfId="14680" xr:uid="{00000000-0005-0000-0000-0000F4640000}"/>
    <cellStyle name="Normal 67 4 3 4 2" xfId="31228" xr:uid="{00000000-0005-0000-0000-0000F5640000}"/>
    <cellStyle name="Normal 67 4 3 5" xfId="23185" xr:uid="{00000000-0005-0000-0000-0000F6640000}"/>
    <cellStyle name="Normal 67 4 4" xfId="5366" xr:uid="{00000000-0005-0000-0000-0000F7640000}"/>
    <cellStyle name="Normal 67 4 4 2" xfId="9293" xr:uid="{00000000-0005-0000-0000-0000F8640000}"/>
    <cellStyle name="Normal 67 4 4 2 2" xfId="18467" xr:uid="{00000000-0005-0000-0000-0000F9640000}"/>
    <cellStyle name="Normal 67 4 4 2 2 2" xfId="35041" xr:uid="{00000000-0005-0000-0000-0000FA640000}"/>
    <cellStyle name="Normal 67 4 4 2 3" xfId="26994" xr:uid="{00000000-0005-0000-0000-0000FB640000}"/>
    <cellStyle name="Normal 67 4 4 3" xfId="14682" xr:uid="{00000000-0005-0000-0000-0000FC640000}"/>
    <cellStyle name="Normal 67 4 4 3 2" xfId="31230" xr:uid="{00000000-0005-0000-0000-0000FD640000}"/>
    <cellStyle name="Normal 67 4 4 4" xfId="23187" xr:uid="{00000000-0005-0000-0000-0000FE640000}"/>
    <cellStyle name="Normal 67 4 5" xfId="9294" xr:uid="{00000000-0005-0000-0000-0000FF640000}"/>
    <cellStyle name="Normal 67 4 5 2" xfId="18468" xr:uid="{00000000-0005-0000-0000-000000650000}"/>
    <cellStyle name="Normal 67 4 5 2 2" xfId="35042" xr:uid="{00000000-0005-0000-0000-000001650000}"/>
    <cellStyle name="Normal 67 4 5 3" xfId="26995" xr:uid="{00000000-0005-0000-0000-000002650000}"/>
    <cellStyle name="Normal 67 4 6" xfId="14675" xr:uid="{00000000-0005-0000-0000-000003650000}"/>
    <cellStyle name="Normal 67 4 6 2" xfId="31223" xr:uid="{00000000-0005-0000-0000-000004650000}"/>
    <cellStyle name="Normal 67 4 7" xfId="23180" xr:uid="{00000000-0005-0000-0000-000005650000}"/>
    <cellStyle name="Normal 67 5" xfId="5367" xr:uid="{00000000-0005-0000-0000-000006650000}"/>
    <cellStyle name="Normal 67 5 2" xfId="5368" xr:uid="{00000000-0005-0000-0000-000007650000}"/>
    <cellStyle name="Normal 67 5 2 2" xfId="5369" xr:uid="{00000000-0005-0000-0000-000008650000}"/>
    <cellStyle name="Normal 67 5 2 2 2" xfId="5370" xr:uid="{00000000-0005-0000-0000-000009650000}"/>
    <cellStyle name="Normal 67 5 2 2 2 2" xfId="9295" xr:uid="{00000000-0005-0000-0000-00000A650000}"/>
    <cellStyle name="Normal 67 5 2 2 2 2 2" xfId="18469" xr:uid="{00000000-0005-0000-0000-00000B650000}"/>
    <cellStyle name="Normal 67 5 2 2 2 2 2 2" xfId="35043" xr:uid="{00000000-0005-0000-0000-00000C650000}"/>
    <cellStyle name="Normal 67 5 2 2 2 2 3" xfId="26996" xr:uid="{00000000-0005-0000-0000-00000D650000}"/>
    <cellStyle name="Normal 67 5 2 2 2 3" xfId="14686" xr:uid="{00000000-0005-0000-0000-00000E650000}"/>
    <cellStyle name="Normal 67 5 2 2 2 3 2" xfId="31234" xr:uid="{00000000-0005-0000-0000-00000F650000}"/>
    <cellStyle name="Normal 67 5 2 2 2 4" xfId="23191" xr:uid="{00000000-0005-0000-0000-000010650000}"/>
    <cellStyle name="Normal 67 5 2 2 3" xfId="9296" xr:uid="{00000000-0005-0000-0000-000011650000}"/>
    <cellStyle name="Normal 67 5 2 2 3 2" xfId="18470" xr:uid="{00000000-0005-0000-0000-000012650000}"/>
    <cellStyle name="Normal 67 5 2 2 3 2 2" xfId="35044" xr:uid="{00000000-0005-0000-0000-000013650000}"/>
    <cellStyle name="Normal 67 5 2 2 3 3" xfId="26997" xr:uid="{00000000-0005-0000-0000-000014650000}"/>
    <cellStyle name="Normal 67 5 2 2 4" xfId="14685" xr:uid="{00000000-0005-0000-0000-000015650000}"/>
    <cellStyle name="Normal 67 5 2 2 4 2" xfId="31233" xr:uid="{00000000-0005-0000-0000-000016650000}"/>
    <cellStyle name="Normal 67 5 2 2 5" xfId="23190" xr:uid="{00000000-0005-0000-0000-000017650000}"/>
    <cellStyle name="Normal 67 5 2 3" xfId="5371" xr:uid="{00000000-0005-0000-0000-000018650000}"/>
    <cellStyle name="Normal 67 5 2 3 2" xfId="9297" xr:uid="{00000000-0005-0000-0000-000019650000}"/>
    <cellStyle name="Normal 67 5 2 3 2 2" xfId="18471" xr:uid="{00000000-0005-0000-0000-00001A650000}"/>
    <cellStyle name="Normal 67 5 2 3 2 2 2" xfId="35045" xr:uid="{00000000-0005-0000-0000-00001B650000}"/>
    <cellStyle name="Normal 67 5 2 3 2 3" xfId="26998" xr:uid="{00000000-0005-0000-0000-00001C650000}"/>
    <cellStyle name="Normal 67 5 2 3 3" xfId="14687" xr:uid="{00000000-0005-0000-0000-00001D650000}"/>
    <cellStyle name="Normal 67 5 2 3 3 2" xfId="31235" xr:uid="{00000000-0005-0000-0000-00001E650000}"/>
    <cellStyle name="Normal 67 5 2 3 4" xfId="23192" xr:uid="{00000000-0005-0000-0000-00001F650000}"/>
    <cellStyle name="Normal 67 5 2 4" xfId="9298" xr:uid="{00000000-0005-0000-0000-000020650000}"/>
    <cellStyle name="Normal 67 5 2 4 2" xfId="18472" xr:uid="{00000000-0005-0000-0000-000021650000}"/>
    <cellStyle name="Normal 67 5 2 4 2 2" xfId="35046" xr:uid="{00000000-0005-0000-0000-000022650000}"/>
    <cellStyle name="Normal 67 5 2 4 3" xfId="26999" xr:uid="{00000000-0005-0000-0000-000023650000}"/>
    <cellStyle name="Normal 67 5 2 5" xfId="14684" xr:uid="{00000000-0005-0000-0000-000024650000}"/>
    <cellStyle name="Normal 67 5 2 5 2" xfId="31232" xr:uid="{00000000-0005-0000-0000-000025650000}"/>
    <cellStyle name="Normal 67 5 2 6" xfId="23189" xr:uid="{00000000-0005-0000-0000-000026650000}"/>
    <cellStyle name="Normal 67 5 3" xfId="5372" xr:uid="{00000000-0005-0000-0000-000027650000}"/>
    <cellStyle name="Normal 67 5 3 2" xfId="5373" xr:uid="{00000000-0005-0000-0000-000028650000}"/>
    <cellStyle name="Normal 67 5 3 2 2" xfId="9299" xr:uid="{00000000-0005-0000-0000-000029650000}"/>
    <cellStyle name="Normal 67 5 3 2 2 2" xfId="18473" xr:uid="{00000000-0005-0000-0000-00002A650000}"/>
    <cellStyle name="Normal 67 5 3 2 2 2 2" xfId="35047" xr:uid="{00000000-0005-0000-0000-00002B650000}"/>
    <cellStyle name="Normal 67 5 3 2 2 3" xfId="27000" xr:uid="{00000000-0005-0000-0000-00002C650000}"/>
    <cellStyle name="Normal 67 5 3 2 3" xfId="14689" xr:uid="{00000000-0005-0000-0000-00002D650000}"/>
    <cellStyle name="Normal 67 5 3 2 3 2" xfId="31237" xr:uid="{00000000-0005-0000-0000-00002E650000}"/>
    <cellStyle name="Normal 67 5 3 2 4" xfId="23194" xr:uid="{00000000-0005-0000-0000-00002F650000}"/>
    <cellStyle name="Normal 67 5 3 3" xfId="9300" xr:uid="{00000000-0005-0000-0000-000030650000}"/>
    <cellStyle name="Normal 67 5 3 3 2" xfId="18474" xr:uid="{00000000-0005-0000-0000-000031650000}"/>
    <cellStyle name="Normal 67 5 3 3 2 2" xfId="35048" xr:uid="{00000000-0005-0000-0000-000032650000}"/>
    <cellStyle name="Normal 67 5 3 3 3" xfId="27001" xr:uid="{00000000-0005-0000-0000-000033650000}"/>
    <cellStyle name="Normal 67 5 3 4" xfId="14688" xr:uid="{00000000-0005-0000-0000-000034650000}"/>
    <cellStyle name="Normal 67 5 3 4 2" xfId="31236" xr:uid="{00000000-0005-0000-0000-000035650000}"/>
    <cellStyle name="Normal 67 5 3 5" xfId="23193" xr:uid="{00000000-0005-0000-0000-000036650000}"/>
    <cellStyle name="Normal 67 5 4" xfId="5374" xr:uid="{00000000-0005-0000-0000-000037650000}"/>
    <cellStyle name="Normal 67 5 4 2" xfId="9301" xr:uid="{00000000-0005-0000-0000-000038650000}"/>
    <cellStyle name="Normal 67 5 4 2 2" xfId="18475" xr:uid="{00000000-0005-0000-0000-000039650000}"/>
    <cellStyle name="Normal 67 5 4 2 2 2" xfId="35049" xr:uid="{00000000-0005-0000-0000-00003A650000}"/>
    <cellStyle name="Normal 67 5 4 2 3" xfId="27002" xr:uid="{00000000-0005-0000-0000-00003B650000}"/>
    <cellStyle name="Normal 67 5 4 3" xfId="14690" xr:uid="{00000000-0005-0000-0000-00003C650000}"/>
    <cellStyle name="Normal 67 5 4 3 2" xfId="31238" xr:uid="{00000000-0005-0000-0000-00003D650000}"/>
    <cellStyle name="Normal 67 5 4 4" xfId="23195" xr:uid="{00000000-0005-0000-0000-00003E650000}"/>
    <cellStyle name="Normal 67 5 5" xfId="9302" xr:uid="{00000000-0005-0000-0000-00003F650000}"/>
    <cellStyle name="Normal 67 5 5 2" xfId="18476" xr:uid="{00000000-0005-0000-0000-000040650000}"/>
    <cellStyle name="Normal 67 5 5 2 2" xfId="35050" xr:uid="{00000000-0005-0000-0000-000041650000}"/>
    <cellStyle name="Normal 67 5 5 3" xfId="27003" xr:uid="{00000000-0005-0000-0000-000042650000}"/>
    <cellStyle name="Normal 67 5 6" xfId="14683" xr:uid="{00000000-0005-0000-0000-000043650000}"/>
    <cellStyle name="Normal 67 5 6 2" xfId="31231" xr:uid="{00000000-0005-0000-0000-000044650000}"/>
    <cellStyle name="Normal 67 5 7" xfId="23188" xr:uid="{00000000-0005-0000-0000-000045650000}"/>
    <cellStyle name="Normal 67 6" xfId="5375" xr:uid="{00000000-0005-0000-0000-000046650000}"/>
    <cellStyle name="Normal 67 6 2" xfId="5376" xr:uid="{00000000-0005-0000-0000-000047650000}"/>
    <cellStyle name="Normal 67 6 2 2" xfId="5377" xr:uid="{00000000-0005-0000-0000-000048650000}"/>
    <cellStyle name="Normal 67 6 2 2 2" xfId="9303" xr:uid="{00000000-0005-0000-0000-000049650000}"/>
    <cellStyle name="Normal 67 6 2 2 2 2" xfId="18477" xr:uid="{00000000-0005-0000-0000-00004A650000}"/>
    <cellStyle name="Normal 67 6 2 2 2 2 2" xfId="35051" xr:uid="{00000000-0005-0000-0000-00004B650000}"/>
    <cellStyle name="Normal 67 6 2 2 2 3" xfId="27004" xr:uid="{00000000-0005-0000-0000-00004C650000}"/>
    <cellStyle name="Normal 67 6 2 2 3" xfId="14693" xr:uid="{00000000-0005-0000-0000-00004D650000}"/>
    <cellStyle name="Normal 67 6 2 2 3 2" xfId="31241" xr:uid="{00000000-0005-0000-0000-00004E650000}"/>
    <cellStyle name="Normal 67 6 2 2 4" xfId="23198" xr:uid="{00000000-0005-0000-0000-00004F650000}"/>
    <cellStyle name="Normal 67 6 2 3" xfId="9304" xr:uid="{00000000-0005-0000-0000-000050650000}"/>
    <cellStyle name="Normal 67 6 2 3 2" xfId="18478" xr:uid="{00000000-0005-0000-0000-000051650000}"/>
    <cellStyle name="Normal 67 6 2 3 2 2" xfId="35052" xr:uid="{00000000-0005-0000-0000-000052650000}"/>
    <cellStyle name="Normal 67 6 2 3 3" xfId="27005" xr:uid="{00000000-0005-0000-0000-000053650000}"/>
    <cellStyle name="Normal 67 6 2 4" xfId="14692" xr:uid="{00000000-0005-0000-0000-000054650000}"/>
    <cellStyle name="Normal 67 6 2 4 2" xfId="31240" xr:uid="{00000000-0005-0000-0000-000055650000}"/>
    <cellStyle name="Normal 67 6 2 5" xfId="23197" xr:uid="{00000000-0005-0000-0000-000056650000}"/>
    <cellStyle name="Normal 67 6 3" xfId="5378" xr:uid="{00000000-0005-0000-0000-000057650000}"/>
    <cellStyle name="Normal 67 6 3 2" xfId="9305" xr:uid="{00000000-0005-0000-0000-000058650000}"/>
    <cellStyle name="Normal 67 6 3 2 2" xfId="18479" xr:uid="{00000000-0005-0000-0000-000059650000}"/>
    <cellStyle name="Normal 67 6 3 2 2 2" xfId="35053" xr:uid="{00000000-0005-0000-0000-00005A650000}"/>
    <cellStyle name="Normal 67 6 3 2 3" xfId="27006" xr:uid="{00000000-0005-0000-0000-00005B650000}"/>
    <cellStyle name="Normal 67 6 3 3" xfId="14694" xr:uid="{00000000-0005-0000-0000-00005C650000}"/>
    <cellStyle name="Normal 67 6 3 3 2" xfId="31242" xr:uid="{00000000-0005-0000-0000-00005D650000}"/>
    <cellStyle name="Normal 67 6 3 4" xfId="23199" xr:uid="{00000000-0005-0000-0000-00005E650000}"/>
    <cellStyle name="Normal 67 6 4" xfId="9306" xr:uid="{00000000-0005-0000-0000-00005F650000}"/>
    <cellStyle name="Normal 67 6 4 2" xfId="18480" xr:uid="{00000000-0005-0000-0000-000060650000}"/>
    <cellStyle name="Normal 67 6 4 2 2" xfId="35054" xr:uid="{00000000-0005-0000-0000-000061650000}"/>
    <cellStyle name="Normal 67 6 4 3" xfId="27007" xr:uid="{00000000-0005-0000-0000-000062650000}"/>
    <cellStyle name="Normal 67 6 5" xfId="14691" xr:uid="{00000000-0005-0000-0000-000063650000}"/>
    <cellStyle name="Normal 67 6 5 2" xfId="31239" xr:uid="{00000000-0005-0000-0000-000064650000}"/>
    <cellStyle name="Normal 67 6 6" xfId="23196" xr:uid="{00000000-0005-0000-0000-000065650000}"/>
    <cellStyle name="Normal 67 7" xfId="5379" xr:uid="{00000000-0005-0000-0000-000066650000}"/>
    <cellStyle name="Normal 67 7 2" xfId="5380" xr:uid="{00000000-0005-0000-0000-000067650000}"/>
    <cellStyle name="Normal 67 7 2 2" xfId="9307" xr:uid="{00000000-0005-0000-0000-000068650000}"/>
    <cellStyle name="Normal 67 7 2 2 2" xfId="18481" xr:uid="{00000000-0005-0000-0000-000069650000}"/>
    <cellStyle name="Normal 67 7 2 2 2 2" xfId="35055" xr:uid="{00000000-0005-0000-0000-00006A650000}"/>
    <cellStyle name="Normal 67 7 2 2 3" xfId="27008" xr:uid="{00000000-0005-0000-0000-00006B650000}"/>
    <cellStyle name="Normal 67 7 2 3" xfId="14696" xr:uid="{00000000-0005-0000-0000-00006C650000}"/>
    <cellStyle name="Normal 67 7 2 3 2" xfId="31244" xr:uid="{00000000-0005-0000-0000-00006D650000}"/>
    <cellStyle name="Normal 67 7 2 4" xfId="23201" xr:uid="{00000000-0005-0000-0000-00006E650000}"/>
    <cellStyle name="Normal 67 7 3" xfId="9308" xr:uid="{00000000-0005-0000-0000-00006F650000}"/>
    <cellStyle name="Normal 67 7 3 2" xfId="18482" xr:uid="{00000000-0005-0000-0000-000070650000}"/>
    <cellStyle name="Normal 67 7 3 2 2" xfId="35056" xr:uid="{00000000-0005-0000-0000-000071650000}"/>
    <cellStyle name="Normal 67 7 3 3" xfId="27009" xr:uid="{00000000-0005-0000-0000-000072650000}"/>
    <cellStyle name="Normal 67 7 4" xfId="14695" xr:uid="{00000000-0005-0000-0000-000073650000}"/>
    <cellStyle name="Normal 67 7 4 2" xfId="31243" xr:uid="{00000000-0005-0000-0000-000074650000}"/>
    <cellStyle name="Normal 67 7 5" xfId="23200" xr:uid="{00000000-0005-0000-0000-000075650000}"/>
    <cellStyle name="Normal 67 8" xfId="5381" xr:uid="{00000000-0005-0000-0000-000076650000}"/>
    <cellStyle name="Normal 67 8 2" xfId="9309" xr:uid="{00000000-0005-0000-0000-000077650000}"/>
    <cellStyle name="Normal 67 8 2 2" xfId="18483" xr:uid="{00000000-0005-0000-0000-000078650000}"/>
    <cellStyle name="Normal 67 8 2 2 2" xfId="35057" xr:uid="{00000000-0005-0000-0000-000079650000}"/>
    <cellStyle name="Normal 67 8 2 3" xfId="27010" xr:uid="{00000000-0005-0000-0000-00007A650000}"/>
    <cellStyle name="Normal 67 8 3" xfId="14697" xr:uid="{00000000-0005-0000-0000-00007B650000}"/>
    <cellStyle name="Normal 67 8 3 2" xfId="31245" xr:uid="{00000000-0005-0000-0000-00007C650000}"/>
    <cellStyle name="Normal 67 8 4" xfId="23202" xr:uid="{00000000-0005-0000-0000-00007D650000}"/>
    <cellStyle name="Normal 67 9" xfId="9310" xr:uid="{00000000-0005-0000-0000-00007E650000}"/>
    <cellStyle name="Normal 67 9 2" xfId="18484" xr:uid="{00000000-0005-0000-0000-00007F650000}"/>
    <cellStyle name="Normal 67 9 2 2" xfId="35058" xr:uid="{00000000-0005-0000-0000-000080650000}"/>
    <cellStyle name="Normal 67 9 3" xfId="27011" xr:uid="{00000000-0005-0000-0000-000081650000}"/>
    <cellStyle name="Normal 68" xfId="5382" xr:uid="{00000000-0005-0000-0000-000082650000}"/>
    <cellStyle name="Normal 68 10" xfId="14698" xr:uid="{00000000-0005-0000-0000-000083650000}"/>
    <cellStyle name="Normal 68 10 2" xfId="31246" xr:uid="{00000000-0005-0000-0000-000084650000}"/>
    <cellStyle name="Normal 68 11" xfId="23203" xr:uid="{00000000-0005-0000-0000-000085650000}"/>
    <cellStyle name="Normal 68 2" xfId="5383" xr:uid="{00000000-0005-0000-0000-000086650000}"/>
    <cellStyle name="Normal 68 2 2" xfId="5384" xr:uid="{00000000-0005-0000-0000-000087650000}"/>
    <cellStyle name="Normal 68 2 3" xfId="14699" xr:uid="{00000000-0005-0000-0000-000088650000}"/>
    <cellStyle name="Normal 68 2 3 2" xfId="31247" xr:uid="{00000000-0005-0000-0000-000089650000}"/>
    <cellStyle name="Normal 68 2 4" xfId="23204" xr:uid="{00000000-0005-0000-0000-00008A650000}"/>
    <cellStyle name="Normal 68 3" xfId="5385" xr:uid="{00000000-0005-0000-0000-00008B650000}"/>
    <cellStyle name="Normal 68 3 2" xfId="5386" xr:uid="{00000000-0005-0000-0000-00008C650000}"/>
    <cellStyle name="Normal 68 3 2 2" xfId="5387" xr:uid="{00000000-0005-0000-0000-00008D650000}"/>
    <cellStyle name="Normal 68 3 2 2 2" xfId="5388" xr:uid="{00000000-0005-0000-0000-00008E650000}"/>
    <cellStyle name="Normal 68 3 2 2 2 2" xfId="9311" xr:uid="{00000000-0005-0000-0000-00008F650000}"/>
    <cellStyle name="Normal 68 3 2 2 2 2 2" xfId="18485" xr:uid="{00000000-0005-0000-0000-000090650000}"/>
    <cellStyle name="Normal 68 3 2 2 2 2 2 2" xfId="35059" xr:uid="{00000000-0005-0000-0000-000091650000}"/>
    <cellStyle name="Normal 68 3 2 2 2 2 3" xfId="27012" xr:uid="{00000000-0005-0000-0000-000092650000}"/>
    <cellStyle name="Normal 68 3 2 2 2 3" xfId="14702" xr:uid="{00000000-0005-0000-0000-000093650000}"/>
    <cellStyle name="Normal 68 3 2 2 2 3 2" xfId="31250" xr:uid="{00000000-0005-0000-0000-000094650000}"/>
    <cellStyle name="Normal 68 3 2 2 2 4" xfId="23207" xr:uid="{00000000-0005-0000-0000-000095650000}"/>
    <cellStyle name="Normal 68 3 2 2 3" xfId="9312" xr:uid="{00000000-0005-0000-0000-000096650000}"/>
    <cellStyle name="Normal 68 3 2 2 3 2" xfId="18486" xr:uid="{00000000-0005-0000-0000-000097650000}"/>
    <cellStyle name="Normal 68 3 2 2 3 2 2" xfId="35060" xr:uid="{00000000-0005-0000-0000-000098650000}"/>
    <cellStyle name="Normal 68 3 2 2 3 3" xfId="27013" xr:uid="{00000000-0005-0000-0000-000099650000}"/>
    <cellStyle name="Normal 68 3 2 2 4" xfId="14701" xr:uid="{00000000-0005-0000-0000-00009A650000}"/>
    <cellStyle name="Normal 68 3 2 2 4 2" xfId="31249" xr:uid="{00000000-0005-0000-0000-00009B650000}"/>
    <cellStyle name="Normal 68 3 2 2 5" xfId="23206" xr:uid="{00000000-0005-0000-0000-00009C650000}"/>
    <cellStyle name="Normal 68 3 2 3" xfId="5389" xr:uid="{00000000-0005-0000-0000-00009D650000}"/>
    <cellStyle name="Normal 68 3 2 3 2" xfId="9313" xr:uid="{00000000-0005-0000-0000-00009E650000}"/>
    <cellStyle name="Normal 68 3 2 3 2 2" xfId="18487" xr:uid="{00000000-0005-0000-0000-00009F650000}"/>
    <cellStyle name="Normal 68 3 2 3 2 2 2" xfId="35061" xr:uid="{00000000-0005-0000-0000-0000A0650000}"/>
    <cellStyle name="Normal 68 3 2 3 2 3" xfId="27014" xr:uid="{00000000-0005-0000-0000-0000A1650000}"/>
    <cellStyle name="Normal 68 3 2 3 3" xfId="14703" xr:uid="{00000000-0005-0000-0000-0000A2650000}"/>
    <cellStyle name="Normal 68 3 2 3 3 2" xfId="31251" xr:uid="{00000000-0005-0000-0000-0000A3650000}"/>
    <cellStyle name="Normal 68 3 2 3 4" xfId="23208" xr:uid="{00000000-0005-0000-0000-0000A4650000}"/>
    <cellStyle name="Normal 68 3 2 4" xfId="9314" xr:uid="{00000000-0005-0000-0000-0000A5650000}"/>
    <cellStyle name="Normal 68 3 2 4 2" xfId="18488" xr:uid="{00000000-0005-0000-0000-0000A6650000}"/>
    <cellStyle name="Normal 68 3 2 4 2 2" xfId="35062" xr:uid="{00000000-0005-0000-0000-0000A7650000}"/>
    <cellStyle name="Normal 68 3 2 4 3" xfId="27015" xr:uid="{00000000-0005-0000-0000-0000A8650000}"/>
    <cellStyle name="Normal 68 3 2 5" xfId="14700" xr:uid="{00000000-0005-0000-0000-0000A9650000}"/>
    <cellStyle name="Normal 68 3 2 5 2" xfId="31248" xr:uid="{00000000-0005-0000-0000-0000AA650000}"/>
    <cellStyle name="Normal 68 3 2 6" xfId="23205" xr:uid="{00000000-0005-0000-0000-0000AB650000}"/>
    <cellStyle name="Normal 68 3 3" xfId="5390" xr:uid="{00000000-0005-0000-0000-0000AC650000}"/>
    <cellStyle name="Normal 68 3 3 2" xfId="5391" xr:uid="{00000000-0005-0000-0000-0000AD650000}"/>
    <cellStyle name="Normal 68 3 3 2 2" xfId="9315" xr:uid="{00000000-0005-0000-0000-0000AE650000}"/>
    <cellStyle name="Normal 68 3 3 2 2 2" xfId="18489" xr:uid="{00000000-0005-0000-0000-0000AF650000}"/>
    <cellStyle name="Normal 68 3 3 2 2 2 2" xfId="35063" xr:uid="{00000000-0005-0000-0000-0000B0650000}"/>
    <cellStyle name="Normal 68 3 3 2 2 3" xfId="27016" xr:uid="{00000000-0005-0000-0000-0000B1650000}"/>
    <cellStyle name="Normal 68 3 3 2 3" xfId="14705" xr:uid="{00000000-0005-0000-0000-0000B2650000}"/>
    <cellStyle name="Normal 68 3 3 2 3 2" xfId="31253" xr:uid="{00000000-0005-0000-0000-0000B3650000}"/>
    <cellStyle name="Normal 68 3 3 2 4" xfId="23210" xr:uid="{00000000-0005-0000-0000-0000B4650000}"/>
    <cellStyle name="Normal 68 3 3 3" xfId="9316" xr:uid="{00000000-0005-0000-0000-0000B5650000}"/>
    <cellStyle name="Normal 68 3 3 3 2" xfId="18490" xr:uid="{00000000-0005-0000-0000-0000B6650000}"/>
    <cellStyle name="Normal 68 3 3 3 2 2" xfId="35064" xr:uid="{00000000-0005-0000-0000-0000B7650000}"/>
    <cellStyle name="Normal 68 3 3 3 3" xfId="27017" xr:uid="{00000000-0005-0000-0000-0000B8650000}"/>
    <cellStyle name="Normal 68 3 3 4" xfId="14704" xr:uid="{00000000-0005-0000-0000-0000B9650000}"/>
    <cellStyle name="Normal 68 3 3 4 2" xfId="31252" xr:uid="{00000000-0005-0000-0000-0000BA650000}"/>
    <cellStyle name="Normal 68 3 3 5" xfId="23209" xr:uid="{00000000-0005-0000-0000-0000BB650000}"/>
    <cellStyle name="Normal 68 3 4" xfId="5392" xr:uid="{00000000-0005-0000-0000-0000BC650000}"/>
    <cellStyle name="Normal 68 3 4 2" xfId="9317" xr:uid="{00000000-0005-0000-0000-0000BD650000}"/>
    <cellStyle name="Normal 68 3 4 2 2" xfId="18491" xr:uid="{00000000-0005-0000-0000-0000BE650000}"/>
    <cellStyle name="Normal 68 3 4 2 2 2" xfId="35065" xr:uid="{00000000-0005-0000-0000-0000BF650000}"/>
    <cellStyle name="Normal 68 3 4 2 3" xfId="27018" xr:uid="{00000000-0005-0000-0000-0000C0650000}"/>
    <cellStyle name="Normal 68 3 4 3" xfId="14706" xr:uid="{00000000-0005-0000-0000-0000C1650000}"/>
    <cellStyle name="Normal 68 3 4 3 2" xfId="31254" xr:uid="{00000000-0005-0000-0000-0000C2650000}"/>
    <cellStyle name="Normal 68 3 4 4" xfId="23211" xr:uid="{00000000-0005-0000-0000-0000C3650000}"/>
    <cellStyle name="Normal 68 3 5" xfId="5393" xr:uid="{00000000-0005-0000-0000-0000C4650000}"/>
    <cellStyle name="Normal 68 3 5 2" xfId="14707" xr:uid="{00000000-0005-0000-0000-0000C5650000}"/>
    <cellStyle name="Normal 68 3 5 2 2" xfId="31255" xr:uid="{00000000-0005-0000-0000-0000C6650000}"/>
    <cellStyle name="Normal 68 3 5 3" xfId="23212" xr:uid="{00000000-0005-0000-0000-0000C7650000}"/>
    <cellStyle name="Normal 68 4" xfId="5394" xr:uid="{00000000-0005-0000-0000-0000C8650000}"/>
    <cellStyle name="Normal 68 4 2" xfId="5395" xr:uid="{00000000-0005-0000-0000-0000C9650000}"/>
    <cellStyle name="Normal 68 4 2 2" xfId="5396" xr:uid="{00000000-0005-0000-0000-0000CA650000}"/>
    <cellStyle name="Normal 68 4 2 2 2" xfId="5397" xr:uid="{00000000-0005-0000-0000-0000CB650000}"/>
    <cellStyle name="Normal 68 4 2 2 2 2" xfId="9318" xr:uid="{00000000-0005-0000-0000-0000CC650000}"/>
    <cellStyle name="Normal 68 4 2 2 2 2 2" xfId="18492" xr:uid="{00000000-0005-0000-0000-0000CD650000}"/>
    <cellStyle name="Normal 68 4 2 2 2 2 2 2" xfId="35066" xr:uid="{00000000-0005-0000-0000-0000CE650000}"/>
    <cellStyle name="Normal 68 4 2 2 2 2 3" xfId="27019" xr:uid="{00000000-0005-0000-0000-0000CF650000}"/>
    <cellStyle name="Normal 68 4 2 2 2 3" xfId="14711" xr:uid="{00000000-0005-0000-0000-0000D0650000}"/>
    <cellStyle name="Normal 68 4 2 2 2 3 2" xfId="31259" xr:uid="{00000000-0005-0000-0000-0000D1650000}"/>
    <cellStyle name="Normal 68 4 2 2 2 4" xfId="23216" xr:uid="{00000000-0005-0000-0000-0000D2650000}"/>
    <cellStyle name="Normal 68 4 2 2 3" xfId="9319" xr:uid="{00000000-0005-0000-0000-0000D3650000}"/>
    <cellStyle name="Normal 68 4 2 2 3 2" xfId="18493" xr:uid="{00000000-0005-0000-0000-0000D4650000}"/>
    <cellStyle name="Normal 68 4 2 2 3 2 2" xfId="35067" xr:uid="{00000000-0005-0000-0000-0000D5650000}"/>
    <cellStyle name="Normal 68 4 2 2 3 3" xfId="27020" xr:uid="{00000000-0005-0000-0000-0000D6650000}"/>
    <cellStyle name="Normal 68 4 2 2 4" xfId="14710" xr:uid="{00000000-0005-0000-0000-0000D7650000}"/>
    <cellStyle name="Normal 68 4 2 2 4 2" xfId="31258" xr:uid="{00000000-0005-0000-0000-0000D8650000}"/>
    <cellStyle name="Normal 68 4 2 2 5" xfId="23215" xr:uid="{00000000-0005-0000-0000-0000D9650000}"/>
    <cellStyle name="Normal 68 4 2 3" xfId="5398" xr:uid="{00000000-0005-0000-0000-0000DA650000}"/>
    <cellStyle name="Normal 68 4 2 3 2" xfId="9320" xr:uid="{00000000-0005-0000-0000-0000DB650000}"/>
    <cellStyle name="Normal 68 4 2 3 2 2" xfId="18494" xr:uid="{00000000-0005-0000-0000-0000DC650000}"/>
    <cellStyle name="Normal 68 4 2 3 2 2 2" xfId="35068" xr:uid="{00000000-0005-0000-0000-0000DD650000}"/>
    <cellStyle name="Normal 68 4 2 3 2 3" xfId="27021" xr:uid="{00000000-0005-0000-0000-0000DE650000}"/>
    <cellStyle name="Normal 68 4 2 3 3" xfId="14712" xr:uid="{00000000-0005-0000-0000-0000DF650000}"/>
    <cellStyle name="Normal 68 4 2 3 3 2" xfId="31260" xr:uid="{00000000-0005-0000-0000-0000E0650000}"/>
    <cellStyle name="Normal 68 4 2 3 4" xfId="23217" xr:uid="{00000000-0005-0000-0000-0000E1650000}"/>
    <cellStyle name="Normal 68 4 2 4" xfId="9321" xr:uid="{00000000-0005-0000-0000-0000E2650000}"/>
    <cellStyle name="Normal 68 4 2 4 2" xfId="18495" xr:uid="{00000000-0005-0000-0000-0000E3650000}"/>
    <cellStyle name="Normal 68 4 2 4 2 2" xfId="35069" xr:uid="{00000000-0005-0000-0000-0000E4650000}"/>
    <cellStyle name="Normal 68 4 2 4 3" xfId="27022" xr:uid="{00000000-0005-0000-0000-0000E5650000}"/>
    <cellStyle name="Normal 68 4 2 5" xfId="14709" xr:uid="{00000000-0005-0000-0000-0000E6650000}"/>
    <cellStyle name="Normal 68 4 2 5 2" xfId="31257" xr:uid="{00000000-0005-0000-0000-0000E7650000}"/>
    <cellStyle name="Normal 68 4 2 6" xfId="23214" xr:uid="{00000000-0005-0000-0000-0000E8650000}"/>
    <cellStyle name="Normal 68 4 3" xfId="5399" xr:uid="{00000000-0005-0000-0000-0000E9650000}"/>
    <cellStyle name="Normal 68 4 3 2" xfId="5400" xr:uid="{00000000-0005-0000-0000-0000EA650000}"/>
    <cellStyle name="Normal 68 4 3 2 2" xfId="9322" xr:uid="{00000000-0005-0000-0000-0000EB650000}"/>
    <cellStyle name="Normal 68 4 3 2 2 2" xfId="18496" xr:uid="{00000000-0005-0000-0000-0000EC650000}"/>
    <cellStyle name="Normal 68 4 3 2 2 2 2" xfId="35070" xr:uid="{00000000-0005-0000-0000-0000ED650000}"/>
    <cellStyle name="Normal 68 4 3 2 2 3" xfId="27023" xr:uid="{00000000-0005-0000-0000-0000EE650000}"/>
    <cellStyle name="Normal 68 4 3 2 3" xfId="14714" xr:uid="{00000000-0005-0000-0000-0000EF650000}"/>
    <cellStyle name="Normal 68 4 3 2 3 2" xfId="31262" xr:uid="{00000000-0005-0000-0000-0000F0650000}"/>
    <cellStyle name="Normal 68 4 3 2 4" xfId="23219" xr:uid="{00000000-0005-0000-0000-0000F1650000}"/>
    <cellStyle name="Normal 68 4 3 3" xfId="9323" xr:uid="{00000000-0005-0000-0000-0000F2650000}"/>
    <cellStyle name="Normal 68 4 3 3 2" xfId="18497" xr:uid="{00000000-0005-0000-0000-0000F3650000}"/>
    <cellStyle name="Normal 68 4 3 3 2 2" xfId="35071" xr:uid="{00000000-0005-0000-0000-0000F4650000}"/>
    <cellStyle name="Normal 68 4 3 3 3" xfId="27024" xr:uid="{00000000-0005-0000-0000-0000F5650000}"/>
    <cellStyle name="Normal 68 4 3 4" xfId="14713" xr:uid="{00000000-0005-0000-0000-0000F6650000}"/>
    <cellStyle name="Normal 68 4 3 4 2" xfId="31261" xr:uid="{00000000-0005-0000-0000-0000F7650000}"/>
    <cellStyle name="Normal 68 4 3 5" xfId="23218" xr:uid="{00000000-0005-0000-0000-0000F8650000}"/>
    <cellStyle name="Normal 68 4 4" xfId="5401" xr:uid="{00000000-0005-0000-0000-0000F9650000}"/>
    <cellStyle name="Normal 68 4 4 2" xfId="9324" xr:uid="{00000000-0005-0000-0000-0000FA650000}"/>
    <cellStyle name="Normal 68 4 4 2 2" xfId="18498" xr:uid="{00000000-0005-0000-0000-0000FB650000}"/>
    <cellStyle name="Normal 68 4 4 2 2 2" xfId="35072" xr:uid="{00000000-0005-0000-0000-0000FC650000}"/>
    <cellStyle name="Normal 68 4 4 2 3" xfId="27025" xr:uid="{00000000-0005-0000-0000-0000FD650000}"/>
    <cellStyle name="Normal 68 4 4 3" xfId="14715" xr:uid="{00000000-0005-0000-0000-0000FE650000}"/>
    <cellStyle name="Normal 68 4 4 3 2" xfId="31263" xr:uid="{00000000-0005-0000-0000-0000FF650000}"/>
    <cellStyle name="Normal 68 4 4 4" xfId="23220" xr:uid="{00000000-0005-0000-0000-000000660000}"/>
    <cellStyle name="Normal 68 4 5" xfId="9325" xr:uid="{00000000-0005-0000-0000-000001660000}"/>
    <cellStyle name="Normal 68 4 5 2" xfId="18499" xr:uid="{00000000-0005-0000-0000-000002660000}"/>
    <cellStyle name="Normal 68 4 5 2 2" xfId="35073" xr:uid="{00000000-0005-0000-0000-000003660000}"/>
    <cellStyle name="Normal 68 4 5 3" xfId="27026" xr:uid="{00000000-0005-0000-0000-000004660000}"/>
    <cellStyle name="Normal 68 4 6" xfId="14708" xr:uid="{00000000-0005-0000-0000-000005660000}"/>
    <cellStyle name="Normal 68 4 6 2" xfId="31256" xr:uid="{00000000-0005-0000-0000-000006660000}"/>
    <cellStyle name="Normal 68 4 7" xfId="23213" xr:uid="{00000000-0005-0000-0000-000007660000}"/>
    <cellStyle name="Normal 68 5" xfId="5402" xr:uid="{00000000-0005-0000-0000-000008660000}"/>
    <cellStyle name="Normal 68 5 2" xfId="5403" xr:uid="{00000000-0005-0000-0000-000009660000}"/>
    <cellStyle name="Normal 68 5 2 2" xfId="5404" xr:uid="{00000000-0005-0000-0000-00000A660000}"/>
    <cellStyle name="Normal 68 5 2 2 2" xfId="5405" xr:uid="{00000000-0005-0000-0000-00000B660000}"/>
    <cellStyle name="Normal 68 5 2 2 2 2" xfId="9326" xr:uid="{00000000-0005-0000-0000-00000C660000}"/>
    <cellStyle name="Normal 68 5 2 2 2 2 2" xfId="18500" xr:uid="{00000000-0005-0000-0000-00000D660000}"/>
    <cellStyle name="Normal 68 5 2 2 2 2 2 2" xfId="35074" xr:uid="{00000000-0005-0000-0000-00000E660000}"/>
    <cellStyle name="Normal 68 5 2 2 2 2 3" xfId="27027" xr:uid="{00000000-0005-0000-0000-00000F660000}"/>
    <cellStyle name="Normal 68 5 2 2 2 3" xfId="14719" xr:uid="{00000000-0005-0000-0000-000010660000}"/>
    <cellStyle name="Normal 68 5 2 2 2 3 2" xfId="31267" xr:uid="{00000000-0005-0000-0000-000011660000}"/>
    <cellStyle name="Normal 68 5 2 2 2 4" xfId="23224" xr:uid="{00000000-0005-0000-0000-000012660000}"/>
    <cellStyle name="Normal 68 5 2 2 3" xfId="9327" xr:uid="{00000000-0005-0000-0000-000013660000}"/>
    <cellStyle name="Normal 68 5 2 2 3 2" xfId="18501" xr:uid="{00000000-0005-0000-0000-000014660000}"/>
    <cellStyle name="Normal 68 5 2 2 3 2 2" xfId="35075" xr:uid="{00000000-0005-0000-0000-000015660000}"/>
    <cellStyle name="Normal 68 5 2 2 3 3" xfId="27028" xr:uid="{00000000-0005-0000-0000-000016660000}"/>
    <cellStyle name="Normal 68 5 2 2 4" xfId="14718" xr:uid="{00000000-0005-0000-0000-000017660000}"/>
    <cellStyle name="Normal 68 5 2 2 4 2" xfId="31266" xr:uid="{00000000-0005-0000-0000-000018660000}"/>
    <cellStyle name="Normal 68 5 2 2 5" xfId="23223" xr:uid="{00000000-0005-0000-0000-000019660000}"/>
    <cellStyle name="Normal 68 5 2 3" xfId="5406" xr:uid="{00000000-0005-0000-0000-00001A660000}"/>
    <cellStyle name="Normal 68 5 2 3 2" xfId="9328" xr:uid="{00000000-0005-0000-0000-00001B660000}"/>
    <cellStyle name="Normal 68 5 2 3 2 2" xfId="18502" xr:uid="{00000000-0005-0000-0000-00001C660000}"/>
    <cellStyle name="Normal 68 5 2 3 2 2 2" xfId="35076" xr:uid="{00000000-0005-0000-0000-00001D660000}"/>
    <cellStyle name="Normal 68 5 2 3 2 3" xfId="27029" xr:uid="{00000000-0005-0000-0000-00001E660000}"/>
    <cellStyle name="Normal 68 5 2 3 3" xfId="14720" xr:uid="{00000000-0005-0000-0000-00001F660000}"/>
    <cellStyle name="Normal 68 5 2 3 3 2" xfId="31268" xr:uid="{00000000-0005-0000-0000-000020660000}"/>
    <cellStyle name="Normal 68 5 2 3 4" xfId="23225" xr:uid="{00000000-0005-0000-0000-000021660000}"/>
    <cellStyle name="Normal 68 5 2 4" xfId="9329" xr:uid="{00000000-0005-0000-0000-000022660000}"/>
    <cellStyle name="Normal 68 5 2 4 2" xfId="18503" xr:uid="{00000000-0005-0000-0000-000023660000}"/>
    <cellStyle name="Normal 68 5 2 4 2 2" xfId="35077" xr:uid="{00000000-0005-0000-0000-000024660000}"/>
    <cellStyle name="Normal 68 5 2 4 3" xfId="27030" xr:uid="{00000000-0005-0000-0000-000025660000}"/>
    <cellStyle name="Normal 68 5 2 5" xfId="14717" xr:uid="{00000000-0005-0000-0000-000026660000}"/>
    <cellStyle name="Normal 68 5 2 5 2" xfId="31265" xr:uid="{00000000-0005-0000-0000-000027660000}"/>
    <cellStyle name="Normal 68 5 2 6" xfId="23222" xr:uid="{00000000-0005-0000-0000-000028660000}"/>
    <cellStyle name="Normal 68 5 3" xfId="5407" xr:uid="{00000000-0005-0000-0000-000029660000}"/>
    <cellStyle name="Normal 68 5 3 2" xfId="5408" xr:uid="{00000000-0005-0000-0000-00002A660000}"/>
    <cellStyle name="Normal 68 5 3 2 2" xfId="9330" xr:uid="{00000000-0005-0000-0000-00002B660000}"/>
    <cellStyle name="Normal 68 5 3 2 2 2" xfId="18504" xr:uid="{00000000-0005-0000-0000-00002C660000}"/>
    <cellStyle name="Normal 68 5 3 2 2 2 2" xfId="35078" xr:uid="{00000000-0005-0000-0000-00002D660000}"/>
    <cellStyle name="Normal 68 5 3 2 2 3" xfId="27031" xr:uid="{00000000-0005-0000-0000-00002E660000}"/>
    <cellStyle name="Normal 68 5 3 2 3" xfId="14722" xr:uid="{00000000-0005-0000-0000-00002F660000}"/>
    <cellStyle name="Normal 68 5 3 2 3 2" xfId="31270" xr:uid="{00000000-0005-0000-0000-000030660000}"/>
    <cellStyle name="Normal 68 5 3 2 4" xfId="23227" xr:uid="{00000000-0005-0000-0000-000031660000}"/>
    <cellStyle name="Normal 68 5 3 3" xfId="9331" xr:uid="{00000000-0005-0000-0000-000032660000}"/>
    <cellStyle name="Normal 68 5 3 3 2" xfId="18505" xr:uid="{00000000-0005-0000-0000-000033660000}"/>
    <cellStyle name="Normal 68 5 3 3 2 2" xfId="35079" xr:uid="{00000000-0005-0000-0000-000034660000}"/>
    <cellStyle name="Normal 68 5 3 3 3" xfId="27032" xr:uid="{00000000-0005-0000-0000-000035660000}"/>
    <cellStyle name="Normal 68 5 3 4" xfId="14721" xr:uid="{00000000-0005-0000-0000-000036660000}"/>
    <cellStyle name="Normal 68 5 3 4 2" xfId="31269" xr:uid="{00000000-0005-0000-0000-000037660000}"/>
    <cellStyle name="Normal 68 5 3 5" xfId="23226" xr:uid="{00000000-0005-0000-0000-000038660000}"/>
    <cellStyle name="Normal 68 5 4" xfId="5409" xr:uid="{00000000-0005-0000-0000-000039660000}"/>
    <cellStyle name="Normal 68 5 4 2" xfId="9332" xr:uid="{00000000-0005-0000-0000-00003A660000}"/>
    <cellStyle name="Normal 68 5 4 2 2" xfId="18506" xr:uid="{00000000-0005-0000-0000-00003B660000}"/>
    <cellStyle name="Normal 68 5 4 2 2 2" xfId="35080" xr:uid="{00000000-0005-0000-0000-00003C660000}"/>
    <cellStyle name="Normal 68 5 4 2 3" xfId="27033" xr:uid="{00000000-0005-0000-0000-00003D660000}"/>
    <cellStyle name="Normal 68 5 4 3" xfId="14723" xr:uid="{00000000-0005-0000-0000-00003E660000}"/>
    <cellStyle name="Normal 68 5 4 3 2" xfId="31271" xr:uid="{00000000-0005-0000-0000-00003F660000}"/>
    <cellStyle name="Normal 68 5 4 4" xfId="23228" xr:uid="{00000000-0005-0000-0000-000040660000}"/>
    <cellStyle name="Normal 68 5 5" xfId="9333" xr:uid="{00000000-0005-0000-0000-000041660000}"/>
    <cellStyle name="Normal 68 5 5 2" xfId="18507" xr:uid="{00000000-0005-0000-0000-000042660000}"/>
    <cellStyle name="Normal 68 5 5 2 2" xfId="35081" xr:uid="{00000000-0005-0000-0000-000043660000}"/>
    <cellStyle name="Normal 68 5 5 3" xfId="27034" xr:uid="{00000000-0005-0000-0000-000044660000}"/>
    <cellStyle name="Normal 68 5 6" xfId="14716" xr:uid="{00000000-0005-0000-0000-000045660000}"/>
    <cellStyle name="Normal 68 5 6 2" xfId="31264" xr:uid="{00000000-0005-0000-0000-000046660000}"/>
    <cellStyle name="Normal 68 5 7" xfId="23221" xr:uid="{00000000-0005-0000-0000-000047660000}"/>
    <cellStyle name="Normal 68 6" xfId="5410" xr:uid="{00000000-0005-0000-0000-000048660000}"/>
    <cellStyle name="Normal 68 6 2" xfId="5411" xr:uid="{00000000-0005-0000-0000-000049660000}"/>
    <cellStyle name="Normal 68 6 2 2" xfId="5412" xr:uid="{00000000-0005-0000-0000-00004A660000}"/>
    <cellStyle name="Normal 68 6 2 2 2" xfId="9334" xr:uid="{00000000-0005-0000-0000-00004B660000}"/>
    <cellStyle name="Normal 68 6 2 2 2 2" xfId="18508" xr:uid="{00000000-0005-0000-0000-00004C660000}"/>
    <cellStyle name="Normal 68 6 2 2 2 2 2" xfId="35082" xr:uid="{00000000-0005-0000-0000-00004D660000}"/>
    <cellStyle name="Normal 68 6 2 2 2 3" xfId="27035" xr:uid="{00000000-0005-0000-0000-00004E660000}"/>
    <cellStyle name="Normal 68 6 2 2 3" xfId="14726" xr:uid="{00000000-0005-0000-0000-00004F660000}"/>
    <cellStyle name="Normal 68 6 2 2 3 2" xfId="31274" xr:uid="{00000000-0005-0000-0000-000050660000}"/>
    <cellStyle name="Normal 68 6 2 2 4" xfId="23231" xr:uid="{00000000-0005-0000-0000-000051660000}"/>
    <cellStyle name="Normal 68 6 2 3" xfId="9335" xr:uid="{00000000-0005-0000-0000-000052660000}"/>
    <cellStyle name="Normal 68 6 2 3 2" xfId="18509" xr:uid="{00000000-0005-0000-0000-000053660000}"/>
    <cellStyle name="Normal 68 6 2 3 2 2" xfId="35083" xr:uid="{00000000-0005-0000-0000-000054660000}"/>
    <cellStyle name="Normal 68 6 2 3 3" xfId="27036" xr:uid="{00000000-0005-0000-0000-000055660000}"/>
    <cellStyle name="Normal 68 6 2 4" xfId="14725" xr:uid="{00000000-0005-0000-0000-000056660000}"/>
    <cellStyle name="Normal 68 6 2 4 2" xfId="31273" xr:uid="{00000000-0005-0000-0000-000057660000}"/>
    <cellStyle name="Normal 68 6 2 5" xfId="23230" xr:uid="{00000000-0005-0000-0000-000058660000}"/>
    <cellStyle name="Normal 68 6 3" xfId="5413" xr:uid="{00000000-0005-0000-0000-000059660000}"/>
    <cellStyle name="Normal 68 6 3 2" xfId="9336" xr:uid="{00000000-0005-0000-0000-00005A660000}"/>
    <cellStyle name="Normal 68 6 3 2 2" xfId="18510" xr:uid="{00000000-0005-0000-0000-00005B660000}"/>
    <cellStyle name="Normal 68 6 3 2 2 2" xfId="35084" xr:uid="{00000000-0005-0000-0000-00005C660000}"/>
    <cellStyle name="Normal 68 6 3 2 3" xfId="27037" xr:uid="{00000000-0005-0000-0000-00005D660000}"/>
    <cellStyle name="Normal 68 6 3 3" xfId="14727" xr:uid="{00000000-0005-0000-0000-00005E660000}"/>
    <cellStyle name="Normal 68 6 3 3 2" xfId="31275" xr:uid="{00000000-0005-0000-0000-00005F660000}"/>
    <cellStyle name="Normal 68 6 3 4" xfId="23232" xr:uid="{00000000-0005-0000-0000-000060660000}"/>
    <cellStyle name="Normal 68 6 4" xfId="9337" xr:uid="{00000000-0005-0000-0000-000061660000}"/>
    <cellStyle name="Normal 68 6 4 2" xfId="18511" xr:uid="{00000000-0005-0000-0000-000062660000}"/>
    <cellStyle name="Normal 68 6 4 2 2" xfId="35085" xr:uid="{00000000-0005-0000-0000-000063660000}"/>
    <cellStyle name="Normal 68 6 4 3" xfId="27038" xr:uid="{00000000-0005-0000-0000-000064660000}"/>
    <cellStyle name="Normal 68 6 5" xfId="14724" xr:uid="{00000000-0005-0000-0000-000065660000}"/>
    <cellStyle name="Normal 68 6 5 2" xfId="31272" xr:uid="{00000000-0005-0000-0000-000066660000}"/>
    <cellStyle name="Normal 68 6 6" xfId="23229" xr:uid="{00000000-0005-0000-0000-000067660000}"/>
    <cellStyle name="Normal 68 7" xfId="5414" xr:uid="{00000000-0005-0000-0000-000068660000}"/>
    <cellStyle name="Normal 68 7 2" xfId="5415" xr:uid="{00000000-0005-0000-0000-000069660000}"/>
    <cellStyle name="Normal 68 7 2 2" xfId="9338" xr:uid="{00000000-0005-0000-0000-00006A660000}"/>
    <cellStyle name="Normal 68 7 2 2 2" xfId="18512" xr:uid="{00000000-0005-0000-0000-00006B660000}"/>
    <cellStyle name="Normal 68 7 2 2 2 2" xfId="35086" xr:uid="{00000000-0005-0000-0000-00006C660000}"/>
    <cellStyle name="Normal 68 7 2 2 3" xfId="27039" xr:uid="{00000000-0005-0000-0000-00006D660000}"/>
    <cellStyle name="Normal 68 7 2 3" xfId="14729" xr:uid="{00000000-0005-0000-0000-00006E660000}"/>
    <cellStyle name="Normal 68 7 2 3 2" xfId="31277" xr:uid="{00000000-0005-0000-0000-00006F660000}"/>
    <cellStyle name="Normal 68 7 2 4" xfId="23234" xr:uid="{00000000-0005-0000-0000-000070660000}"/>
    <cellStyle name="Normal 68 7 3" xfId="9339" xr:uid="{00000000-0005-0000-0000-000071660000}"/>
    <cellStyle name="Normal 68 7 3 2" xfId="18513" xr:uid="{00000000-0005-0000-0000-000072660000}"/>
    <cellStyle name="Normal 68 7 3 2 2" xfId="35087" xr:uid="{00000000-0005-0000-0000-000073660000}"/>
    <cellStyle name="Normal 68 7 3 3" xfId="27040" xr:uid="{00000000-0005-0000-0000-000074660000}"/>
    <cellStyle name="Normal 68 7 4" xfId="14728" xr:uid="{00000000-0005-0000-0000-000075660000}"/>
    <cellStyle name="Normal 68 7 4 2" xfId="31276" xr:uid="{00000000-0005-0000-0000-000076660000}"/>
    <cellStyle name="Normal 68 7 5" xfId="23233" xr:uid="{00000000-0005-0000-0000-000077660000}"/>
    <cellStyle name="Normal 68 8" xfId="5416" xr:uid="{00000000-0005-0000-0000-000078660000}"/>
    <cellStyle name="Normal 68 8 2" xfId="9340" xr:uid="{00000000-0005-0000-0000-000079660000}"/>
    <cellStyle name="Normal 68 8 2 2" xfId="18514" xr:uid="{00000000-0005-0000-0000-00007A660000}"/>
    <cellStyle name="Normal 68 8 2 2 2" xfId="35088" xr:uid="{00000000-0005-0000-0000-00007B660000}"/>
    <cellStyle name="Normal 68 8 2 3" xfId="27041" xr:uid="{00000000-0005-0000-0000-00007C660000}"/>
    <cellStyle name="Normal 68 8 3" xfId="14730" xr:uid="{00000000-0005-0000-0000-00007D660000}"/>
    <cellStyle name="Normal 68 8 3 2" xfId="31278" xr:uid="{00000000-0005-0000-0000-00007E660000}"/>
    <cellStyle name="Normal 68 8 4" xfId="23235" xr:uid="{00000000-0005-0000-0000-00007F660000}"/>
    <cellStyle name="Normal 68 9" xfId="9341" xr:uid="{00000000-0005-0000-0000-000080660000}"/>
    <cellStyle name="Normal 68 9 2" xfId="18515" xr:uid="{00000000-0005-0000-0000-000081660000}"/>
    <cellStyle name="Normal 68 9 2 2" xfId="35089" xr:uid="{00000000-0005-0000-0000-000082660000}"/>
    <cellStyle name="Normal 68 9 3" xfId="27042" xr:uid="{00000000-0005-0000-0000-000083660000}"/>
    <cellStyle name="Normal 69" xfId="5417" xr:uid="{00000000-0005-0000-0000-000084660000}"/>
    <cellStyle name="Normal 69 10" xfId="14731" xr:uid="{00000000-0005-0000-0000-000085660000}"/>
    <cellStyle name="Normal 69 10 2" xfId="31279" xr:uid="{00000000-0005-0000-0000-000086660000}"/>
    <cellStyle name="Normal 69 11" xfId="23236" xr:uid="{00000000-0005-0000-0000-000087660000}"/>
    <cellStyle name="Normal 69 2" xfId="5418" xr:uid="{00000000-0005-0000-0000-000088660000}"/>
    <cellStyle name="Normal 69 2 2" xfId="5419" xr:uid="{00000000-0005-0000-0000-000089660000}"/>
    <cellStyle name="Normal 69 2 3" xfId="14732" xr:uid="{00000000-0005-0000-0000-00008A660000}"/>
    <cellStyle name="Normal 69 2 3 2" xfId="31280" xr:uid="{00000000-0005-0000-0000-00008B660000}"/>
    <cellStyle name="Normal 69 2 4" xfId="23237" xr:uid="{00000000-0005-0000-0000-00008C660000}"/>
    <cellStyle name="Normal 69 3" xfId="5420" xr:uid="{00000000-0005-0000-0000-00008D660000}"/>
    <cellStyle name="Normal 69 3 2" xfId="5421" xr:uid="{00000000-0005-0000-0000-00008E660000}"/>
    <cellStyle name="Normal 69 3 2 2" xfId="5422" xr:uid="{00000000-0005-0000-0000-00008F660000}"/>
    <cellStyle name="Normal 69 3 2 2 2" xfId="5423" xr:uid="{00000000-0005-0000-0000-000090660000}"/>
    <cellStyle name="Normal 69 3 2 2 2 2" xfId="9342" xr:uid="{00000000-0005-0000-0000-000091660000}"/>
    <cellStyle name="Normal 69 3 2 2 2 2 2" xfId="18516" xr:uid="{00000000-0005-0000-0000-000092660000}"/>
    <cellStyle name="Normal 69 3 2 2 2 2 2 2" xfId="35090" xr:uid="{00000000-0005-0000-0000-000093660000}"/>
    <cellStyle name="Normal 69 3 2 2 2 2 3" xfId="27043" xr:uid="{00000000-0005-0000-0000-000094660000}"/>
    <cellStyle name="Normal 69 3 2 2 2 3" xfId="14735" xr:uid="{00000000-0005-0000-0000-000095660000}"/>
    <cellStyle name="Normal 69 3 2 2 2 3 2" xfId="31283" xr:uid="{00000000-0005-0000-0000-000096660000}"/>
    <cellStyle name="Normal 69 3 2 2 2 4" xfId="23240" xr:uid="{00000000-0005-0000-0000-000097660000}"/>
    <cellStyle name="Normal 69 3 2 2 3" xfId="9343" xr:uid="{00000000-0005-0000-0000-000098660000}"/>
    <cellStyle name="Normal 69 3 2 2 3 2" xfId="18517" xr:uid="{00000000-0005-0000-0000-000099660000}"/>
    <cellStyle name="Normal 69 3 2 2 3 2 2" xfId="35091" xr:uid="{00000000-0005-0000-0000-00009A660000}"/>
    <cellStyle name="Normal 69 3 2 2 3 3" xfId="27044" xr:uid="{00000000-0005-0000-0000-00009B660000}"/>
    <cellStyle name="Normal 69 3 2 2 4" xfId="14734" xr:uid="{00000000-0005-0000-0000-00009C660000}"/>
    <cellStyle name="Normal 69 3 2 2 4 2" xfId="31282" xr:uid="{00000000-0005-0000-0000-00009D660000}"/>
    <cellStyle name="Normal 69 3 2 2 5" xfId="23239" xr:uid="{00000000-0005-0000-0000-00009E660000}"/>
    <cellStyle name="Normal 69 3 2 3" xfId="5424" xr:uid="{00000000-0005-0000-0000-00009F660000}"/>
    <cellStyle name="Normal 69 3 2 3 2" xfId="9344" xr:uid="{00000000-0005-0000-0000-0000A0660000}"/>
    <cellStyle name="Normal 69 3 2 3 2 2" xfId="18518" xr:uid="{00000000-0005-0000-0000-0000A1660000}"/>
    <cellStyle name="Normal 69 3 2 3 2 2 2" xfId="35092" xr:uid="{00000000-0005-0000-0000-0000A2660000}"/>
    <cellStyle name="Normal 69 3 2 3 2 3" xfId="27045" xr:uid="{00000000-0005-0000-0000-0000A3660000}"/>
    <cellStyle name="Normal 69 3 2 3 3" xfId="14736" xr:uid="{00000000-0005-0000-0000-0000A4660000}"/>
    <cellStyle name="Normal 69 3 2 3 3 2" xfId="31284" xr:uid="{00000000-0005-0000-0000-0000A5660000}"/>
    <cellStyle name="Normal 69 3 2 3 4" xfId="23241" xr:uid="{00000000-0005-0000-0000-0000A6660000}"/>
    <cellStyle name="Normal 69 3 2 4" xfId="9345" xr:uid="{00000000-0005-0000-0000-0000A7660000}"/>
    <cellStyle name="Normal 69 3 2 4 2" xfId="18519" xr:uid="{00000000-0005-0000-0000-0000A8660000}"/>
    <cellStyle name="Normal 69 3 2 4 2 2" xfId="35093" xr:uid="{00000000-0005-0000-0000-0000A9660000}"/>
    <cellStyle name="Normal 69 3 2 4 3" xfId="27046" xr:uid="{00000000-0005-0000-0000-0000AA660000}"/>
    <cellStyle name="Normal 69 3 2 5" xfId="14733" xr:uid="{00000000-0005-0000-0000-0000AB660000}"/>
    <cellStyle name="Normal 69 3 2 5 2" xfId="31281" xr:uid="{00000000-0005-0000-0000-0000AC660000}"/>
    <cellStyle name="Normal 69 3 2 6" xfId="23238" xr:uid="{00000000-0005-0000-0000-0000AD660000}"/>
    <cellStyle name="Normal 69 3 3" xfId="5425" xr:uid="{00000000-0005-0000-0000-0000AE660000}"/>
    <cellStyle name="Normal 69 3 3 2" xfId="5426" xr:uid="{00000000-0005-0000-0000-0000AF660000}"/>
    <cellStyle name="Normal 69 3 3 2 2" xfId="9346" xr:uid="{00000000-0005-0000-0000-0000B0660000}"/>
    <cellStyle name="Normal 69 3 3 2 2 2" xfId="18520" xr:uid="{00000000-0005-0000-0000-0000B1660000}"/>
    <cellStyle name="Normal 69 3 3 2 2 2 2" xfId="35094" xr:uid="{00000000-0005-0000-0000-0000B2660000}"/>
    <cellStyle name="Normal 69 3 3 2 2 3" xfId="27047" xr:uid="{00000000-0005-0000-0000-0000B3660000}"/>
    <cellStyle name="Normal 69 3 3 2 3" xfId="14738" xr:uid="{00000000-0005-0000-0000-0000B4660000}"/>
    <cellStyle name="Normal 69 3 3 2 3 2" xfId="31286" xr:uid="{00000000-0005-0000-0000-0000B5660000}"/>
    <cellStyle name="Normal 69 3 3 2 4" xfId="23243" xr:uid="{00000000-0005-0000-0000-0000B6660000}"/>
    <cellStyle name="Normal 69 3 3 3" xfId="9347" xr:uid="{00000000-0005-0000-0000-0000B7660000}"/>
    <cellStyle name="Normal 69 3 3 3 2" xfId="18521" xr:uid="{00000000-0005-0000-0000-0000B8660000}"/>
    <cellStyle name="Normal 69 3 3 3 2 2" xfId="35095" xr:uid="{00000000-0005-0000-0000-0000B9660000}"/>
    <cellStyle name="Normal 69 3 3 3 3" xfId="27048" xr:uid="{00000000-0005-0000-0000-0000BA660000}"/>
    <cellStyle name="Normal 69 3 3 4" xfId="14737" xr:uid="{00000000-0005-0000-0000-0000BB660000}"/>
    <cellStyle name="Normal 69 3 3 4 2" xfId="31285" xr:uid="{00000000-0005-0000-0000-0000BC660000}"/>
    <cellStyle name="Normal 69 3 3 5" xfId="23242" xr:uid="{00000000-0005-0000-0000-0000BD660000}"/>
    <cellStyle name="Normal 69 3 4" xfId="5427" xr:uid="{00000000-0005-0000-0000-0000BE660000}"/>
    <cellStyle name="Normal 69 3 4 2" xfId="9348" xr:uid="{00000000-0005-0000-0000-0000BF660000}"/>
    <cellStyle name="Normal 69 3 4 2 2" xfId="18522" xr:uid="{00000000-0005-0000-0000-0000C0660000}"/>
    <cellStyle name="Normal 69 3 4 2 2 2" xfId="35096" xr:uid="{00000000-0005-0000-0000-0000C1660000}"/>
    <cellStyle name="Normal 69 3 4 2 3" xfId="27049" xr:uid="{00000000-0005-0000-0000-0000C2660000}"/>
    <cellStyle name="Normal 69 3 4 3" xfId="14739" xr:uid="{00000000-0005-0000-0000-0000C3660000}"/>
    <cellStyle name="Normal 69 3 4 3 2" xfId="31287" xr:uid="{00000000-0005-0000-0000-0000C4660000}"/>
    <cellStyle name="Normal 69 3 4 4" xfId="23244" xr:uid="{00000000-0005-0000-0000-0000C5660000}"/>
    <cellStyle name="Normal 69 3 5" xfId="5428" xr:uid="{00000000-0005-0000-0000-0000C6660000}"/>
    <cellStyle name="Normal 69 3 5 2" xfId="14740" xr:uid="{00000000-0005-0000-0000-0000C7660000}"/>
    <cellStyle name="Normal 69 3 5 2 2" xfId="31288" xr:uid="{00000000-0005-0000-0000-0000C8660000}"/>
    <cellStyle name="Normal 69 3 5 3" xfId="23245" xr:uid="{00000000-0005-0000-0000-0000C9660000}"/>
    <cellStyle name="Normal 69 4" xfId="5429" xr:uid="{00000000-0005-0000-0000-0000CA660000}"/>
    <cellStyle name="Normal 69 4 2" xfId="5430" xr:uid="{00000000-0005-0000-0000-0000CB660000}"/>
    <cellStyle name="Normal 69 4 2 2" xfId="5431" xr:uid="{00000000-0005-0000-0000-0000CC660000}"/>
    <cellStyle name="Normal 69 4 2 2 2" xfId="5432" xr:uid="{00000000-0005-0000-0000-0000CD660000}"/>
    <cellStyle name="Normal 69 4 2 2 2 2" xfId="9349" xr:uid="{00000000-0005-0000-0000-0000CE660000}"/>
    <cellStyle name="Normal 69 4 2 2 2 2 2" xfId="18523" xr:uid="{00000000-0005-0000-0000-0000CF660000}"/>
    <cellStyle name="Normal 69 4 2 2 2 2 2 2" xfId="35097" xr:uid="{00000000-0005-0000-0000-0000D0660000}"/>
    <cellStyle name="Normal 69 4 2 2 2 2 3" xfId="27050" xr:uid="{00000000-0005-0000-0000-0000D1660000}"/>
    <cellStyle name="Normal 69 4 2 2 2 3" xfId="14744" xr:uid="{00000000-0005-0000-0000-0000D2660000}"/>
    <cellStyle name="Normal 69 4 2 2 2 3 2" xfId="31292" xr:uid="{00000000-0005-0000-0000-0000D3660000}"/>
    <cellStyle name="Normal 69 4 2 2 2 4" xfId="23249" xr:uid="{00000000-0005-0000-0000-0000D4660000}"/>
    <cellStyle name="Normal 69 4 2 2 3" xfId="9350" xr:uid="{00000000-0005-0000-0000-0000D5660000}"/>
    <cellStyle name="Normal 69 4 2 2 3 2" xfId="18524" xr:uid="{00000000-0005-0000-0000-0000D6660000}"/>
    <cellStyle name="Normal 69 4 2 2 3 2 2" xfId="35098" xr:uid="{00000000-0005-0000-0000-0000D7660000}"/>
    <cellStyle name="Normal 69 4 2 2 3 3" xfId="27051" xr:uid="{00000000-0005-0000-0000-0000D8660000}"/>
    <cellStyle name="Normal 69 4 2 2 4" xfId="14743" xr:uid="{00000000-0005-0000-0000-0000D9660000}"/>
    <cellStyle name="Normal 69 4 2 2 4 2" xfId="31291" xr:uid="{00000000-0005-0000-0000-0000DA660000}"/>
    <cellStyle name="Normal 69 4 2 2 5" xfId="23248" xr:uid="{00000000-0005-0000-0000-0000DB660000}"/>
    <cellStyle name="Normal 69 4 2 3" xfId="5433" xr:uid="{00000000-0005-0000-0000-0000DC660000}"/>
    <cellStyle name="Normal 69 4 2 3 2" xfId="9351" xr:uid="{00000000-0005-0000-0000-0000DD660000}"/>
    <cellStyle name="Normal 69 4 2 3 2 2" xfId="18525" xr:uid="{00000000-0005-0000-0000-0000DE660000}"/>
    <cellStyle name="Normal 69 4 2 3 2 2 2" xfId="35099" xr:uid="{00000000-0005-0000-0000-0000DF660000}"/>
    <cellStyle name="Normal 69 4 2 3 2 3" xfId="27052" xr:uid="{00000000-0005-0000-0000-0000E0660000}"/>
    <cellStyle name="Normal 69 4 2 3 3" xfId="14745" xr:uid="{00000000-0005-0000-0000-0000E1660000}"/>
    <cellStyle name="Normal 69 4 2 3 3 2" xfId="31293" xr:uid="{00000000-0005-0000-0000-0000E2660000}"/>
    <cellStyle name="Normal 69 4 2 3 4" xfId="23250" xr:uid="{00000000-0005-0000-0000-0000E3660000}"/>
    <cellStyle name="Normal 69 4 2 4" xfId="9352" xr:uid="{00000000-0005-0000-0000-0000E4660000}"/>
    <cellStyle name="Normal 69 4 2 4 2" xfId="18526" xr:uid="{00000000-0005-0000-0000-0000E5660000}"/>
    <cellStyle name="Normal 69 4 2 4 2 2" xfId="35100" xr:uid="{00000000-0005-0000-0000-0000E6660000}"/>
    <cellStyle name="Normal 69 4 2 4 3" xfId="27053" xr:uid="{00000000-0005-0000-0000-0000E7660000}"/>
    <cellStyle name="Normal 69 4 2 5" xfId="14742" xr:uid="{00000000-0005-0000-0000-0000E8660000}"/>
    <cellStyle name="Normal 69 4 2 5 2" xfId="31290" xr:uid="{00000000-0005-0000-0000-0000E9660000}"/>
    <cellStyle name="Normal 69 4 2 6" xfId="23247" xr:uid="{00000000-0005-0000-0000-0000EA660000}"/>
    <cellStyle name="Normal 69 4 3" xfId="5434" xr:uid="{00000000-0005-0000-0000-0000EB660000}"/>
    <cellStyle name="Normal 69 4 3 2" xfId="5435" xr:uid="{00000000-0005-0000-0000-0000EC660000}"/>
    <cellStyle name="Normal 69 4 3 2 2" xfId="9353" xr:uid="{00000000-0005-0000-0000-0000ED660000}"/>
    <cellStyle name="Normal 69 4 3 2 2 2" xfId="18527" xr:uid="{00000000-0005-0000-0000-0000EE660000}"/>
    <cellStyle name="Normal 69 4 3 2 2 2 2" xfId="35101" xr:uid="{00000000-0005-0000-0000-0000EF660000}"/>
    <cellStyle name="Normal 69 4 3 2 2 3" xfId="27054" xr:uid="{00000000-0005-0000-0000-0000F0660000}"/>
    <cellStyle name="Normal 69 4 3 2 3" xfId="14747" xr:uid="{00000000-0005-0000-0000-0000F1660000}"/>
    <cellStyle name="Normal 69 4 3 2 3 2" xfId="31295" xr:uid="{00000000-0005-0000-0000-0000F2660000}"/>
    <cellStyle name="Normal 69 4 3 2 4" xfId="23252" xr:uid="{00000000-0005-0000-0000-0000F3660000}"/>
    <cellStyle name="Normal 69 4 3 3" xfId="9354" xr:uid="{00000000-0005-0000-0000-0000F4660000}"/>
    <cellStyle name="Normal 69 4 3 3 2" xfId="18528" xr:uid="{00000000-0005-0000-0000-0000F5660000}"/>
    <cellStyle name="Normal 69 4 3 3 2 2" xfId="35102" xr:uid="{00000000-0005-0000-0000-0000F6660000}"/>
    <cellStyle name="Normal 69 4 3 3 3" xfId="27055" xr:uid="{00000000-0005-0000-0000-0000F7660000}"/>
    <cellStyle name="Normal 69 4 3 4" xfId="14746" xr:uid="{00000000-0005-0000-0000-0000F8660000}"/>
    <cellStyle name="Normal 69 4 3 4 2" xfId="31294" xr:uid="{00000000-0005-0000-0000-0000F9660000}"/>
    <cellStyle name="Normal 69 4 3 5" xfId="23251" xr:uid="{00000000-0005-0000-0000-0000FA660000}"/>
    <cellStyle name="Normal 69 4 4" xfId="5436" xr:uid="{00000000-0005-0000-0000-0000FB660000}"/>
    <cellStyle name="Normal 69 4 4 2" xfId="9355" xr:uid="{00000000-0005-0000-0000-0000FC660000}"/>
    <cellStyle name="Normal 69 4 4 2 2" xfId="18529" xr:uid="{00000000-0005-0000-0000-0000FD660000}"/>
    <cellStyle name="Normal 69 4 4 2 2 2" xfId="35103" xr:uid="{00000000-0005-0000-0000-0000FE660000}"/>
    <cellStyle name="Normal 69 4 4 2 3" xfId="27056" xr:uid="{00000000-0005-0000-0000-0000FF660000}"/>
    <cellStyle name="Normal 69 4 4 3" xfId="14748" xr:uid="{00000000-0005-0000-0000-000000670000}"/>
    <cellStyle name="Normal 69 4 4 3 2" xfId="31296" xr:uid="{00000000-0005-0000-0000-000001670000}"/>
    <cellStyle name="Normal 69 4 4 4" xfId="23253" xr:uid="{00000000-0005-0000-0000-000002670000}"/>
    <cellStyle name="Normal 69 4 5" xfId="9356" xr:uid="{00000000-0005-0000-0000-000003670000}"/>
    <cellStyle name="Normal 69 4 5 2" xfId="18530" xr:uid="{00000000-0005-0000-0000-000004670000}"/>
    <cellStyle name="Normal 69 4 5 2 2" xfId="35104" xr:uid="{00000000-0005-0000-0000-000005670000}"/>
    <cellStyle name="Normal 69 4 5 3" xfId="27057" xr:uid="{00000000-0005-0000-0000-000006670000}"/>
    <cellStyle name="Normal 69 4 6" xfId="14741" xr:uid="{00000000-0005-0000-0000-000007670000}"/>
    <cellStyle name="Normal 69 4 6 2" xfId="31289" xr:uid="{00000000-0005-0000-0000-000008670000}"/>
    <cellStyle name="Normal 69 4 7" xfId="23246" xr:uid="{00000000-0005-0000-0000-000009670000}"/>
    <cellStyle name="Normal 69 5" xfId="5437" xr:uid="{00000000-0005-0000-0000-00000A670000}"/>
    <cellStyle name="Normal 69 5 2" xfId="5438" xr:uid="{00000000-0005-0000-0000-00000B670000}"/>
    <cellStyle name="Normal 69 5 2 2" xfId="5439" xr:uid="{00000000-0005-0000-0000-00000C670000}"/>
    <cellStyle name="Normal 69 5 2 2 2" xfId="5440" xr:uid="{00000000-0005-0000-0000-00000D670000}"/>
    <cellStyle name="Normal 69 5 2 2 2 2" xfId="9357" xr:uid="{00000000-0005-0000-0000-00000E670000}"/>
    <cellStyle name="Normal 69 5 2 2 2 2 2" xfId="18531" xr:uid="{00000000-0005-0000-0000-00000F670000}"/>
    <cellStyle name="Normal 69 5 2 2 2 2 2 2" xfId="35105" xr:uid="{00000000-0005-0000-0000-000010670000}"/>
    <cellStyle name="Normal 69 5 2 2 2 2 3" xfId="27058" xr:uid="{00000000-0005-0000-0000-000011670000}"/>
    <cellStyle name="Normal 69 5 2 2 2 3" xfId="14752" xr:uid="{00000000-0005-0000-0000-000012670000}"/>
    <cellStyle name="Normal 69 5 2 2 2 3 2" xfId="31300" xr:uid="{00000000-0005-0000-0000-000013670000}"/>
    <cellStyle name="Normal 69 5 2 2 2 4" xfId="23257" xr:uid="{00000000-0005-0000-0000-000014670000}"/>
    <cellStyle name="Normal 69 5 2 2 3" xfId="9358" xr:uid="{00000000-0005-0000-0000-000015670000}"/>
    <cellStyle name="Normal 69 5 2 2 3 2" xfId="18532" xr:uid="{00000000-0005-0000-0000-000016670000}"/>
    <cellStyle name="Normal 69 5 2 2 3 2 2" xfId="35106" xr:uid="{00000000-0005-0000-0000-000017670000}"/>
    <cellStyle name="Normal 69 5 2 2 3 3" xfId="27059" xr:uid="{00000000-0005-0000-0000-000018670000}"/>
    <cellStyle name="Normal 69 5 2 2 4" xfId="14751" xr:uid="{00000000-0005-0000-0000-000019670000}"/>
    <cellStyle name="Normal 69 5 2 2 4 2" xfId="31299" xr:uid="{00000000-0005-0000-0000-00001A670000}"/>
    <cellStyle name="Normal 69 5 2 2 5" xfId="23256" xr:uid="{00000000-0005-0000-0000-00001B670000}"/>
    <cellStyle name="Normal 69 5 2 3" xfId="5441" xr:uid="{00000000-0005-0000-0000-00001C670000}"/>
    <cellStyle name="Normal 69 5 2 3 2" xfId="9359" xr:uid="{00000000-0005-0000-0000-00001D670000}"/>
    <cellStyle name="Normal 69 5 2 3 2 2" xfId="18533" xr:uid="{00000000-0005-0000-0000-00001E670000}"/>
    <cellStyle name="Normal 69 5 2 3 2 2 2" xfId="35107" xr:uid="{00000000-0005-0000-0000-00001F670000}"/>
    <cellStyle name="Normal 69 5 2 3 2 3" xfId="27060" xr:uid="{00000000-0005-0000-0000-000020670000}"/>
    <cellStyle name="Normal 69 5 2 3 3" xfId="14753" xr:uid="{00000000-0005-0000-0000-000021670000}"/>
    <cellStyle name="Normal 69 5 2 3 3 2" xfId="31301" xr:uid="{00000000-0005-0000-0000-000022670000}"/>
    <cellStyle name="Normal 69 5 2 3 4" xfId="23258" xr:uid="{00000000-0005-0000-0000-000023670000}"/>
    <cellStyle name="Normal 69 5 2 4" xfId="9360" xr:uid="{00000000-0005-0000-0000-000024670000}"/>
    <cellStyle name="Normal 69 5 2 4 2" xfId="18534" xr:uid="{00000000-0005-0000-0000-000025670000}"/>
    <cellStyle name="Normal 69 5 2 4 2 2" xfId="35108" xr:uid="{00000000-0005-0000-0000-000026670000}"/>
    <cellStyle name="Normal 69 5 2 4 3" xfId="27061" xr:uid="{00000000-0005-0000-0000-000027670000}"/>
    <cellStyle name="Normal 69 5 2 5" xfId="14750" xr:uid="{00000000-0005-0000-0000-000028670000}"/>
    <cellStyle name="Normal 69 5 2 5 2" xfId="31298" xr:uid="{00000000-0005-0000-0000-000029670000}"/>
    <cellStyle name="Normal 69 5 2 6" xfId="23255" xr:uid="{00000000-0005-0000-0000-00002A670000}"/>
    <cellStyle name="Normal 69 5 3" xfId="5442" xr:uid="{00000000-0005-0000-0000-00002B670000}"/>
    <cellStyle name="Normal 69 5 3 2" xfId="5443" xr:uid="{00000000-0005-0000-0000-00002C670000}"/>
    <cellStyle name="Normal 69 5 3 2 2" xfId="9361" xr:uid="{00000000-0005-0000-0000-00002D670000}"/>
    <cellStyle name="Normal 69 5 3 2 2 2" xfId="18535" xr:uid="{00000000-0005-0000-0000-00002E670000}"/>
    <cellStyle name="Normal 69 5 3 2 2 2 2" xfId="35109" xr:uid="{00000000-0005-0000-0000-00002F670000}"/>
    <cellStyle name="Normal 69 5 3 2 2 3" xfId="27062" xr:uid="{00000000-0005-0000-0000-000030670000}"/>
    <cellStyle name="Normal 69 5 3 2 3" xfId="14755" xr:uid="{00000000-0005-0000-0000-000031670000}"/>
    <cellStyle name="Normal 69 5 3 2 3 2" xfId="31303" xr:uid="{00000000-0005-0000-0000-000032670000}"/>
    <cellStyle name="Normal 69 5 3 2 4" xfId="23260" xr:uid="{00000000-0005-0000-0000-000033670000}"/>
    <cellStyle name="Normal 69 5 3 3" xfId="9362" xr:uid="{00000000-0005-0000-0000-000034670000}"/>
    <cellStyle name="Normal 69 5 3 3 2" xfId="18536" xr:uid="{00000000-0005-0000-0000-000035670000}"/>
    <cellStyle name="Normal 69 5 3 3 2 2" xfId="35110" xr:uid="{00000000-0005-0000-0000-000036670000}"/>
    <cellStyle name="Normal 69 5 3 3 3" xfId="27063" xr:uid="{00000000-0005-0000-0000-000037670000}"/>
    <cellStyle name="Normal 69 5 3 4" xfId="14754" xr:uid="{00000000-0005-0000-0000-000038670000}"/>
    <cellStyle name="Normal 69 5 3 4 2" xfId="31302" xr:uid="{00000000-0005-0000-0000-000039670000}"/>
    <cellStyle name="Normal 69 5 3 5" xfId="23259" xr:uid="{00000000-0005-0000-0000-00003A670000}"/>
    <cellStyle name="Normal 69 5 4" xfId="5444" xr:uid="{00000000-0005-0000-0000-00003B670000}"/>
    <cellStyle name="Normal 69 5 4 2" xfId="9363" xr:uid="{00000000-0005-0000-0000-00003C670000}"/>
    <cellStyle name="Normal 69 5 4 2 2" xfId="18537" xr:uid="{00000000-0005-0000-0000-00003D670000}"/>
    <cellStyle name="Normal 69 5 4 2 2 2" xfId="35111" xr:uid="{00000000-0005-0000-0000-00003E670000}"/>
    <cellStyle name="Normal 69 5 4 2 3" xfId="27064" xr:uid="{00000000-0005-0000-0000-00003F670000}"/>
    <cellStyle name="Normal 69 5 4 3" xfId="14756" xr:uid="{00000000-0005-0000-0000-000040670000}"/>
    <cellStyle name="Normal 69 5 4 3 2" xfId="31304" xr:uid="{00000000-0005-0000-0000-000041670000}"/>
    <cellStyle name="Normal 69 5 4 4" xfId="23261" xr:uid="{00000000-0005-0000-0000-000042670000}"/>
    <cellStyle name="Normal 69 5 5" xfId="9364" xr:uid="{00000000-0005-0000-0000-000043670000}"/>
    <cellStyle name="Normal 69 5 5 2" xfId="18538" xr:uid="{00000000-0005-0000-0000-000044670000}"/>
    <cellStyle name="Normal 69 5 5 2 2" xfId="35112" xr:uid="{00000000-0005-0000-0000-000045670000}"/>
    <cellStyle name="Normal 69 5 5 3" xfId="27065" xr:uid="{00000000-0005-0000-0000-000046670000}"/>
    <cellStyle name="Normal 69 5 6" xfId="14749" xr:uid="{00000000-0005-0000-0000-000047670000}"/>
    <cellStyle name="Normal 69 5 6 2" xfId="31297" xr:uid="{00000000-0005-0000-0000-000048670000}"/>
    <cellStyle name="Normal 69 5 7" xfId="23254" xr:uid="{00000000-0005-0000-0000-000049670000}"/>
    <cellStyle name="Normal 69 6" xfId="5445" xr:uid="{00000000-0005-0000-0000-00004A670000}"/>
    <cellStyle name="Normal 69 6 2" xfId="5446" xr:uid="{00000000-0005-0000-0000-00004B670000}"/>
    <cellStyle name="Normal 69 6 2 2" xfId="5447" xr:uid="{00000000-0005-0000-0000-00004C670000}"/>
    <cellStyle name="Normal 69 6 2 2 2" xfId="9365" xr:uid="{00000000-0005-0000-0000-00004D670000}"/>
    <cellStyle name="Normal 69 6 2 2 2 2" xfId="18539" xr:uid="{00000000-0005-0000-0000-00004E670000}"/>
    <cellStyle name="Normal 69 6 2 2 2 2 2" xfId="35113" xr:uid="{00000000-0005-0000-0000-00004F670000}"/>
    <cellStyle name="Normal 69 6 2 2 2 3" xfId="27066" xr:uid="{00000000-0005-0000-0000-000050670000}"/>
    <cellStyle name="Normal 69 6 2 2 3" xfId="14759" xr:uid="{00000000-0005-0000-0000-000051670000}"/>
    <cellStyle name="Normal 69 6 2 2 3 2" xfId="31307" xr:uid="{00000000-0005-0000-0000-000052670000}"/>
    <cellStyle name="Normal 69 6 2 2 4" xfId="23264" xr:uid="{00000000-0005-0000-0000-000053670000}"/>
    <cellStyle name="Normal 69 6 2 3" xfId="9366" xr:uid="{00000000-0005-0000-0000-000054670000}"/>
    <cellStyle name="Normal 69 6 2 3 2" xfId="18540" xr:uid="{00000000-0005-0000-0000-000055670000}"/>
    <cellStyle name="Normal 69 6 2 3 2 2" xfId="35114" xr:uid="{00000000-0005-0000-0000-000056670000}"/>
    <cellStyle name="Normal 69 6 2 3 3" xfId="27067" xr:uid="{00000000-0005-0000-0000-000057670000}"/>
    <cellStyle name="Normal 69 6 2 4" xfId="14758" xr:uid="{00000000-0005-0000-0000-000058670000}"/>
    <cellStyle name="Normal 69 6 2 4 2" xfId="31306" xr:uid="{00000000-0005-0000-0000-000059670000}"/>
    <cellStyle name="Normal 69 6 2 5" xfId="23263" xr:uid="{00000000-0005-0000-0000-00005A670000}"/>
    <cellStyle name="Normal 69 6 3" xfId="5448" xr:uid="{00000000-0005-0000-0000-00005B670000}"/>
    <cellStyle name="Normal 69 6 3 2" xfId="9367" xr:uid="{00000000-0005-0000-0000-00005C670000}"/>
    <cellStyle name="Normal 69 6 3 2 2" xfId="18541" xr:uid="{00000000-0005-0000-0000-00005D670000}"/>
    <cellStyle name="Normal 69 6 3 2 2 2" xfId="35115" xr:uid="{00000000-0005-0000-0000-00005E670000}"/>
    <cellStyle name="Normal 69 6 3 2 3" xfId="27068" xr:uid="{00000000-0005-0000-0000-00005F670000}"/>
    <cellStyle name="Normal 69 6 3 3" xfId="14760" xr:uid="{00000000-0005-0000-0000-000060670000}"/>
    <cellStyle name="Normal 69 6 3 3 2" xfId="31308" xr:uid="{00000000-0005-0000-0000-000061670000}"/>
    <cellStyle name="Normal 69 6 3 4" xfId="23265" xr:uid="{00000000-0005-0000-0000-000062670000}"/>
    <cellStyle name="Normal 69 6 4" xfId="9368" xr:uid="{00000000-0005-0000-0000-000063670000}"/>
    <cellStyle name="Normal 69 6 4 2" xfId="18542" xr:uid="{00000000-0005-0000-0000-000064670000}"/>
    <cellStyle name="Normal 69 6 4 2 2" xfId="35116" xr:uid="{00000000-0005-0000-0000-000065670000}"/>
    <cellStyle name="Normal 69 6 4 3" xfId="27069" xr:uid="{00000000-0005-0000-0000-000066670000}"/>
    <cellStyle name="Normal 69 6 5" xfId="14757" xr:uid="{00000000-0005-0000-0000-000067670000}"/>
    <cellStyle name="Normal 69 6 5 2" xfId="31305" xr:uid="{00000000-0005-0000-0000-000068670000}"/>
    <cellStyle name="Normal 69 6 6" xfId="23262" xr:uid="{00000000-0005-0000-0000-000069670000}"/>
    <cellStyle name="Normal 69 7" xfId="5449" xr:uid="{00000000-0005-0000-0000-00006A670000}"/>
    <cellStyle name="Normal 69 7 2" xfId="5450" xr:uid="{00000000-0005-0000-0000-00006B670000}"/>
    <cellStyle name="Normal 69 7 2 2" xfId="9369" xr:uid="{00000000-0005-0000-0000-00006C670000}"/>
    <cellStyle name="Normal 69 7 2 2 2" xfId="18543" xr:uid="{00000000-0005-0000-0000-00006D670000}"/>
    <cellStyle name="Normal 69 7 2 2 2 2" xfId="35117" xr:uid="{00000000-0005-0000-0000-00006E670000}"/>
    <cellStyle name="Normal 69 7 2 2 3" xfId="27070" xr:uid="{00000000-0005-0000-0000-00006F670000}"/>
    <cellStyle name="Normal 69 7 2 3" xfId="14762" xr:uid="{00000000-0005-0000-0000-000070670000}"/>
    <cellStyle name="Normal 69 7 2 3 2" xfId="31310" xr:uid="{00000000-0005-0000-0000-000071670000}"/>
    <cellStyle name="Normal 69 7 2 4" xfId="23267" xr:uid="{00000000-0005-0000-0000-000072670000}"/>
    <cellStyle name="Normal 69 7 3" xfId="9370" xr:uid="{00000000-0005-0000-0000-000073670000}"/>
    <cellStyle name="Normal 69 7 3 2" xfId="18544" xr:uid="{00000000-0005-0000-0000-000074670000}"/>
    <cellStyle name="Normal 69 7 3 2 2" xfId="35118" xr:uid="{00000000-0005-0000-0000-000075670000}"/>
    <cellStyle name="Normal 69 7 3 3" xfId="27071" xr:uid="{00000000-0005-0000-0000-000076670000}"/>
    <cellStyle name="Normal 69 7 4" xfId="14761" xr:uid="{00000000-0005-0000-0000-000077670000}"/>
    <cellStyle name="Normal 69 7 4 2" xfId="31309" xr:uid="{00000000-0005-0000-0000-000078670000}"/>
    <cellStyle name="Normal 69 7 5" xfId="23266" xr:uid="{00000000-0005-0000-0000-000079670000}"/>
    <cellStyle name="Normal 69 8" xfId="5451" xr:uid="{00000000-0005-0000-0000-00007A670000}"/>
    <cellStyle name="Normal 69 8 2" xfId="9371" xr:uid="{00000000-0005-0000-0000-00007B670000}"/>
    <cellStyle name="Normal 69 8 2 2" xfId="18545" xr:uid="{00000000-0005-0000-0000-00007C670000}"/>
    <cellStyle name="Normal 69 8 2 2 2" xfId="35119" xr:uid="{00000000-0005-0000-0000-00007D670000}"/>
    <cellStyle name="Normal 69 8 2 3" xfId="27072" xr:uid="{00000000-0005-0000-0000-00007E670000}"/>
    <cellStyle name="Normal 69 8 3" xfId="14763" xr:uid="{00000000-0005-0000-0000-00007F670000}"/>
    <cellStyle name="Normal 69 8 3 2" xfId="31311" xr:uid="{00000000-0005-0000-0000-000080670000}"/>
    <cellStyle name="Normal 69 8 4" xfId="23268" xr:uid="{00000000-0005-0000-0000-000081670000}"/>
    <cellStyle name="Normal 69 9" xfId="9372" xr:uid="{00000000-0005-0000-0000-000082670000}"/>
    <cellStyle name="Normal 69 9 2" xfId="18546" xr:uid="{00000000-0005-0000-0000-000083670000}"/>
    <cellStyle name="Normal 69 9 2 2" xfId="35120" xr:uid="{00000000-0005-0000-0000-000084670000}"/>
    <cellStyle name="Normal 69 9 3" xfId="27073" xr:uid="{00000000-0005-0000-0000-000085670000}"/>
    <cellStyle name="Normal 7" xfId="7" xr:uid="{00000000-0005-0000-0000-000086670000}"/>
    <cellStyle name="Normal 7 10" xfId="14764" xr:uid="{00000000-0005-0000-0000-000087670000}"/>
    <cellStyle name="Normal 7 10 2" xfId="31312" xr:uid="{00000000-0005-0000-0000-000088670000}"/>
    <cellStyle name="Normal 7 11" xfId="23269" xr:uid="{00000000-0005-0000-0000-000089670000}"/>
    <cellStyle name="Normal 7 2" xfId="328" xr:uid="{00000000-0005-0000-0000-00008A670000}"/>
    <cellStyle name="Normal 7 2 2" xfId="329" xr:uid="{00000000-0005-0000-0000-00008B670000}"/>
    <cellStyle name="Normal 7 2 2 2" xfId="5453" xr:uid="{00000000-0005-0000-0000-00008C670000}"/>
    <cellStyle name="Normal 7 2 2 2 2" xfId="5454" xr:uid="{00000000-0005-0000-0000-00008D670000}"/>
    <cellStyle name="Normal 7 2 2 2 2 2" xfId="9373" xr:uid="{00000000-0005-0000-0000-00008E670000}"/>
    <cellStyle name="Normal 7 2 2 2 2 2 2" xfId="18547" xr:uid="{00000000-0005-0000-0000-00008F670000}"/>
    <cellStyle name="Normal 7 2 2 2 2 2 2 2" xfId="35121" xr:uid="{00000000-0005-0000-0000-000090670000}"/>
    <cellStyle name="Normal 7 2 2 2 2 2 3" xfId="27074" xr:uid="{00000000-0005-0000-0000-000091670000}"/>
    <cellStyle name="Normal 7 2 2 2 2 3" xfId="14767" xr:uid="{00000000-0005-0000-0000-000092670000}"/>
    <cellStyle name="Normal 7 2 2 2 2 3 2" xfId="31315" xr:uid="{00000000-0005-0000-0000-000093670000}"/>
    <cellStyle name="Normal 7 2 2 2 2 4" xfId="23272" xr:uid="{00000000-0005-0000-0000-000094670000}"/>
    <cellStyle name="Normal 7 2 2 2 3" xfId="9374" xr:uid="{00000000-0005-0000-0000-000095670000}"/>
    <cellStyle name="Normal 7 2 2 2 3 2" xfId="18548" xr:uid="{00000000-0005-0000-0000-000096670000}"/>
    <cellStyle name="Normal 7 2 2 2 3 2 2" xfId="35122" xr:uid="{00000000-0005-0000-0000-000097670000}"/>
    <cellStyle name="Normal 7 2 2 2 3 3" xfId="27075" xr:uid="{00000000-0005-0000-0000-000098670000}"/>
    <cellStyle name="Normal 7 2 2 2 4" xfId="14766" xr:uid="{00000000-0005-0000-0000-000099670000}"/>
    <cellStyle name="Normal 7 2 2 2 4 2" xfId="31314" xr:uid="{00000000-0005-0000-0000-00009A670000}"/>
    <cellStyle name="Normal 7 2 2 2 5" xfId="23271" xr:uid="{00000000-0005-0000-0000-00009B670000}"/>
    <cellStyle name="Normal 7 2 2 3" xfId="5455" xr:uid="{00000000-0005-0000-0000-00009C670000}"/>
    <cellStyle name="Normal 7 2 2 3 2" xfId="9375" xr:uid="{00000000-0005-0000-0000-00009D670000}"/>
    <cellStyle name="Normal 7 2 2 3 2 2" xfId="18549" xr:uid="{00000000-0005-0000-0000-00009E670000}"/>
    <cellStyle name="Normal 7 2 2 3 2 2 2" xfId="35123" xr:uid="{00000000-0005-0000-0000-00009F670000}"/>
    <cellStyle name="Normal 7 2 2 3 2 3" xfId="27076" xr:uid="{00000000-0005-0000-0000-0000A0670000}"/>
    <cellStyle name="Normal 7 2 2 3 3" xfId="14768" xr:uid="{00000000-0005-0000-0000-0000A1670000}"/>
    <cellStyle name="Normal 7 2 2 3 3 2" xfId="31316" xr:uid="{00000000-0005-0000-0000-0000A2670000}"/>
    <cellStyle name="Normal 7 2 2 3 4" xfId="23273" xr:uid="{00000000-0005-0000-0000-0000A3670000}"/>
    <cellStyle name="Normal 7 2 2 4" xfId="9376" xr:uid="{00000000-0005-0000-0000-0000A4670000}"/>
    <cellStyle name="Normal 7 2 2 4 2" xfId="18550" xr:uid="{00000000-0005-0000-0000-0000A5670000}"/>
    <cellStyle name="Normal 7 2 2 4 2 2" xfId="35124" xr:uid="{00000000-0005-0000-0000-0000A6670000}"/>
    <cellStyle name="Normal 7 2 2 4 3" xfId="27077" xr:uid="{00000000-0005-0000-0000-0000A7670000}"/>
    <cellStyle name="Normal 7 2 2 5" xfId="14765" xr:uid="{00000000-0005-0000-0000-0000A8670000}"/>
    <cellStyle name="Normal 7 2 2 5 2" xfId="31313" xr:uid="{00000000-0005-0000-0000-0000A9670000}"/>
    <cellStyle name="Normal 7 2 2 6" xfId="23270" xr:uid="{00000000-0005-0000-0000-0000AA670000}"/>
    <cellStyle name="Normal 7 2 3" xfId="454" xr:uid="{00000000-0005-0000-0000-0000AB670000}"/>
    <cellStyle name="Normal 7 2 3 2" xfId="5456" xr:uid="{00000000-0005-0000-0000-0000AC670000}"/>
    <cellStyle name="Normal 7 2 3 2 2" xfId="9377" xr:uid="{00000000-0005-0000-0000-0000AD670000}"/>
    <cellStyle name="Normal 7 2 3 2 2 2" xfId="18551" xr:uid="{00000000-0005-0000-0000-0000AE670000}"/>
    <cellStyle name="Normal 7 2 3 2 2 2 2" xfId="35125" xr:uid="{00000000-0005-0000-0000-0000AF670000}"/>
    <cellStyle name="Normal 7 2 3 2 2 3" xfId="27078" xr:uid="{00000000-0005-0000-0000-0000B0670000}"/>
    <cellStyle name="Normal 7 2 3 2 3" xfId="14770" xr:uid="{00000000-0005-0000-0000-0000B1670000}"/>
    <cellStyle name="Normal 7 2 3 2 3 2" xfId="31318" xr:uid="{00000000-0005-0000-0000-0000B2670000}"/>
    <cellStyle name="Normal 7 2 3 2 4" xfId="23275" xr:uid="{00000000-0005-0000-0000-0000B3670000}"/>
    <cellStyle name="Normal 7 2 3 3" xfId="9378" xr:uid="{00000000-0005-0000-0000-0000B4670000}"/>
    <cellStyle name="Normal 7 2 3 3 2" xfId="18552" xr:uid="{00000000-0005-0000-0000-0000B5670000}"/>
    <cellStyle name="Normal 7 2 3 3 2 2" xfId="35126" xr:uid="{00000000-0005-0000-0000-0000B6670000}"/>
    <cellStyle name="Normal 7 2 3 3 3" xfId="27079" xr:uid="{00000000-0005-0000-0000-0000B7670000}"/>
    <cellStyle name="Normal 7 2 3 4" xfId="14769" xr:uid="{00000000-0005-0000-0000-0000B8670000}"/>
    <cellStyle name="Normal 7 2 3 4 2" xfId="31317" xr:uid="{00000000-0005-0000-0000-0000B9670000}"/>
    <cellStyle name="Normal 7 2 3 5" xfId="23274" xr:uid="{00000000-0005-0000-0000-0000BA670000}"/>
    <cellStyle name="Normal 7 2 4" xfId="1775" xr:uid="{00000000-0005-0000-0000-0000BB670000}"/>
    <cellStyle name="Normal 7 2 4 2" xfId="9379" xr:uid="{00000000-0005-0000-0000-0000BC670000}"/>
    <cellStyle name="Normal 7 2 4 2 2" xfId="18553" xr:uid="{00000000-0005-0000-0000-0000BD670000}"/>
    <cellStyle name="Normal 7 2 4 2 2 2" xfId="35127" xr:uid="{00000000-0005-0000-0000-0000BE670000}"/>
    <cellStyle name="Normal 7 2 4 2 3" xfId="27080" xr:uid="{00000000-0005-0000-0000-0000BF670000}"/>
    <cellStyle name="Normal 7 2 4 3" xfId="5457" xr:uid="{00000000-0005-0000-0000-0000C0670000}"/>
    <cellStyle name="Normal 7 2 4 3 2" xfId="31319" xr:uid="{00000000-0005-0000-0000-0000C1670000}"/>
    <cellStyle name="Normal 7 2 4 4" xfId="23276" xr:uid="{00000000-0005-0000-0000-0000C2670000}"/>
    <cellStyle name="Normal 7 2 5" xfId="9380" xr:uid="{00000000-0005-0000-0000-0000C3670000}"/>
    <cellStyle name="Normal 7 2 5 2" xfId="18554" xr:uid="{00000000-0005-0000-0000-0000C4670000}"/>
    <cellStyle name="Normal 7 2 5 2 2" xfId="35128" xr:uid="{00000000-0005-0000-0000-0000C5670000}"/>
    <cellStyle name="Normal 7 2 5 3" xfId="27081" xr:uid="{00000000-0005-0000-0000-0000C6670000}"/>
    <cellStyle name="Normal 7 2 6" xfId="5452" xr:uid="{00000000-0005-0000-0000-0000C7670000}"/>
    <cellStyle name="Normal 7 3" xfId="330" xr:uid="{00000000-0005-0000-0000-0000C8670000}"/>
    <cellStyle name="Normal 7 3 2" xfId="5458" xr:uid="{00000000-0005-0000-0000-0000C9670000}"/>
    <cellStyle name="Normal 7 3 2 2" xfId="5459" xr:uid="{00000000-0005-0000-0000-0000CA670000}"/>
    <cellStyle name="Normal 7 3 2 2 2" xfId="5460" xr:uid="{00000000-0005-0000-0000-0000CB670000}"/>
    <cellStyle name="Normal 7 3 2 2 2 2" xfId="9381" xr:uid="{00000000-0005-0000-0000-0000CC670000}"/>
    <cellStyle name="Normal 7 3 2 2 2 2 2" xfId="18555" xr:uid="{00000000-0005-0000-0000-0000CD670000}"/>
    <cellStyle name="Normal 7 3 2 2 2 2 2 2" xfId="35129" xr:uid="{00000000-0005-0000-0000-0000CE670000}"/>
    <cellStyle name="Normal 7 3 2 2 2 2 3" xfId="27082" xr:uid="{00000000-0005-0000-0000-0000CF670000}"/>
    <cellStyle name="Normal 7 3 2 2 2 3" xfId="14774" xr:uid="{00000000-0005-0000-0000-0000D0670000}"/>
    <cellStyle name="Normal 7 3 2 2 2 3 2" xfId="31323" xr:uid="{00000000-0005-0000-0000-0000D1670000}"/>
    <cellStyle name="Normal 7 3 2 2 2 4" xfId="23280" xr:uid="{00000000-0005-0000-0000-0000D2670000}"/>
    <cellStyle name="Normal 7 3 2 2 3" xfId="9382" xr:uid="{00000000-0005-0000-0000-0000D3670000}"/>
    <cellStyle name="Normal 7 3 2 2 3 2" xfId="18556" xr:uid="{00000000-0005-0000-0000-0000D4670000}"/>
    <cellStyle name="Normal 7 3 2 2 3 2 2" xfId="35130" xr:uid="{00000000-0005-0000-0000-0000D5670000}"/>
    <cellStyle name="Normal 7 3 2 2 3 3" xfId="27083" xr:uid="{00000000-0005-0000-0000-0000D6670000}"/>
    <cellStyle name="Normal 7 3 2 2 4" xfId="14773" xr:uid="{00000000-0005-0000-0000-0000D7670000}"/>
    <cellStyle name="Normal 7 3 2 2 4 2" xfId="31322" xr:uid="{00000000-0005-0000-0000-0000D8670000}"/>
    <cellStyle name="Normal 7 3 2 2 5" xfId="23279" xr:uid="{00000000-0005-0000-0000-0000D9670000}"/>
    <cellStyle name="Normal 7 3 2 3" xfId="5461" xr:uid="{00000000-0005-0000-0000-0000DA670000}"/>
    <cellStyle name="Normal 7 3 2 3 2" xfId="9383" xr:uid="{00000000-0005-0000-0000-0000DB670000}"/>
    <cellStyle name="Normal 7 3 2 3 2 2" xfId="18557" xr:uid="{00000000-0005-0000-0000-0000DC670000}"/>
    <cellStyle name="Normal 7 3 2 3 2 2 2" xfId="35131" xr:uid="{00000000-0005-0000-0000-0000DD670000}"/>
    <cellStyle name="Normal 7 3 2 3 2 3" xfId="27084" xr:uid="{00000000-0005-0000-0000-0000DE670000}"/>
    <cellStyle name="Normal 7 3 2 3 3" xfId="14775" xr:uid="{00000000-0005-0000-0000-0000DF670000}"/>
    <cellStyle name="Normal 7 3 2 3 3 2" xfId="31324" xr:uid="{00000000-0005-0000-0000-0000E0670000}"/>
    <cellStyle name="Normal 7 3 2 3 4" xfId="23281" xr:uid="{00000000-0005-0000-0000-0000E1670000}"/>
    <cellStyle name="Normal 7 3 2 4" xfId="9384" xr:uid="{00000000-0005-0000-0000-0000E2670000}"/>
    <cellStyle name="Normal 7 3 2 4 2" xfId="18558" xr:uid="{00000000-0005-0000-0000-0000E3670000}"/>
    <cellStyle name="Normal 7 3 2 4 2 2" xfId="35132" xr:uid="{00000000-0005-0000-0000-0000E4670000}"/>
    <cellStyle name="Normal 7 3 2 4 3" xfId="27085" xr:uid="{00000000-0005-0000-0000-0000E5670000}"/>
    <cellStyle name="Normal 7 3 2 5" xfId="14772" xr:uid="{00000000-0005-0000-0000-0000E6670000}"/>
    <cellStyle name="Normal 7 3 2 5 2" xfId="31321" xr:uid="{00000000-0005-0000-0000-0000E7670000}"/>
    <cellStyle name="Normal 7 3 2 6" xfId="23278" xr:uid="{00000000-0005-0000-0000-0000E8670000}"/>
    <cellStyle name="Normal 7 3 3" xfId="5462" xr:uid="{00000000-0005-0000-0000-0000E9670000}"/>
    <cellStyle name="Normal 7 3 3 2" xfId="5463" xr:uid="{00000000-0005-0000-0000-0000EA670000}"/>
    <cellStyle name="Normal 7 3 3 2 2" xfId="9385" xr:uid="{00000000-0005-0000-0000-0000EB670000}"/>
    <cellStyle name="Normal 7 3 3 2 2 2" xfId="18559" xr:uid="{00000000-0005-0000-0000-0000EC670000}"/>
    <cellStyle name="Normal 7 3 3 2 2 2 2" xfId="35133" xr:uid="{00000000-0005-0000-0000-0000ED670000}"/>
    <cellStyle name="Normal 7 3 3 2 2 3" xfId="27086" xr:uid="{00000000-0005-0000-0000-0000EE670000}"/>
    <cellStyle name="Normal 7 3 3 2 3" xfId="14777" xr:uid="{00000000-0005-0000-0000-0000EF670000}"/>
    <cellStyle name="Normal 7 3 3 2 3 2" xfId="31326" xr:uid="{00000000-0005-0000-0000-0000F0670000}"/>
    <cellStyle name="Normal 7 3 3 2 4" xfId="23283" xr:uid="{00000000-0005-0000-0000-0000F1670000}"/>
    <cellStyle name="Normal 7 3 3 3" xfId="9386" xr:uid="{00000000-0005-0000-0000-0000F2670000}"/>
    <cellStyle name="Normal 7 3 3 3 2" xfId="18560" xr:uid="{00000000-0005-0000-0000-0000F3670000}"/>
    <cellStyle name="Normal 7 3 3 3 2 2" xfId="35134" xr:uid="{00000000-0005-0000-0000-0000F4670000}"/>
    <cellStyle name="Normal 7 3 3 3 3" xfId="27087" xr:uid="{00000000-0005-0000-0000-0000F5670000}"/>
    <cellStyle name="Normal 7 3 3 4" xfId="14776" xr:uid="{00000000-0005-0000-0000-0000F6670000}"/>
    <cellStyle name="Normal 7 3 3 4 2" xfId="31325" xr:uid="{00000000-0005-0000-0000-0000F7670000}"/>
    <cellStyle name="Normal 7 3 3 5" xfId="23282" xr:uid="{00000000-0005-0000-0000-0000F8670000}"/>
    <cellStyle name="Normal 7 3 4" xfId="5464" xr:uid="{00000000-0005-0000-0000-0000F9670000}"/>
    <cellStyle name="Normal 7 3 4 2" xfId="9387" xr:uid="{00000000-0005-0000-0000-0000FA670000}"/>
    <cellStyle name="Normal 7 3 4 2 2" xfId="18561" xr:uid="{00000000-0005-0000-0000-0000FB670000}"/>
    <cellStyle name="Normal 7 3 4 2 2 2" xfId="35135" xr:uid="{00000000-0005-0000-0000-0000FC670000}"/>
    <cellStyle name="Normal 7 3 4 2 3" xfId="27088" xr:uid="{00000000-0005-0000-0000-0000FD670000}"/>
    <cellStyle name="Normal 7 3 4 3" xfId="14778" xr:uid="{00000000-0005-0000-0000-0000FE670000}"/>
    <cellStyle name="Normal 7 3 4 3 2" xfId="31327" xr:uid="{00000000-0005-0000-0000-0000FF670000}"/>
    <cellStyle name="Normal 7 3 4 4" xfId="23284" xr:uid="{00000000-0005-0000-0000-000000680000}"/>
    <cellStyle name="Normal 7 3 5" xfId="9388" xr:uid="{00000000-0005-0000-0000-000001680000}"/>
    <cellStyle name="Normal 7 3 5 2" xfId="18562" xr:uid="{00000000-0005-0000-0000-000002680000}"/>
    <cellStyle name="Normal 7 3 5 2 2" xfId="35136" xr:uid="{00000000-0005-0000-0000-000003680000}"/>
    <cellStyle name="Normal 7 3 5 3" xfId="27089" xr:uid="{00000000-0005-0000-0000-000004680000}"/>
    <cellStyle name="Normal 7 3 6" xfId="14771" xr:uid="{00000000-0005-0000-0000-000005680000}"/>
    <cellStyle name="Normal 7 3 6 2" xfId="31320" xr:uid="{00000000-0005-0000-0000-000006680000}"/>
    <cellStyle name="Normal 7 3 7" xfId="23277" xr:uid="{00000000-0005-0000-0000-000007680000}"/>
    <cellStyle name="Normal 7 4" xfId="382" xr:uid="{00000000-0005-0000-0000-000008680000}"/>
    <cellStyle name="Normal 7 4 2" xfId="5465" xr:uid="{00000000-0005-0000-0000-000009680000}"/>
    <cellStyle name="Normal 7 4 2 2" xfId="5466" xr:uid="{00000000-0005-0000-0000-00000A680000}"/>
    <cellStyle name="Normal 7 4 2 2 2" xfId="5467" xr:uid="{00000000-0005-0000-0000-00000B680000}"/>
    <cellStyle name="Normal 7 4 2 2 2 2" xfId="5468" xr:uid="{00000000-0005-0000-0000-00000C680000}"/>
    <cellStyle name="Normal 7 4 2 2 2 2 2" xfId="14783" xr:uid="{00000000-0005-0000-0000-00000D680000}"/>
    <cellStyle name="Normal 7 4 2 2 2 2 2 2" xfId="31332" xr:uid="{00000000-0005-0000-0000-00000E680000}"/>
    <cellStyle name="Normal 7 4 2 2 2 2 3" xfId="23289" xr:uid="{00000000-0005-0000-0000-00000F680000}"/>
    <cellStyle name="Normal 7 4 2 2 2 3" xfId="14782" xr:uid="{00000000-0005-0000-0000-000010680000}"/>
    <cellStyle name="Normal 7 4 2 2 2 3 2" xfId="31331" xr:uid="{00000000-0005-0000-0000-000011680000}"/>
    <cellStyle name="Normal 7 4 2 2 2 4" xfId="23288" xr:uid="{00000000-0005-0000-0000-000012680000}"/>
    <cellStyle name="Normal 7 4 2 2 3" xfId="9389" xr:uid="{00000000-0005-0000-0000-000013680000}"/>
    <cellStyle name="Normal 7 4 2 2 3 2" xfId="18563" xr:uid="{00000000-0005-0000-0000-000014680000}"/>
    <cellStyle name="Normal 7 4 2 2 3 2 2" xfId="35137" xr:uid="{00000000-0005-0000-0000-000015680000}"/>
    <cellStyle name="Normal 7 4 2 2 3 3" xfId="27090" xr:uid="{00000000-0005-0000-0000-000016680000}"/>
    <cellStyle name="Normal 7 4 2 2 4" xfId="14781" xr:uid="{00000000-0005-0000-0000-000017680000}"/>
    <cellStyle name="Normal 7 4 2 2 4 2" xfId="31330" xr:uid="{00000000-0005-0000-0000-000018680000}"/>
    <cellStyle name="Normal 7 4 2 2 5" xfId="23287" xr:uid="{00000000-0005-0000-0000-000019680000}"/>
    <cellStyle name="Normal 7 4 2 3" xfId="5469" xr:uid="{00000000-0005-0000-0000-00001A680000}"/>
    <cellStyle name="Normal 7 4 2 3 2" xfId="9390" xr:uid="{00000000-0005-0000-0000-00001B680000}"/>
    <cellStyle name="Normal 7 4 2 3 2 2" xfId="18564" xr:uid="{00000000-0005-0000-0000-00001C680000}"/>
    <cellStyle name="Normal 7 4 2 3 2 2 2" xfId="35138" xr:uid="{00000000-0005-0000-0000-00001D680000}"/>
    <cellStyle name="Normal 7 4 2 3 2 3" xfId="27091" xr:uid="{00000000-0005-0000-0000-00001E680000}"/>
    <cellStyle name="Normal 7 4 2 3 3" xfId="14784" xr:uid="{00000000-0005-0000-0000-00001F680000}"/>
    <cellStyle name="Normal 7 4 2 3 3 2" xfId="31333" xr:uid="{00000000-0005-0000-0000-000020680000}"/>
    <cellStyle name="Normal 7 4 2 3 4" xfId="23290" xr:uid="{00000000-0005-0000-0000-000021680000}"/>
    <cellStyle name="Normal 7 4 2 4" xfId="9391" xr:uid="{00000000-0005-0000-0000-000022680000}"/>
    <cellStyle name="Normal 7 4 2 4 2" xfId="18565" xr:uid="{00000000-0005-0000-0000-000023680000}"/>
    <cellStyle name="Normal 7 4 2 4 2 2" xfId="35139" xr:uid="{00000000-0005-0000-0000-000024680000}"/>
    <cellStyle name="Normal 7 4 2 4 3" xfId="27092" xr:uid="{00000000-0005-0000-0000-000025680000}"/>
    <cellStyle name="Normal 7 4 2 5" xfId="14780" xr:uid="{00000000-0005-0000-0000-000026680000}"/>
    <cellStyle name="Normal 7 4 2 5 2" xfId="31329" xr:uid="{00000000-0005-0000-0000-000027680000}"/>
    <cellStyle name="Normal 7 4 2 6" xfId="23286" xr:uid="{00000000-0005-0000-0000-000028680000}"/>
    <cellStyle name="Normal 7 4 3" xfId="5470" xr:uid="{00000000-0005-0000-0000-000029680000}"/>
    <cellStyle name="Normal 7 4 3 2" xfId="5471" xr:uid="{00000000-0005-0000-0000-00002A680000}"/>
    <cellStyle name="Normal 7 4 3 2 2" xfId="9392" xr:uid="{00000000-0005-0000-0000-00002B680000}"/>
    <cellStyle name="Normal 7 4 3 2 2 2" xfId="18566" xr:uid="{00000000-0005-0000-0000-00002C680000}"/>
    <cellStyle name="Normal 7 4 3 2 2 2 2" xfId="35140" xr:uid="{00000000-0005-0000-0000-00002D680000}"/>
    <cellStyle name="Normal 7 4 3 2 2 3" xfId="27093" xr:uid="{00000000-0005-0000-0000-00002E680000}"/>
    <cellStyle name="Normal 7 4 3 2 3" xfId="14786" xr:uid="{00000000-0005-0000-0000-00002F680000}"/>
    <cellStyle name="Normal 7 4 3 2 3 2" xfId="31335" xr:uid="{00000000-0005-0000-0000-000030680000}"/>
    <cellStyle name="Normal 7 4 3 2 4" xfId="23292" xr:uid="{00000000-0005-0000-0000-000031680000}"/>
    <cellStyle name="Normal 7 4 3 3" xfId="9393" xr:uid="{00000000-0005-0000-0000-000032680000}"/>
    <cellStyle name="Normal 7 4 3 3 2" xfId="18567" xr:uid="{00000000-0005-0000-0000-000033680000}"/>
    <cellStyle name="Normal 7 4 3 3 2 2" xfId="35141" xr:uid="{00000000-0005-0000-0000-000034680000}"/>
    <cellStyle name="Normal 7 4 3 3 3" xfId="27094" xr:uid="{00000000-0005-0000-0000-000035680000}"/>
    <cellStyle name="Normal 7 4 3 4" xfId="14785" xr:uid="{00000000-0005-0000-0000-000036680000}"/>
    <cellStyle name="Normal 7 4 3 4 2" xfId="31334" xr:uid="{00000000-0005-0000-0000-000037680000}"/>
    <cellStyle name="Normal 7 4 3 5" xfId="23291" xr:uid="{00000000-0005-0000-0000-000038680000}"/>
    <cellStyle name="Normal 7 4 4" xfId="5472" xr:uid="{00000000-0005-0000-0000-000039680000}"/>
    <cellStyle name="Normal 7 4 4 2" xfId="9394" xr:uid="{00000000-0005-0000-0000-00003A680000}"/>
    <cellStyle name="Normal 7 4 4 2 2" xfId="18568" xr:uid="{00000000-0005-0000-0000-00003B680000}"/>
    <cellStyle name="Normal 7 4 4 2 2 2" xfId="35142" xr:uid="{00000000-0005-0000-0000-00003C680000}"/>
    <cellStyle name="Normal 7 4 4 2 3" xfId="27095" xr:uid="{00000000-0005-0000-0000-00003D680000}"/>
    <cellStyle name="Normal 7 4 4 3" xfId="14787" xr:uid="{00000000-0005-0000-0000-00003E680000}"/>
    <cellStyle name="Normal 7 4 4 3 2" xfId="31336" xr:uid="{00000000-0005-0000-0000-00003F680000}"/>
    <cellStyle name="Normal 7 4 4 4" xfId="23293" xr:uid="{00000000-0005-0000-0000-000040680000}"/>
    <cellStyle name="Normal 7 4 5" xfId="9395" xr:uid="{00000000-0005-0000-0000-000041680000}"/>
    <cellStyle name="Normal 7 4 5 2" xfId="18569" xr:uid="{00000000-0005-0000-0000-000042680000}"/>
    <cellStyle name="Normal 7 4 5 2 2" xfId="35143" xr:uid="{00000000-0005-0000-0000-000043680000}"/>
    <cellStyle name="Normal 7 4 5 3" xfId="27096" xr:uid="{00000000-0005-0000-0000-000044680000}"/>
    <cellStyle name="Normal 7 4 6" xfId="14779" xr:uid="{00000000-0005-0000-0000-000045680000}"/>
    <cellStyle name="Normal 7 4 6 2" xfId="31328" xr:uid="{00000000-0005-0000-0000-000046680000}"/>
    <cellStyle name="Normal 7 4 7" xfId="23285" xr:uid="{00000000-0005-0000-0000-000047680000}"/>
    <cellStyle name="Normal 7 4 8" xfId="1774" xr:uid="{00000000-0005-0000-0000-000048680000}"/>
    <cellStyle name="Normal 7 5" xfId="1734" xr:uid="{00000000-0005-0000-0000-000049680000}"/>
    <cellStyle name="Normal 7 5 2" xfId="5474" xr:uid="{00000000-0005-0000-0000-00004A680000}"/>
    <cellStyle name="Normal 7 5 2 2" xfId="5475" xr:uid="{00000000-0005-0000-0000-00004B680000}"/>
    <cellStyle name="Normal 7 5 2 2 2" xfId="9396" xr:uid="{00000000-0005-0000-0000-00004C680000}"/>
    <cellStyle name="Normal 7 5 2 2 2 2" xfId="18570" xr:uid="{00000000-0005-0000-0000-00004D680000}"/>
    <cellStyle name="Normal 7 5 2 2 2 2 2" xfId="35144" xr:uid="{00000000-0005-0000-0000-00004E680000}"/>
    <cellStyle name="Normal 7 5 2 2 2 3" xfId="27097" xr:uid="{00000000-0005-0000-0000-00004F680000}"/>
    <cellStyle name="Normal 7 5 2 2 3" xfId="14789" xr:uid="{00000000-0005-0000-0000-000050680000}"/>
    <cellStyle name="Normal 7 5 2 2 3 2" xfId="31339" xr:uid="{00000000-0005-0000-0000-000051680000}"/>
    <cellStyle name="Normal 7 5 2 2 4" xfId="23296" xr:uid="{00000000-0005-0000-0000-000052680000}"/>
    <cellStyle name="Normal 7 5 2 3" xfId="9397" xr:uid="{00000000-0005-0000-0000-000053680000}"/>
    <cellStyle name="Normal 7 5 2 3 2" xfId="18571" xr:uid="{00000000-0005-0000-0000-000054680000}"/>
    <cellStyle name="Normal 7 5 2 3 2 2" xfId="35145" xr:uid="{00000000-0005-0000-0000-000055680000}"/>
    <cellStyle name="Normal 7 5 2 3 3" xfId="27098" xr:uid="{00000000-0005-0000-0000-000056680000}"/>
    <cellStyle name="Normal 7 5 2 4" xfId="14788" xr:uid="{00000000-0005-0000-0000-000057680000}"/>
    <cellStyle name="Normal 7 5 2 4 2" xfId="31338" xr:uid="{00000000-0005-0000-0000-000058680000}"/>
    <cellStyle name="Normal 7 5 2 5" xfId="23295" xr:uid="{00000000-0005-0000-0000-000059680000}"/>
    <cellStyle name="Normal 7 5 3" xfId="5476" xr:uid="{00000000-0005-0000-0000-00005A680000}"/>
    <cellStyle name="Normal 7 5 3 2" xfId="9398" xr:uid="{00000000-0005-0000-0000-00005B680000}"/>
    <cellStyle name="Normal 7 5 3 2 2" xfId="18572" xr:uid="{00000000-0005-0000-0000-00005C680000}"/>
    <cellStyle name="Normal 7 5 3 2 2 2" xfId="35146" xr:uid="{00000000-0005-0000-0000-00005D680000}"/>
    <cellStyle name="Normal 7 5 3 2 3" xfId="27099" xr:uid="{00000000-0005-0000-0000-00005E680000}"/>
    <cellStyle name="Normal 7 5 3 3" xfId="14790" xr:uid="{00000000-0005-0000-0000-00005F680000}"/>
    <cellStyle name="Normal 7 5 3 3 2" xfId="31340" xr:uid="{00000000-0005-0000-0000-000060680000}"/>
    <cellStyle name="Normal 7 5 3 4" xfId="23297" xr:uid="{00000000-0005-0000-0000-000061680000}"/>
    <cellStyle name="Normal 7 5 4" xfId="9399" xr:uid="{00000000-0005-0000-0000-000062680000}"/>
    <cellStyle name="Normal 7 5 4 2" xfId="18573" xr:uid="{00000000-0005-0000-0000-000063680000}"/>
    <cellStyle name="Normal 7 5 4 2 2" xfId="35147" xr:uid="{00000000-0005-0000-0000-000064680000}"/>
    <cellStyle name="Normal 7 5 4 3" xfId="27100" xr:uid="{00000000-0005-0000-0000-000065680000}"/>
    <cellStyle name="Normal 7 5 5" xfId="5473" xr:uid="{00000000-0005-0000-0000-000066680000}"/>
    <cellStyle name="Normal 7 5 5 2" xfId="31337" xr:uid="{00000000-0005-0000-0000-000067680000}"/>
    <cellStyle name="Normal 7 5 6" xfId="23294" xr:uid="{00000000-0005-0000-0000-000068680000}"/>
    <cellStyle name="Normal 7 6" xfId="5477" xr:uid="{00000000-0005-0000-0000-000069680000}"/>
    <cellStyle name="Normal 7 6 2" xfId="5478" xr:uid="{00000000-0005-0000-0000-00006A680000}"/>
    <cellStyle name="Normal 7 6 2 2" xfId="9400" xr:uid="{00000000-0005-0000-0000-00006B680000}"/>
    <cellStyle name="Normal 7 6 2 2 2" xfId="18574" xr:uid="{00000000-0005-0000-0000-00006C680000}"/>
    <cellStyle name="Normal 7 6 2 2 2 2" xfId="35148" xr:uid="{00000000-0005-0000-0000-00006D680000}"/>
    <cellStyle name="Normal 7 6 2 2 3" xfId="27101" xr:uid="{00000000-0005-0000-0000-00006E680000}"/>
    <cellStyle name="Normal 7 6 2 3" xfId="14792" xr:uid="{00000000-0005-0000-0000-00006F680000}"/>
    <cellStyle name="Normal 7 6 2 3 2" xfId="31342" xr:uid="{00000000-0005-0000-0000-000070680000}"/>
    <cellStyle name="Normal 7 6 2 4" xfId="23299" xr:uid="{00000000-0005-0000-0000-000071680000}"/>
    <cellStyle name="Normal 7 6 3" xfId="9401" xr:uid="{00000000-0005-0000-0000-000072680000}"/>
    <cellStyle name="Normal 7 6 3 2" xfId="18575" xr:uid="{00000000-0005-0000-0000-000073680000}"/>
    <cellStyle name="Normal 7 6 3 2 2" xfId="35149" xr:uid="{00000000-0005-0000-0000-000074680000}"/>
    <cellStyle name="Normal 7 6 3 3" xfId="27102" xr:uid="{00000000-0005-0000-0000-000075680000}"/>
    <cellStyle name="Normal 7 6 4" xfId="14791" xr:uid="{00000000-0005-0000-0000-000076680000}"/>
    <cellStyle name="Normal 7 6 4 2" xfId="31341" xr:uid="{00000000-0005-0000-0000-000077680000}"/>
    <cellStyle name="Normal 7 6 5" xfId="23298" xr:uid="{00000000-0005-0000-0000-000078680000}"/>
    <cellStyle name="Normal 7 7" xfId="5479" xr:uid="{00000000-0005-0000-0000-000079680000}"/>
    <cellStyle name="Normal 7 7 2" xfId="9402" xr:uid="{00000000-0005-0000-0000-00007A680000}"/>
    <cellStyle name="Normal 7 7 2 2" xfId="18576" xr:uid="{00000000-0005-0000-0000-00007B680000}"/>
    <cellStyle name="Normal 7 7 2 2 2" xfId="35150" xr:uid="{00000000-0005-0000-0000-00007C680000}"/>
    <cellStyle name="Normal 7 7 2 3" xfId="27103" xr:uid="{00000000-0005-0000-0000-00007D680000}"/>
    <cellStyle name="Normal 7 7 3" xfId="14793" xr:uid="{00000000-0005-0000-0000-00007E680000}"/>
    <cellStyle name="Normal 7 7 3 2" xfId="31343" xr:uid="{00000000-0005-0000-0000-00007F680000}"/>
    <cellStyle name="Normal 7 7 4" xfId="23300" xr:uid="{00000000-0005-0000-0000-000080680000}"/>
    <cellStyle name="Normal 7 8" xfId="9403" xr:uid="{00000000-0005-0000-0000-000081680000}"/>
    <cellStyle name="Normal 7 8 2" xfId="18577" xr:uid="{00000000-0005-0000-0000-000082680000}"/>
    <cellStyle name="Normal 7 8 2 2" xfId="35151" xr:uid="{00000000-0005-0000-0000-000083680000}"/>
    <cellStyle name="Normal 7 8 3" xfId="27104" xr:uid="{00000000-0005-0000-0000-000084680000}"/>
    <cellStyle name="Normal 7 9" xfId="10415" xr:uid="{00000000-0005-0000-0000-000085680000}"/>
    <cellStyle name="Normal 7 9 2" xfId="19578" xr:uid="{00000000-0005-0000-0000-000086680000}"/>
    <cellStyle name="Normal 7 9 2 2" xfId="36155" xr:uid="{00000000-0005-0000-0000-000087680000}"/>
    <cellStyle name="Normal 7 9 3" xfId="28109" xr:uid="{00000000-0005-0000-0000-000088680000}"/>
    <cellStyle name="Normal 70" xfId="5480" xr:uid="{00000000-0005-0000-0000-000089680000}"/>
    <cellStyle name="Normal 70 10" xfId="14794" xr:uid="{00000000-0005-0000-0000-00008A680000}"/>
    <cellStyle name="Normal 70 10 2" xfId="31344" xr:uid="{00000000-0005-0000-0000-00008B680000}"/>
    <cellStyle name="Normal 70 11" xfId="23301" xr:uid="{00000000-0005-0000-0000-00008C680000}"/>
    <cellStyle name="Normal 70 2" xfId="5481" xr:uid="{00000000-0005-0000-0000-00008D680000}"/>
    <cellStyle name="Normal 70 2 2" xfId="5482" xr:uid="{00000000-0005-0000-0000-00008E680000}"/>
    <cellStyle name="Normal 70 2 3" xfId="14795" xr:uid="{00000000-0005-0000-0000-00008F680000}"/>
    <cellStyle name="Normal 70 2 3 2" xfId="31345" xr:uid="{00000000-0005-0000-0000-000090680000}"/>
    <cellStyle name="Normal 70 2 4" xfId="23302" xr:uid="{00000000-0005-0000-0000-000091680000}"/>
    <cellStyle name="Normal 70 3" xfId="5483" xr:uid="{00000000-0005-0000-0000-000092680000}"/>
    <cellStyle name="Normal 70 3 2" xfId="5484" xr:uid="{00000000-0005-0000-0000-000093680000}"/>
    <cellStyle name="Normal 70 3 2 2" xfId="5485" xr:uid="{00000000-0005-0000-0000-000094680000}"/>
    <cellStyle name="Normal 70 3 2 2 2" xfId="5486" xr:uid="{00000000-0005-0000-0000-000095680000}"/>
    <cellStyle name="Normal 70 3 2 2 2 2" xfId="9404" xr:uid="{00000000-0005-0000-0000-000096680000}"/>
    <cellStyle name="Normal 70 3 2 2 2 2 2" xfId="18578" xr:uid="{00000000-0005-0000-0000-000097680000}"/>
    <cellStyle name="Normal 70 3 2 2 2 2 2 2" xfId="35152" xr:uid="{00000000-0005-0000-0000-000098680000}"/>
    <cellStyle name="Normal 70 3 2 2 2 2 3" xfId="27105" xr:uid="{00000000-0005-0000-0000-000099680000}"/>
    <cellStyle name="Normal 70 3 2 2 2 3" xfId="14798" xr:uid="{00000000-0005-0000-0000-00009A680000}"/>
    <cellStyle name="Normal 70 3 2 2 2 3 2" xfId="31348" xr:uid="{00000000-0005-0000-0000-00009B680000}"/>
    <cellStyle name="Normal 70 3 2 2 2 4" xfId="23305" xr:uid="{00000000-0005-0000-0000-00009C680000}"/>
    <cellStyle name="Normal 70 3 2 2 3" xfId="9405" xr:uid="{00000000-0005-0000-0000-00009D680000}"/>
    <cellStyle name="Normal 70 3 2 2 3 2" xfId="18579" xr:uid="{00000000-0005-0000-0000-00009E680000}"/>
    <cellStyle name="Normal 70 3 2 2 3 2 2" xfId="35153" xr:uid="{00000000-0005-0000-0000-00009F680000}"/>
    <cellStyle name="Normal 70 3 2 2 3 3" xfId="27106" xr:uid="{00000000-0005-0000-0000-0000A0680000}"/>
    <cellStyle name="Normal 70 3 2 2 4" xfId="14797" xr:uid="{00000000-0005-0000-0000-0000A1680000}"/>
    <cellStyle name="Normal 70 3 2 2 4 2" xfId="31347" xr:uid="{00000000-0005-0000-0000-0000A2680000}"/>
    <cellStyle name="Normal 70 3 2 2 5" xfId="23304" xr:uid="{00000000-0005-0000-0000-0000A3680000}"/>
    <cellStyle name="Normal 70 3 2 3" xfId="5487" xr:uid="{00000000-0005-0000-0000-0000A4680000}"/>
    <cellStyle name="Normal 70 3 2 3 2" xfId="9406" xr:uid="{00000000-0005-0000-0000-0000A5680000}"/>
    <cellStyle name="Normal 70 3 2 3 2 2" xfId="18580" xr:uid="{00000000-0005-0000-0000-0000A6680000}"/>
    <cellStyle name="Normal 70 3 2 3 2 2 2" xfId="35154" xr:uid="{00000000-0005-0000-0000-0000A7680000}"/>
    <cellStyle name="Normal 70 3 2 3 2 3" xfId="27107" xr:uid="{00000000-0005-0000-0000-0000A8680000}"/>
    <cellStyle name="Normal 70 3 2 3 3" xfId="14799" xr:uid="{00000000-0005-0000-0000-0000A9680000}"/>
    <cellStyle name="Normal 70 3 2 3 3 2" xfId="31349" xr:uid="{00000000-0005-0000-0000-0000AA680000}"/>
    <cellStyle name="Normal 70 3 2 3 4" xfId="23306" xr:uid="{00000000-0005-0000-0000-0000AB680000}"/>
    <cellStyle name="Normal 70 3 2 4" xfId="9407" xr:uid="{00000000-0005-0000-0000-0000AC680000}"/>
    <cellStyle name="Normal 70 3 2 4 2" xfId="18581" xr:uid="{00000000-0005-0000-0000-0000AD680000}"/>
    <cellStyle name="Normal 70 3 2 4 2 2" xfId="35155" xr:uid="{00000000-0005-0000-0000-0000AE680000}"/>
    <cellStyle name="Normal 70 3 2 4 3" xfId="27108" xr:uid="{00000000-0005-0000-0000-0000AF680000}"/>
    <cellStyle name="Normal 70 3 2 5" xfId="14796" xr:uid="{00000000-0005-0000-0000-0000B0680000}"/>
    <cellStyle name="Normal 70 3 2 5 2" xfId="31346" xr:uid="{00000000-0005-0000-0000-0000B1680000}"/>
    <cellStyle name="Normal 70 3 2 6" xfId="23303" xr:uid="{00000000-0005-0000-0000-0000B2680000}"/>
    <cellStyle name="Normal 70 3 3" xfId="5488" xr:uid="{00000000-0005-0000-0000-0000B3680000}"/>
    <cellStyle name="Normal 70 3 3 2" xfId="5489" xr:uid="{00000000-0005-0000-0000-0000B4680000}"/>
    <cellStyle name="Normal 70 3 3 2 2" xfId="9408" xr:uid="{00000000-0005-0000-0000-0000B5680000}"/>
    <cellStyle name="Normal 70 3 3 2 2 2" xfId="18582" xr:uid="{00000000-0005-0000-0000-0000B6680000}"/>
    <cellStyle name="Normal 70 3 3 2 2 2 2" xfId="35156" xr:uid="{00000000-0005-0000-0000-0000B7680000}"/>
    <cellStyle name="Normal 70 3 3 2 2 3" xfId="27109" xr:uid="{00000000-0005-0000-0000-0000B8680000}"/>
    <cellStyle name="Normal 70 3 3 2 3" xfId="14801" xr:uid="{00000000-0005-0000-0000-0000B9680000}"/>
    <cellStyle name="Normal 70 3 3 2 3 2" xfId="31351" xr:uid="{00000000-0005-0000-0000-0000BA680000}"/>
    <cellStyle name="Normal 70 3 3 2 4" xfId="23308" xr:uid="{00000000-0005-0000-0000-0000BB680000}"/>
    <cellStyle name="Normal 70 3 3 3" xfId="9409" xr:uid="{00000000-0005-0000-0000-0000BC680000}"/>
    <cellStyle name="Normal 70 3 3 3 2" xfId="18583" xr:uid="{00000000-0005-0000-0000-0000BD680000}"/>
    <cellStyle name="Normal 70 3 3 3 2 2" xfId="35157" xr:uid="{00000000-0005-0000-0000-0000BE680000}"/>
    <cellStyle name="Normal 70 3 3 3 3" xfId="27110" xr:uid="{00000000-0005-0000-0000-0000BF680000}"/>
    <cellStyle name="Normal 70 3 3 4" xfId="14800" xr:uid="{00000000-0005-0000-0000-0000C0680000}"/>
    <cellStyle name="Normal 70 3 3 4 2" xfId="31350" xr:uid="{00000000-0005-0000-0000-0000C1680000}"/>
    <cellStyle name="Normal 70 3 3 5" xfId="23307" xr:uid="{00000000-0005-0000-0000-0000C2680000}"/>
    <cellStyle name="Normal 70 3 4" xfId="5490" xr:uid="{00000000-0005-0000-0000-0000C3680000}"/>
    <cellStyle name="Normal 70 3 4 2" xfId="9410" xr:uid="{00000000-0005-0000-0000-0000C4680000}"/>
    <cellStyle name="Normal 70 3 4 2 2" xfId="18584" xr:uid="{00000000-0005-0000-0000-0000C5680000}"/>
    <cellStyle name="Normal 70 3 4 2 2 2" xfId="35158" xr:uid="{00000000-0005-0000-0000-0000C6680000}"/>
    <cellStyle name="Normal 70 3 4 2 3" xfId="27111" xr:uid="{00000000-0005-0000-0000-0000C7680000}"/>
    <cellStyle name="Normal 70 3 4 3" xfId="14802" xr:uid="{00000000-0005-0000-0000-0000C8680000}"/>
    <cellStyle name="Normal 70 3 4 3 2" xfId="31352" xr:uid="{00000000-0005-0000-0000-0000C9680000}"/>
    <cellStyle name="Normal 70 3 4 4" xfId="23309" xr:uid="{00000000-0005-0000-0000-0000CA680000}"/>
    <cellStyle name="Normal 70 3 5" xfId="5491" xr:uid="{00000000-0005-0000-0000-0000CB680000}"/>
    <cellStyle name="Normal 70 3 5 2" xfId="14803" xr:uid="{00000000-0005-0000-0000-0000CC680000}"/>
    <cellStyle name="Normal 70 3 5 2 2" xfId="31353" xr:uid="{00000000-0005-0000-0000-0000CD680000}"/>
    <cellStyle name="Normal 70 3 5 3" xfId="23310" xr:uid="{00000000-0005-0000-0000-0000CE680000}"/>
    <cellStyle name="Normal 70 4" xfId="5492" xr:uid="{00000000-0005-0000-0000-0000CF680000}"/>
    <cellStyle name="Normal 70 4 2" xfId="5493" xr:uid="{00000000-0005-0000-0000-0000D0680000}"/>
    <cellStyle name="Normal 70 4 2 2" xfId="5494" xr:uid="{00000000-0005-0000-0000-0000D1680000}"/>
    <cellStyle name="Normal 70 4 2 2 2" xfId="5495" xr:uid="{00000000-0005-0000-0000-0000D2680000}"/>
    <cellStyle name="Normal 70 4 2 2 2 2" xfId="9411" xr:uid="{00000000-0005-0000-0000-0000D3680000}"/>
    <cellStyle name="Normal 70 4 2 2 2 2 2" xfId="18585" xr:uid="{00000000-0005-0000-0000-0000D4680000}"/>
    <cellStyle name="Normal 70 4 2 2 2 2 2 2" xfId="35159" xr:uid="{00000000-0005-0000-0000-0000D5680000}"/>
    <cellStyle name="Normal 70 4 2 2 2 2 3" xfId="27112" xr:uid="{00000000-0005-0000-0000-0000D6680000}"/>
    <cellStyle name="Normal 70 4 2 2 2 3" xfId="14807" xr:uid="{00000000-0005-0000-0000-0000D7680000}"/>
    <cellStyle name="Normal 70 4 2 2 2 3 2" xfId="31357" xr:uid="{00000000-0005-0000-0000-0000D8680000}"/>
    <cellStyle name="Normal 70 4 2 2 2 4" xfId="23314" xr:uid="{00000000-0005-0000-0000-0000D9680000}"/>
    <cellStyle name="Normal 70 4 2 2 3" xfId="9412" xr:uid="{00000000-0005-0000-0000-0000DA680000}"/>
    <cellStyle name="Normal 70 4 2 2 3 2" xfId="18586" xr:uid="{00000000-0005-0000-0000-0000DB680000}"/>
    <cellStyle name="Normal 70 4 2 2 3 2 2" xfId="35160" xr:uid="{00000000-0005-0000-0000-0000DC680000}"/>
    <cellStyle name="Normal 70 4 2 2 3 3" xfId="27113" xr:uid="{00000000-0005-0000-0000-0000DD680000}"/>
    <cellStyle name="Normal 70 4 2 2 4" xfId="14806" xr:uid="{00000000-0005-0000-0000-0000DE680000}"/>
    <cellStyle name="Normal 70 4 2 2 4 2" xfId="31356" xr:uid="{00000000-0005-0000-0000-0000DF680000}"/>
    <cellStyle name="Normal 70 4 2 2 5" xfId="23313" xr:uid="{00000000-0005-0000-0000-0000E0680000}"/>
    <cellStyle name="Normal 70 4 2 3" xfId="5496" xr:uid="{00000000-0005-0000-0000-0000E1680000}"/>
    <cellStyle name="Normal 70 4 2 3 2" xfId="9413" xr:uid="{00000000-0005-0000-0000-0000E2680000}"/>
    <cellStyle name="Normal 70 4 2 3 2 2" xfId="18587" xr:uid="{00000000-0005-0000-0000-0000E3680000}"/>
    <cellStyle name="Normal 70 4 2 3 2 2 2" xfId="35161" xr:uid="{00000000-0005-0000-0000-0000E4680000}"/>
    <cellStyle name="Normal 70 4 2 3 2 3" xfId="27114" xr:uid="{00000000-0005-0000-0000-0000E5680000}"/>
    <cellStyle name="Normal 70 4 2 3 3" xfId="14808" xr:uid="{00000000-0005-0000-0000-0000E6680000}"/>
    <cellStyle name="Normal 70 4 2 3 3 2" xfId="31358" xr:uid="{00000000-0005-0000-0000-0000E7680000}"/>
    <cellStyle name="Normal 70 4 2 3 4" xfId="23315" xr:uid="{00000000-0005-0000-0000-0000E8680000}"/>
    <cellStyle name="Normal 70 4 2 4" xfId="9414" xr:uid="{00000000-0005-0000-0000-0000E9680000}"/>
    <cellStyle name="Normal 70 4 2 4 2" xfId="18588" xr:uid="{00000000-0005-0000-0000-0000EA680000}"/>
    <cellStyle name="Normal 70 4 2 4 2 2" xfId="35162" xr:uid="{00000000-0005-0000-0000-0000EB680000}"/>
    <cellStyle name="Normal 70 4 2 4 3" xfId="27115" xr:uid="{00000000-0005-0000-0000-0000EC680000}"/>
    <cellStyle name="Normal 70 4 2 5" xfId="14805" xr:uid="{00000000-0005-0000-0000-0000ED680000}"/>
    <cellStyle name="Normal 70 4 2 5 2" xfId="31355" xr:uid="{00000000-0005-0000-0000-0000EE680000}"/>
    <cellStyle name="Normal 70 4 2 6" xfId="23312" xr:uid="{00000000-0005-0000-0000-0000EF680000}"/>
    <cellStyle name="Normal 70 4 3" xfId="5497" xr:uid="{00000000-0005-0000-0000-0000F0680000}"/>
    <cellStyle name="Normal 70 4 3 2" xfId="5498" xr:uid="{00000000-0005-0000-0000-0000F1680000}"/>
    <cellStyle name="Normal 70 4 3 2 2" xfId="9415" xr:uid="{00000000-0005-0000-0000-0000F2680000}"/>
    <cellStyle name="Normal 70 4 3 2 2 2" xfId="18589" xr:uid="{00000000-0005-0000-0000-0000F3680000}"/>
    <cellStyle name="Normal 70 4 3 2 2 2 2" xfId="35163" xr:uid="{00000000-0005-0000-0000-0000F4680000}"/>
    <cellStyle name="Normal 70 4 3 2 2 3" xfId="27116" xr:uid="{00000000-0005-0000-0000-0000F5680000}"/>
    <cellStyle name="Normal 70 4 3 2 3" xfId="14810" xr:uid="{00000000-0005-0000-0000-0000F6680000}"/>
    <cellStyle name="Normal 70 4 3 2 3 2" xfId="31360" xr:uid="{00000000-0005-0000-0000-0000F7680000}"/>
    <cellStyle name="Normal 70 4 3 2 4" xfId="23317" xr:uid="{00000000-0005-0000-0000-0000F8680000}"/>
    <cellStyle name="Normal 70 4 3 3" xfId="9416" xr:uid="{00000000-0005-0000-0000-0000F9680000}"/>
    <cellStyle name="Normal 70 4 3 3 2" xfId="18590" xr:uid="{00000000-0005-0000-0000-0000FA680000}"/>
    <cellStyle name="Normal 70 4 3 3 2 2" xfId="35164" xr:uid="{00000000-0005-0000-0000-0000FB680000}"/>
    <cellStyle name="Normal 70 4 3 3 3" xfId="27117" xr:uid="{00000000-0005-0000-0000-0000FC680000}"/>
    <cellStyle name="Normal 70 4 3 4" xfId="14809" xr:uid="{00000000-0005-0000-0000-0000FD680000}"/>
    <cellStyle name="Normal 70 4 3 4 2" xfId="31359" xr:uid="{00000000-0005-0000-0000-0000FE680000}"/>
    <cellStyle name="Normal 70 4 3 5" xfId="23316" xr:uid="{00000000-0005-0000-0000-0000FF680000}"/>
    <cellStyle name="Normal 70 4 4" xfId="5499" xr:uid="{00000000-0005-0000-0000-000000690000}"/>
    <cellStyle name="Normal 70 4 4 2" xfId="9417" xr:uid="{00000000-0005-0000-0000-000001690000}"/>
    <cellStyle name="Normal 70 4 4 2 2" xfId="18591" xr:uid="{00000000-0005-0000-0000-000002690000}"/>
    <cellStyle name="Normal 70 4 4 2 2 2" xfId="35165" xr:uid="{00000000-0005-0000-0000-000003690000}"/>
    <cellStyle name="Normal 70 4 4 2 3" xfId="27118" xr:uid="{00000000-0005-0000-0000-000004690000}"/>
    <cellStyle name="Normal 70 4 4 3" xfId="14811" xr:uid="{00000000-0005-0000-0000-000005690000}"/>
    <cellStyle name="Normal 70 4 4 3 2" xfId="31361" xr:uid="{00000000-0005-0000-0000-000006690000}"/>
    <cellStyle name="Normal 70 4 4 4" xfId="23318" xr:uid="{00000000-0005-0000-0000-000007690000}"/>
    <cellStyle name="Normal 70 4 5" xfId="9418" xr:uid="{00000000-0005-0000-0000-000008690000}"/>
    <cellStyle name="Normal 70 4 5 2" xfId="18592" xr:uid="{00000000-0005-0000-0000-000009690000}"/>
    <cellStyle name="Normal 70 4 5 2 2" xfId="35166" xr:uid="{00000000-0005-0000-0000-00000A690000}"/>
    <cellStyle name="Normal 70 4 5 3" xfId="27119" xr:uid="{00000000-0005-0000-0000-00000B690000}"/>
    <cellStyle name="Normal 70 4 6" xfId="14804" xr:uid="{00000000-0005-0000-0000-00000C690000}"/>
    <cellStyle name="Normal 70 4 6 2" xfId="31354" xr:uid="{00000000-0005-0000-0000-00000D690000}"/>
    <cellStyle name="Normal 70 4 7" xfId="23311" xr:uid="{00000000-0005-0000-0000-00000E690000}"/>
    <cellStyle name="Normal 70 5" xfId="5500" xr:uid="{00000000-0005-0000-0000-00000F690000}"/>
    <cellStyle name="Normal 70 5 2" xfId="5501" xr:uid="{00000000-0005-0000-0000-000010690000}"/>
    <cellStyle name="Normal 70 5 2 2" xfId="5502" xr:uid="{00000000-0005-0000-0000-000011690000}"/>
    <cellStyle name="Normal 70 5 2 2 2" xfId="5503" xr:uid="{00000000-0005-0000-0000-000012690000}"/>
    <cellStyle name="Normal 70 5 2 2 2 2" xfId="9419" xr:uid="{00000000-0005-0000-0000-000013690000}"/>
    <cellStyle name="Normal 70 5 2 2 2 2 2" xfId="18593" xr:uid="{00000000-0005-0000-0000-000014690000}"/>
    <cellStyle name="Normal 70 5 2 2 2 2 2 2" xfId="35167" xr:uid="{00000000-0005-0000-0000-000015690000}"/>
    <cellStyle name="Normal 70 5 2 2 2 2 3" xfId="27120" xr:uid="{00000000-0005-0000-0000-000016690000}"/>
    <cellStyle name="Normal 70 5 2 2 2 3" xfId="14815" xr:uid="{00000000-0005-0000-0000-000017690000}"/>
    <cellStyle name="Normal 70 5 2 2 2 3 2" xfId="31365" xr:uid="{00000000-0005-0000-0000-000018690000}"/>
    <cellStyle name="Normal 70 5 2 2 2 4" xfId="23322" xr:uid="{00000000-0005-0000-0000-000019690000}"/>
    <cellStyle name="Normal 70 5 2 2 3" xfId="9420" xr:uid="{00000000-0005-0000-0000-00001A690000}"/>
    <cellStyle name="Normal 70 5 2 2 3 2" xfId="18594" xr:uid="{00000000-0005-0000-0000-00001B690000}"/>
    <cellStyle name="Normal 70 5 2 2 3 2 2" xfId="35168" xr:uid="{00000000-0005-0000-0000-00001C690000}"/>
    <cellStyle name="Normal 70 5 2 2 3 3" xfId="27121" xr:uid="{00000000-0005-0000-0000-00001D690000}"/>
    <cellStyle name="Normal 70 5 2 2 4" xfId="14814" xr:uid="{00000000-0005-0000-0000-00001E690000}"/>
    <cellStyle name="Normal 70 5 2 2 4 2" xfId="31364" xr:uid="{00000000-0005-0000-0000-00001F690000}"/>
    <cellStyle name="Normal 70 5 2 2 5" xfId="23321" xr:uid="{00000000-0005-0000-0000-000020690000}"/>
    <cellStyle name="Normal 70 5 2 3" xfId="5504" xr:uid="{00000000-0005-0000-0000-000021690000}"/>
    <cellStyle name="Normal 70 5 2 3 2" xfId="9421" xr:uid="{00000000-0005-0000-0000-000022690000}"/>
    <cellStyle name="Normal 70 5 2 3 2 2" xfId="18595" xr:uid="{00000000-0005-0000-0000-000023690000}"/>
    <cellStyle name="Normal 70 5 2 3 2 2 2" xfId="35169" xr:uid="{00000000-0005-0000-0000-000024690000}"/>
    <cellStyle name="Normal 70 5 2 3 2 3" xfId="27122" xr:uid="{00000000-0005-0000-0000-000025690000}"/>
    <cellStyle name="Normal 70 5 2 3 3" xfId="14816" xr:uid="{00000000-0005-0000-0000-000026690000}"/>
    <cellStyle name="Normal 70 5 2 3 3 2" xfId="31366" xr:uid="{00000000-0005-0000-0000-000027690000}"/>
    <cellStyle name="Normal 70 5 2 3 4" xfId="23323" xr:uid="{00000000-0005-0000-0000-000028690000}"/>
    <cellStyle name="Normal 70 5 2 4" xfId="9422" xr:uid="{00000000-0005-0000-0000-000029690000}"/>
    <cellStyle name="Normal 70 5 2 4 2" xfId="18596" xr:uid="{00000000-0005-0000-0000-00002A690000}"/>
    <cellStyle name="Normal 70 5 2 4 2 2" xfId="35170" xr:uid="{00000000-0005-0000-0000-00002B690000}"/>
    <cellStyle name="Normal 70 5 2 4 3" xfId="27123" xr:uid="{00000000-0005-0000-0000-00002C690000}"/>
    <cellStyle name="Normal 70 5 2 5" xfId="14813" xr:uid="{00000000-0005-0000-0000-00002D690000}"/>
    <cellStyle name="Normal 70 5 2 5 2" xfId="31363" xr:uid="{00000000-0005-0000-0000-00002E690000}"/>
    <cellStyle name="Normal 70 5 2 6" xfId="23320" xr:uid="{00000000-0005-0000-0000-00002F690000}"/>
    <cellStyle name="Normal 70 5 3" xfId="5505" xr:uid="{00000000-0005-0000-0000-000030690000}"/>
    <cellStyle name="Normal 70 5 3 2" xfId="5506" xr:uid="{00000000-0005-0000-0000-000031690000}"/>
    <cellStyle name="Normal 70 5 3 2 2" xfId="9423" xr:uid="{00000000-0005-0000-0000-000032690000}"/>
    <cellStyle name="Normal 70 5 3 2 2 2" xfId="18597" xr:uid="{00000000-0005-0000-0000-000033690000}"/>
    <cellStyle name="Normal 70 5 3 2 2 2 2" xfId="35171" xr:uid="{00000000-0005-0000-0000-000034690000}"/>
    <cellStyle name="Normal 70 5 3 2 2 3" xfId="27124" xr:uid="{00000000-0005-0000-0000-000035690000}"/>
    <cellStyle name="Normal 70 5 3 2 3" xfId="14818" xr:uid="{00000000-0005-0000-0000-000036690000}"/>
    <cellStyle name="Normal 70 5 3 2 3 2" xfId="31368" xr:uid="{00000000-0005-0000-0000-000037690000}"/>
    <cellStyle name="Normal 70 5 3 2 4" xfId="23325" xr:uid="{00000000-0005-0000-0000-000038690000}"/>
    <cellStyle name="Normal 70 5 3 3" xfId="9424" xr:uid="{00000000-0005-0000-0000-000039690000}"/>
    <cellStyle name="Normal 70 5 3 3 2" xfId="18598" xr:uid="{00000000-0005-0000-0000-00003A690000}"/>
    <cellStyle name="Normal 70 5 3 3 2 2" xfId="35172" xr:uid="{00000000-0005-0000-0000-00003B690000}"/>
    <cellStyle name="Normal 70 5 3 3 3" xfId="27125" xr:uid="{00000000-0005-0000-0000-00003C690000}"/>
    <cellStyle name="Normal 70 5 3 4" xfId="14817" xr:uid="{00000000-0005-0000-0000-00003D690000}"/>
    <cellStyle name="Normal 70 5 3 4 2" xfId="31367" xr:uid="{00000000-0005-0000-0000-00003E690000}"/>
    <cellStyle name="Normal 70 5 3 5" xfId="23324" xr:uid="{00000000-0005-0000-0000-00003F690000}"/>
    <cellStyle name="Normal 70 5 4" xfId="5507" xr:uid="{00000000-0005-0000-0000-000040690000}"/>
    <cellStyle name="Normal 70 5 4 2" xfId="9425" xr:uid="{00000000-0005-0000-0000-000041690000}"/>
    <cellStyle name="Normal 70 5 4 2 2" xfId="18599" xr:uid="{00000000-0005-0000-0000-000042690000}"/>
    <cellStyle name="Normal 70 5 4 2 2 2" xfId="35173" xr:uid="{00000000-0005-0000-0000-000043690000}"/>
    <cellStyle name="Normal 70 5 4 2 3" xfId="27126" xr:uid="{00000000-0005-0000-0000-000044690000}"/>
    <cellStyle name="Normal 70 5 4 3" xfId="14819" xr:uid="{00000000-0005-0000-0000-000045690000}"/>
    <cellStyle name="Normal 70 5 4 3 2" xfId="31369" xr:uid="{00000000-0005-0000-0000-000046690000}"/>
    <cellStyle name="Normal 70 5 4 4" xfId="23326" xr:uid="{00000000-0005-0000-0000-000047690000}"/>
    <cellStyle name="Normal 70 5 5" xfId="9426" xr:uid="{00000000-0005-0000-0000-000048690000}"/>
    <cellStyle name="Normal 70 5 5 2" xfId="18600" xr:uid="{00000000-0005-0000-0000-000049690000}"/>
    <cellStyle name="Normal 70 5 5 2 2" xfId="35174" xr:uid="{00000000-0005-0000-0000-00004A690000}"/>
    <cellStyle name="Normal 70 5 5 3" xfId="27127" xr:uid="{00000000-0005-0000-0000-00004B690000}"/>
    <cellStyle name="Normal 70 5 6" xfId="14812" xr:uid="{00000000-0005-0000-0000-00004C690000}"/>
    <cellStyle name="Normal 70 5 6 2" xfId="31362" xr:uid="{00000000-0005-0000-0000-00004D690000}"/>
    <cellStyle name="Normal 70 5 7" xfId="23319" xr:uid="{00000000-0005-0000-0000-00004E690000}"/>
    <cellStyle name="Normal 70 6" xfId="5508" xr:uid="{00000000-0005-0000-0000-00004F690000}"/>
    <cellStyle name="Normal 70 6 2" xfId="5509" xr:uid="{00000000-0005-0000-0000-000050690000}"/>
    <cellStyle name="Normal 70 6 2 2" xfId="5510" xr:uid="{00000000-0005-0000-0000-000051690000}"/>
    <cellStyle name="Normal 70 6 2 2 2" xfId="9427" xr:uid="{00000000-0005-0000-0000-000052690000}"/>
    <cellStyle name="Normal 70 6 2 2 2 2" xfId="18601" xr:uid="{00000000-0005-0000-0000-000053690000}"/>
    <cellStyle name="Normal 70 6 2 2 2 2 2" xfId="35175" xr:uid="{00000000-0005-0000-0000-000054690000}"/>
    <cellStyle name="Normal 70 6 2 2 2 3" xfId="27128" xr:uid="{00000000-0005-0000-0000-000055690000}"/>
    <cellStyle name="Normal 70 6 2 2 3" xfId="14822" xr:uid="{00000000-0005-0000-0000-000056690000}"/>
    <cellStyle name="Normal 70 6 2 2 3 2" xfId="31372" xr:uid="{00000000-0005-0000-0000-000057690000}"/>
    <cellStyle name="Normal 70 6 2 2 4" xfId="23329" xr:uid="{00000000-0005-0000-0000-000058690000}"/>
    <cellStyle name="Normal 70 6 2 3" xfId="9428" xr:uid="{00000000-0005-0000-0000-000059690000}"/>
    <cellStyle name="Normal 70 6 2 3 2" xfId="18602" xr:uid="{00000000-0005-0000-0000-00005A690000}"/>
    <cellStyle name="Normal 70 6 2 3 2 2" xfId="35176" xr:uid="{00000000-0005-0000-0000-00005B690000}"/>
    <cellStyle name="Normal 70 6 2 3 3" xfId="27129" xr:uid="{00000000-0005-0000-0000-00005C690000}"/>
    <cellStyle name="Normal 70 6 2 4" xfId="14821" xr:uid="{00000000-0005-0000-0000-00005D690000}"/>
    <cellStyle name="Normal 70 6 2 4 2" xfId="31371" xr:uid="{00000000-0005-0000-0000-00005E690000}"/>
    <cellStyle name="Normal 70 6 2 5" xfId="23328" xr:uid="{00000000-0005-0000-0000-00005F690000}"/>
    <cellStyle name="Normal 70 6 3" xfId="5511" xr:uid="{00000000-0005-0000-0000-000060690000}"/>
    <cellStyle name="Normal 70 6 3 2" xfId="9429" xr:uid="{00000000-0005-0000-0000-000061690000}"/>
    <cellStyle name="Normal 70 6 3 2 2" xfId="18603" xr:uid="{00000000-0005-0000-0000-000062690000}"/>
    <cellStyle name="Normal 70 6 3 2 2 2" xfId="35177" xr:uid="{00000000-0005-0000-0000-000063690000}"/>
    <cellStyle name="Normal 70 6 3 2 3" xfId="27130" xr:uid="{00000000-0005-0000-0000-000064690000}"/>
    <cellStyle name="Normal 70 6 3 3" xfId="14823" xr:uid="{00000000-0005-0000-0000-000065690000}"/>
    <cellStyle name="Normal 70 6 3 3 2" xfId="31373" xr:uid="{00000000-0005-0000-0000-000066690000}"/>
    <cellStyle name="Normal 70 6 3 4" xfId="23330" xr:uid="{00000000-0005-0000-0000-000067690000}"/>
    <cellStyle name="Normal 70 6 4" xfId="9430" xr:uid="{00000000-0005-0000-0000-000068690000}"/>
    <cellStyle name="Normal 70 6 4 2" xfId="18604" xr:uid="{00000000-0005-0000-0000-000069690000}"/>
    <cellStyle name="Normal 70 6 4 2 2" xfId="35178" xr:uid="{00000000-0005-0000-0000-00006A690000}"/>
    <cellStyle name="Normal 70 6 4 3" xfId="27131" xr:uid="{00000000-0005-0000-0000-00006B690000}"/>
    <cellStyle name="Normal 70 6 5" xfId="14820" xr:uid="{00000000-0005-0000-0000-00006C690000}"/>
    <cellStyle name="Normal 70 6 5 2" xfId="31370" xr:uid="{00000000-0005-0000-0000-00006D690000}"/>
    <cellStyle name="Normal 70 6 6" xfId="23327" xr:uid="{00000000-0005-0000-0000-00006E690000}"/>
    <cellStyle name="Normal 70 7" xfId="5512" xr:uid="{00000000-0005-0000-0000-00006F690000}"/>
    <cellStyle name="Normal 70 7 2" xfId="5513" xr:uid="{00000000-0005-0000-0000-000070690000}"/>
    <cellStyle name="Normal 70 7 2 2" xfId="9431" xr:uid="{00000000-0005-0000-0000-000071690000}"/>
    <cellStyle name="Normal 70 7 2 2 2" xfId="18605" xr:uid="{00000000-0005-0000-0000-000072690000}"/>
    <cellStyle name="Normal 70 7 2 2 2 2" xfId="35179" xr:uid="{00000000-0005-0000-0000-000073690000}"/>
    <cellStyle name="Normal 70 7 2 2 3" xfId="27132" xr:uid="{00000000-0005-0000-0000-000074690000}"/>
    <cellStyle name="Normal 70 7 2 3" xfId="14825" xr:uid="{00000000-0005-0000-0000-000075690000}"/>
    <cellStyle name="Normal 70 7 2 3 2" xfId="31375" xr:uid="{00000000-0005-0000-0000-000076690000}"/>
    <cellStyle name="Normal 70 7 2 4" xfId="23332" xr:uid="{00000000-0005-0000-0000-000077690000}"/>
    <cellStyle name="Normal 70 7 3" xfId="9432" xr:uid="{00000000-0005-0000-0000-000078690000}"/>
    <cellStyle name="Normal 70 7 3 2" xfId="18606" xr:uid="{00000000-0005-0000-0000-000079690000}"/>
    <cellStyle name="Normal 70 7 3 2 2" xfId="35180" xr:uid="{00000000-0005-0000-0000-00007A690000}"/>
    <cellStyle name="Normal 70 7 3 3" xfId="27133" xr:uid="{00000000-0005-0000-0000-00007B690000}"/>
    <cellStyle name="Normal 70 7 4" xfId="14824" xr:uid="{00000000-0005-0000-0000-00007C690000}"/>
    <cellStyle name="Normal 70 7 4 2" xfId="31374" xr:uid="{00000000-0005-0000-0000-00007D690000}"/>
    <cellStyle name="Normal 70 7 5" xfId="23331" xr:uid="{00000000-0005-0000-0000-00007E690000}"/>
    <cellStyle name="Normal 70 8" xfId="5514" xr:uid="{00000000-0005-0000-0000-00007F690000}"/>
    <cellStyle name="Normal 70 8 2" xfId="9433" xr:uid="{00000000-0005-0000-0000-000080690000}"/>
    <cellStyle name="Normal 70 8 2 2" xfId="18607" xr:uid="{00000000-0005-0000-0000-000081690000}"/>
    <cellStyle name="Normal 70 8 2 2 2" xfId="35181" xr:uid="{00000000-0005-0000-0000-000082690000}"/>
    <cellStyle name="Normal 70 8 2 3" xfId="27134" xr:uid="{00000000-0005-0000-0000-000083690000}"/>
    <cellStyle name="Normal 70 8 3" xfId="14826" xr:uid="{00000000-0005-0000-0000-000084690000}"/>
    <cellStyle name="Normal 70 8 3 2" xfId="31376" xr:uid="{00000000-0005-0000-0000-000085690000}"/>
    <cellStyle name="Normal 70 8 4" xfId="23333" xr:uid="{00000000-0005-0000-0000-000086690000}"/>
    <cellStyle name="Normal 70 9" xfId="9434" xr:uid="{00000000-0005-0000-0000-000087690000}"/>
    <cellStyle name="Normal 70 9 2" xfId="18608" xr:uid="{00000000-0005-0000-0000-000088690000}"/>
    <cellStyle name="Normal 70 9 2 2" xfId="35182" xr:uid="{00000000-0005-0000-0000-000089690000}"/>
    <cellStyle name="Normal 70 9 3" xfId="27135" xr:uid="{00000000-0005-0000-0000-00008A690000}"/>
    <cellStyle name="Normal 71" xfId="5515" xr:uid="{00000000-0005-0000-0000-00008B690000}"/>
    <cellStyle name="Normal 71 10" xfId="14827" xr:uid="{00000000-0005-0000-0000-00008C690000}"/>
    <cellStyle name="Normal 71 10 2" xfId="31377" xr:uid="{00000000-0005-0000-0000-00008D690000}"/>
    <cellStyle name="Normal 71 11" xfId="23334" xr:uid="{00000000-0005-0000-0000-00008E690000}"/>
    <cellStyle name="Normal 71 2" xfId="5516" xr:uid="{00000000-0005-0000-0000-00008F690000}"/>
    <cellStyle name="Normal 71 2 2" xfId="5517" xr:uid="{00000000-0005-0000-0000-000090690000}"/>
    <cellStyle name="Normal 71 2 3" xfId="14828" xr:uid="{00000000-0005-0000-0000-000091690000}"/>
    <cellStyle name="Normal 71 2 3 2" xfId="31378" xr:uid="{00000000-0005-0000-0000-000092690000}"/>
    <cellStyle name="Normal 71 2 4" xfId="23335" xr:uid="{00000000-0005-0000-0000-000093690000}"/>
    <cellStyle name="Normal 71 3" xfId="5518" xr:uid="{00000000-0005-0000-0000-000094690000}"/>
    <cellStyle name="Normal 71 3 2" xfId="5519" xr:uid="{00000000-0005-0000-0000-000095690000}"/>
    <cellStyle name="Normal 71 3 2 2" xfId="5520" xr:uid="{00000000-0005-0000-0000-000096690000}"/>
    <cellStyle name="Normal 71 3 2 2 2" xfId="5521" xr:uid="{00000000-0005-0000-0000-000097690000}"/>
    <cellStyle name="Normal 71 3 2 2 2 2" xfId="9435" xr:uid="{00000000-0005-0000-0000-000098690000}"/>
    <cellStyle name="Normal 71 3 2 2 2 2 2" xfId="18609" xr:uid="{00000000-0005-0000-0000-000099690000}"/>
    <cellStyle name="Normal 71 3 2 2 2 2 2 2" xfId="35183" xr:uid="{00000000-0005-0000-0000-00009A690000}"/>
    <cellStyle name="Normal 71 3 2 2 2 2 3" xfId="27136" xr:uid="{00000000-0005-0000-0000-00009B690000}"/>
    <cellStyle name="Normal 71 3 2 2 2 3" xfId="14831" xr:uid="{00000000-0005-0000-0000-00009C690000}"/>
    <cellStyle name="Normal 71 3 2 2 2 3 2" xfId="31381" xr:uid="{00000000-0005-0000-0000-00009D690000}"/>
    <cellStyle name="Normal 71 3 2 2 2 4" xfId="23338" xr:uid="{00000000-0005-0000-0000-00009E690000}"/>
    <cellStyle name="Normal 71 3 2 2 3" xfId="9436" xr:uid="{00000000-0005-0000-0000-00009F690000}"/>
    <cellStyle name="Normal 71 3 2 2 3 2" xfId="18610" xr:uid="{00000000-0005-0000-0000-0000A0690000}"/>
    <cellStyle name="Normal 71 3 2 2 3 2 2" xfId="35184" xr:uid="{00000000-0005-0000-0000-0000A1690000}"/>
    <cellStyle name="Normal 71 3 2 2 3 3" xfId="27137" xr:uid="{00000000-0005-0000-0000-0000A2690000}"/>
    <cellStyle name="Normal 71 3 2 2 4" xfId="14830" xr:uid="{00000000-0005-0000-0000-0000A3690000}"/>
    <cellStyle name="Normal 71 3 2 2 4 2" xfId="31380" xr:uid="{00000000-0005-0000-0000-0000A4690000}"/>
    <cellStyle name="Normal 71 3 2 2 5" xfId="23337" xr:uid="{00000000-0005-0000-0000-0000A5690000}"/>
    <cellStyle name="Normal 71 3 2 3" xfId="5522" xr:uid="{00000000-0005-0000-0000-0000A6690000}"/>
    <cellStyle name="Normal 71 3 2 3 2" xfId="9437" xr:uid="{00000000-0005-0000-0000-0000A7690000}"/>
    <cellStyle name="Normal 71 3 2 3 2 2" xfId="18611" xr:uid="{00000000-0005-0000-0000-0000A8690000}"/>
    <cellStyle name="Normal 71 3 2 3 2 2 2" xfId="35185" xr:uid="{00000000-0005-0000-0000-0000A9690000}"/>
    <cellStyle name="Normal 71 3 2 3 2 3" xfId="27138" xr:uid="{00000000-0005-0000-0000-0000AA690000}"/>
    <cellStyle name="Normal 71 3 2 3 3" xfId="14832" xr:uid="{00000000-0005-0000-0000-0000AB690000}"/>
    <cellStyle name="Normal 71 3 2 3 3 2" xfId="31382" xr:uid="{00000000-0005-0000-0000-0000AC690000}"/>
    <cellStyle name="Normal 71 3 2 3 4" xfId="23339" xr:uid="{00000000-0005-0000-0000-0000AD690000}"/>
    <cellStyle name="Normal 71 3 2 4" xfId="9438" xr:uid="{00000000-0005-0000-0000-0000AE690000}"/>
    <cellStyle name="Normal 71 3 2 4 2" xfId="18612" xr:uid="{00000000-0005-0000-0000-0000AF690000}"/>
    <cellStyle name="Normal 71 3 2 4 2 2" xfId="35186" xr:uid="{00000000-0005-0000-0000-0000B0690000}"/>
    <cellStyle name="Normal 71 3 2 4 3" xfId="27139" xr:uid="{00000000-0005-0000-0000-0000B1690000}"/>
    <cellStyle name="Normal 71 3 2 5" xfId="14829" xr:uid="{00000000-0005-0000-0000-0000B2690000}"/>
    <cellStyle name="Normal 71 3 2 5 2" xfId="31379" xr:uid="{00000000-0005-0000-0000-0000B3690000}"/>
    <cellStyle name="Normal 71 3 2 6" xfId="23336" xr:uid="{00000000-0005-0000-0000-0000B4690000}"/>
    <cellStyle name="Normal 71 3 3" xfId="5523" xr:uid="{00000000-0005-0000-0000-0000B5690000}"/>
    <cellStyle name="Normal 71 3 3 2" xfId="5524" xr:uid="{00000000-0005-0000-0000-0000B6690000}"/>
    <cellStyle name="Normal 71 3 3 2 2" xfId="9439" xr:uid="{00000000-0005-0000-0000-0000B7690000}"/>
    <cellStyle name="Normal 71 3 3 2 2 2" xfId="18613" xr:uid="{00000000-0005-0000-0000-0000B8690000}"/>
    <cellStyle name="Normal 71 3 3 2 2 2 2" xfId="35187" xr:uid="{00000000-0005-0000-0000-0000B9690000}"/>
    <cellStyle name="Normal 71 3 3 2 2 3" xfId="27140" xr:uid="{00000000-0005-0000-0000-0000BA690000}"/>
    <cellStyle name="Normal 71 3 3 2 3" xfId="14834" xr:uid="{00000000-0005-0000-0000-0000BB690000}"/>
    <cellStyle name="Normal 71 3 3 2 3 2" xfId="31384" xr:uid="{00000000-0005-0000-0000-0000BC690000}"/>
    <cellStyle name="Normal 71 3 3 2 4" xfId="23341" xr:uid="{00000000-0005-0000-0000-0000BD690000}"/>
    <cellStyle name="Normal 71 3 3 3" xfId="9440" xr:uid="{00000000-0005-0000-0000-0000BE690000}"/>
    <cellStyle name="Normal 71 3 3 3 2" xfId="18614" xr:uid="{00000000-0005-0000-0000-0000BF690000}"/>
    <cellStyle name="Normal 71 3 3 3 2 2" xfId="35188" xr:uid="{00000000-0005-0000-0000-0000C0690000}"/>
    <cellStyle name="Normal 71 3 3 3 3" xfId="27141" xr:uid="{00000000-0005-0000-0000-0000C1690000}"/>
    <cellStyle name="Normal 71 3 3 4" xfId="14833" xr:uid="{00000000-0005-0000-0000-0000C2690000}"/>
    <cellStyle name="Normal 71 3 3 4 2" xfId="31383" xr:uid="{00000000-0005-0000-0000-0000C3690000}"/>
    <cellStyle name="Normal 71 3 3 5" xfId="23340" xr:uid="{00000000-0005-0000-0000-0000C4690000}"/>
    <cellStyle name="Normal 71 3 4" xfId="5525" xr:uid="{00000000-0005-0000-0000-0000C5690000}"/>
    <cellStyle name="Normal 71 3 4 2" xfId="9441" xr:uid="{00000000-0005-0000-0000-0000C6690000}"/>
    <cellStyle name="Normal 71 3 4 2 2" xfId="18615" xr:uid="{00000000-0005-0000-0000-0000C7690000}"/>
    <cellStyle name="Normal 71 3 4 2 2 2" xfId="35189" xr:uid="{00000000-0005-0000-0000-0000C8690000}"/>
    <cellStyle name="Normal 71 3 4 2 3" xfId="27142" xr:uid="{00000000-0005-0000-0000-0000C9690000}"/>
    <cellStyle name="Normal 71 3 4 3" xfId="14835" xr:uid="{00000000-0005-0000-0000-0000CA690000}"/>
    <cellStyle name="Normal 71 3 4 3 2" xfId="31385" xr:uid="{00000000-0005-0000-0000-0000CB690000}"/>
    <cellStyle name="Normal 71 3 4 4" xfId="23342" xr:uid="{00000000-0005-0000-0000-0000CC690000}"/>
    <cellStyle name="Normal 71 3 5" xfId="5526" xr:uid="{00000000-0005-0000-0000-0000CD690000}"/>
    <cellStyle name="Normal 71 3 5 2" xfId="14836" xr:uid="{00000000-0005-0000-0000-0000CE690000}"/>
    <cellStyle name="Normal 71 3 5 2 2" xfId="31386" xr:uid="{00000000-0005-0000-0000-0000CF690000}"/>
    <cellStyle name="Normal 71 3 5 3" xfId="23343" xr:uid="{00000000-0005-0000-0000-0000D0690000}"/>
    <cellStyle name="Normal 71 4" xfId="5527" xr:uid="{00000000-0005-0000-0000-0000D1690000}"/>
    <cellStyle name="Normal 71 4 2" xfId="5528" xr:uid="{00000000-0005-0000-0000-0000D2690000}"/>
    <cellStyle name="Normal 71 4 2 2" xfId="5529" xr:uid="{00000000-0005-0000-0000-0000D3690000}"/>
    <cellStyle name="Normal 71 4 2 2 2" xfId="5530" xr:uid="{00000000-0005-0000-0000-0000D4690000}"/>
    <cellStyle name="Normal 71 4 2 2 2 2" xfId="9442" xr:uid="{00000000-0005-0000-0000-0000D5690000}"/>
    <cellStyle name="Normal 71 4 2 2 2 2 2" xfId="18616" xr:uid="{00000000-0005-0000-0000-0000D6690000}"/>
    <cellStyle name="Normal 71 4 2 2 2 2 2 2" xfId="35190" xr:uid="{00000000-0005-0000-0000-0000D7690000}"/>
    <cellStyle name="Normal 71 4 2 2 2 2 3" xfId="27143" xr:uid="{00000000-0005-0000-0000-0000D8690000}"/>
    <cellStyle name="Normal 71 4 2 2 2 3" xfId="14840" xr:uid="{00000000-0005-0000-0000-0000D9690000}"/>
    <cellStyle name="Normal 71 4 2 2 2 3 2" xfId="31390" xr:uid="{00000000-0005-0000-0000-0000DA690000}"/>
    <cellStyle name="Normal 71 4 2 2 2 4" xfId="23347" xr:uid="{00000000-0005-0000-0000-0000DB690000}"/>
    <cellStyle name="Normal 71 4 2 2 3" xfId="9443" xr:uid="{00000000-0005-0000-0000-0000DC690000}"/>
    <cellStyle name="Normal 71 4 2 2 3 2" xfId="18617" xr:uid="{00000000-0005-0000-0000-0000DD690000}"/>
    <cellStyle name="Normal 71 4 2 2 3 2 2" xfId="35191" xr:uid="{00000000-0005-0000-0000-0000DE690000}"/>
    <cellStyle name="Normal 71 4 2 2 3 3" xfId="27144" xr:uid="{00000000-0005-0000-0000-0000DF690000}"/>
    <cellStyle name="Normal 71 4 2 2 4" xfId="14839" xr:uid="{00000000-0005-0000-0000-0000E0690000}"/>
    <cellStyle name="Normal 71 4 2 2 4 2" xfId="31389" xr:uid="{00000000-0005-0000-0000-0000E1690000}"/>
    <cellStyle name="Normal 71 4 2 2 5" xfId="23346" xr:uid="{00000000-0005-0000-0000-0000E2690000}"/>
    <cellStyle name="Normal 71 4 2 3" xfId="5531" xr:uid="{00000000-0005-0000-0000-0000E3690000}"/>
    <cellStyle name="Normal 71 4 2 3 2" xfId="9444" xr:uid="{00000000-0005-0000-0000-0000E4690000}"/>
    <cellStyle name="Normal 71 4 2 3 2 2" xfId="18618" xr:uid="{00000000-0005-0000-0000-0000E5690000}"/>
    <cellStyle name="Normal 71 4 2 3 2 2 2" xfId="35192" xr:uid="{00000000-0005-0000-0000-0000E6690000}"/>
    <cellStyle name="Normal 71 4 2 3 2 3" xfId="27145" xr:uid="{00000000-0005-0000-0000-0000E7690000}"/>
    <cellStyle name="Normal 71 4 2 3 3" xfId="14841" xr:uid="{00000000-0005-0000-0000-0000E8690000}"/>
    <cellStyle name="Normal 71 4 2 3 3 2" xfId="31391" xr:uid="{00000000-0005-0000-0000-0000E9690000}"/>
    <cellStyle name="Normal 71 4 2 3 4" xfId="23348" xr:uid="{00000000-0005-0000-0000-0000EA690000}"/>
    <cellStyle name="Normal 71 4 2 4" xfId="9445" xr:uid="{00000000-0005-0000-0000-0000EB690000}"/>
    <cellStyle name="Normal 71 4 2 4 2" xfId="18619" xr:uid="{00000000-0005-0000-0000-0000EC690000}"/>
    <cellStyle name="Normal 71 4 2 4 2 2" xfId="35193" xr:uid="{00000000-0005-0000-0000-0000ED690000}"/>
    <cellStyle name="Normal 71 4 2 4 3" xfId="27146" xr:uid="{00000000-0005-0000-0000-0000EE690000}"/>
    <cellStyle name="Normal 71 4 2 5" xfId="14838" xr:uid="{00000000-0005-0000-0000-0000EF690000}"/>
    <cellStyle name="Normal 71 4 2 5 2" xfId="31388" xr:uid="{00000000-0005-0000-0000-0000F0690000}"/>
    <cellStyle name="Normal 71 4 2 6" xfId="23345" xr:uid="{00000000-0005-0000-0000-0000F1690000}"/>
    <cellStyle name="Normal 71 4 3" xfId="5532" xr:uid="{00000000-0005-0000-0000-0000F2690000}"/>
    <cellStyle name="Normal 71 4 3 2" xfId="5533" xr:uid="{00000000-0005-0000-0000-0000F3690000}"/>
    <cellStyle name="Normal 71 4 3 2 2" xfId="9446" xr:uid="{00000000-0005-0000-0000-0000F4690000}"/>
    <cellStyle name="Normal 71 4 3 2 2 2" xfId="18620" xr:uid="{00000000-0005-0000-0000-0000F5690000}"/>
    <cellStyle name="Normal 71 4 3 2 2 2 2" xfId="35194" xr:uid="{00000000-0005-0000-0000-0000F6690000}"/>
    <cellStyle name="Normal 71 4 3 2 2 3" xfId="27147" xr:uid="{00000000-0005-0000-0000-0000F7690000}"/>
    <cellStyle name="Normal 71 4 3 2 3" xfId="14843" xr:uid="{00000000-0005-0000-0000-0000F8690000}"/>
    <cellStyle name="Normal 71 4 3 2 3 2" xfId="31393" xr:uid="{00000000-0005-0000-0000-0000F9690000}"/>
    <cellStyle name="Normal 71 4 3 2 4" xfId="23350" xr:uid="{00000000-0005-0000-0000-0000FA690000}"/>
    <cellStyle name="Normal 71 4 3 3" xfId="9447" xr:uid="{00000000-0005-0000-0000-0000FB690000}"/>
    <cellStyle name="Normal 71 4 3 3 2" xfId="18621" xr:uid="{00000000-0005-0000-0000-0000FC690000}"/>
    <cellStyle name="Normal 71 4 3 3 2 2" xfId="35195" xr:uid="{00000000-0005-0000-0000-0000FD690000}"/>
    <cellStyle name="Normal 71 4 3 3 3" xfId="27148" xr:uid="{00000000-0005-0000-0000-0000FE690000}"/>
    <cellStyle name="Normal 71 4 3 4" xfId="14842" xr:uid="{00000000-0005-0000-0000-0000FF690000}"/>
    <cellStyle name="Normal 71 4 3 4 2" xfId="31392" xr:uid="{00000000-0005-0000-0000-0000006A0000}"/>
    <cellStyle name="Normal 71 4 3 5" xfId="23349" xr:uid="{00000000-0005-0000-0000-0000016A0000}"/>
    <cellStyle name="Normal 71 4 4" xfId="5534" xr:uid="{00000000-0005-0000-0000-0000026A0000}"/>
    <cellStyle name="Normal 71 4 4 2" xfId="9448" xr:uid="{00000000-0005-0000-0000-0000036A0000}"/>
    <cellStyle name="Normal 71 4 4 2 2" xfId="18622" xr:uid="{00000000-0005-0000-0000-0000046A0000}"/>
    <cellStyle name="Normal 71 4 4 2 2 2" xfId="35196" xr:uid="{00000000-0005-0000-0000-0000056A0000}"/>
    <cellStyle name="Normal 71 4 4 2 3" xfId="27149" xr:uid="{00000000-0005-0000-0000-0000066A0000}"/>
    <cellStyle name="Normal 71 4 4 3" xfId="14844" xr:uid="{00000000-0005-0000-0000-0000076A0000}"/>
    <cellStyle name="Normal 71 4 4 3 2" xfId="31394" xr:uid="{00000000-0005-0000-0000-0000086A0000}"/>
    <cellStyle name="Normal 71 4 4 4" xfId="23351" xr:uid="{00000000-0005-0000-0000-0000096A0000}"/>
    <cellStyle name="Normal 71 4 5" xfId="9449" xr:uid="{00000000-0005-0000-0000-00000A6A0000}"/>
    <cellStyle name="Normal 71 4 5 2" xfId="18623" xr:uid="{00000000-0005-0000-0000-00000B6A0000}"/>
    <cellStyle name="Normal 71 4 5 2 2" xfId="35197" xr:uid="{00000000-0005-0000-0000-00000C6A0000}"/>
    <cellStyle name="Normal 71 4 5 3" xfId="27150" xr:uid="{00000000-0005-0000-0000-00000D6A0000}"/>
    <cellStyle name="Normal 71 4 6" xfId="14837" xr:uid="{00000000-0005-0000-0000-00000E6A0000}"/>
    <cellStyle name="Normal 71 4 6 2" xfId="31387" xr:uid="{00000000-0005-0000-0000-00000F6A0000}"/>
    <cellStyle name="Normal 71 4 7" xfId="23344" xr:uid="{00000000-0005-0000-0000-0000106A0000}"/>
    <cellStyle name="Normal 71 5" xfId="5535" xr:uid="{00000000-0005-0000-0000-0000116A0000}"/>
    <cellStyle name="Normal 71 5 2" xfId="5536" xr:uid="{00000000-0005-0000-0000-0000126A0000}"/>
    <cellStyle name="Normal 71 5 2 2" xfId="5537" xr:uid="{00000000-0005-0000-0000-0000136A0000}"/>
    <cellStyle name="Normal 71 5 2 2 2" xfId="5538" xr:uid="{00000000-0005-0000-0000-0000146A0000}"/>
    <cellStyle name="Normal 71 5 2 2 2 2" xfId="9450" xr:uid="{00000000-0005-0000-0000-0000156A0000}"/>
    <cellStyle name="Normal 71 5 2 2 2 2 2" xfId="18624" xr:uid="{00000000-0005-0000-0000-0000166A0000}"/>
    <cellStyle name="Normal 71 5 2 2 2 2 2 2" xfId="35198" xr:uid="{00000000-0005-0000-0000-0000176A0000}"/>
    <cellStyle name="Normal 71 5 2 2 2 2 3" xfId="27151" xr:uid="{00000000-0005-0000-0000-0000186A0000}"/>
    <cellStyle name="Normal 71 5 2 2 2 3" xfId="14848" xr:uid="{00000000-0005-0000-0000-0000196A0000}"/>
    <cellStyle name="Normal 71 5 2 2 2 3 2" xfId="31398" xr:uid="{00000000-0005-0000-0000-00001A6A0000}"/>
    <cellStyle name="Normal 71 5 2 2 2 4" xfId="23355" xr:uid="{00000000-0005-0000-0000-00001B6A0000}"/>
    <cellStyle name="Normal 71 5 2 2 3" xfId="9451" xr:uid="{00000000-0005-0000-0000-00001C6A0000}"/>
    <cellStyle name="Normal 71 5 2 2 3 2" xfId="18625" xr:uid="{00000000-0005-0000-0000-00001D6A0000}"/>
    <cellStyle name="Normal 71 5 2 2 3 2 2" xfId="35199" xr:uid="{00000000-0005-0000-0000-00001E6A0000}"/>
    <cellStyle name="Normal 71 5 2 2 3 3" xfId="27152" xr:uid="{00000000-0005-0000-0000-00001F6A0000}"/>
    <cellStyle name="Normal 71 5 2 2 4" xfId="14847" xr:uid="{00000000-0005-0000-0000-0000206A0000}"/>
    <cellStyle name="Normal 71 5 2 2 4 2" xfId="31397" xr:uid="{00000000-0005-0000-0000-0000216A0000}"/>
    <cellStyle name="Normal 71 5 2 2 5" xfId="23354" xr:uid="{00000000-0005-0000-0000-0000226A0000}"/>
    <cellStyle name="Normal 71 5 2 3" xfId="5539" xr:uid="{00000000-0005-0000-0000-0000236A0000}"/>
    <cellStyle name="Normal 71 5 2 3 2" xfId="9452" xr:uid="{00000000-0005-0000-0000-0000246A0000}"/>
    <cellStyle name="Normal 71 5 2 3 2 2" xfId="18626" xr:uid="{00000000-0005-0000-0000-0000256A0000}"/>
    <cellStyle name="Normal 71 5 2 3 2 2 2" xfId="35200" xr:uid="{00000000-0005-0000-0000-0000266A0000}"/>
    <cellStyle name="Normal 71 5 2 3 2 3" xfId="27153" xr:uid="{00000000-0005-0000-0000-0000276A0000}"/>
    <cellStyle name="Normal 71 5 2 3 3" xfId="14849" xr:uid="{00000000-0005-0000-0000-0000286A0000}"/>
    <cellStyle name="Normal 71 5 2 3 3 2" xfId="31399" xr:uid="{00000000-0005-0000-0000-0000296A0000}"/>
    <cellStyle name="Normal 71 5 2 3 4" xfId="23356" xr:uid="{00000000-0005-0000-0000-00002A6A0000}"/>
    <cellStyle name="Normal 71 5 2 4" xfId="9453" xr:uid="{00000000-0005-0000-0000-00002B6A0000}"/>
    <cellStyle name="Normal 71 5 2 4 2" xfId="18627" xr:uid="{00000000-0005-0000-0000-00002C6A0000}"/>
    <cellStyle name="Normal 71 5 2 4 2 2" xfId="35201" xr:uid="{00000000-0005-0000-0000-00002D6A0000}"/>
    <cellStyle name="Normal 71 5 2 4 3" xfId="27154" xr:uid="{00000000-0005-0000-0000-00002E6A0000}"/>
    <cellStyle name="Normal 71 5 2 5" xfId="14846" xr:uid="{00000000-0005-0000-0000-00002F6A0000}"/>
    <cellStyle name="Normal 71 5 2 5 2" xfId="31396" xr:uid="{00000000-0005-0000-0000-0000306A0000}"/>
    <cellStyle name="Normal 71 5 2 6" xfId="23353" xr:uid="{00000000-0005-0000-0000-0000316A0000}"/>
    <cellStyle name="Normal 71 5 3" xfId="5540" xr:uid="{00000000-0005-0000-0000-0000326A0000}"/>
    <cellStyle name="Normal 71 5 3 2" xfId="5541" xr:uid="{00000000-0005-0000-0000-0000336A0000}"/>
    <cellStyle name="Normal 71 5 3 2 2" xfId="9454" xr:uid="{00000000-0005-0000-0000-0000346A0000}"/>
    <cellStyle name="Normal 71 5 3 2 2 2" xfId="18628" xr:uid="{00000000-0005-0000-0000-0000356A0000}"/>
    <cellStyle name="Normal 71 5 3 2 2 2 2" xfId="35202" xr:uid="{00000000-0005-0000-0000-0000366A0000}"/>
    <cellStyle name="Normal 71 5 3 2 2 3" xfId="27155" xr:uid="{00000000-0005-0000-0000-0000376A0000}"/>
    <cellStyle name="Normal 71 5 3 2 3" xfId="14851" xr:uid="{00000000-0005-0000-0000-0000386A0000}"/>
    <cellStyle name="Normal 71 5 3 2 3 2" xfId="31401" xr:uid="{00000000-0005-0000-0000-0000396A0000}"/>
    <cellStyle name="Normal 71 5 3 2 4" xfId="23358" xr:uid="{00000000-0005-0000-0000-00003A6A0000}"/>
    <cellStyle name="Normal 71 5 3 3" xfId="9455" xr:uid="{00000000-0005-0000-0000-00003B6A0000}"/>
    <cellStyle name="Normal 71 5 3 3 2" xfId="18629" xr:uid="{00000000-0005-0000-0000-00003C6A0000}"/>
    <cellStyle name="Normal 71 5 3 3 2 2" xfId="35203" xr:uid="{00000000-0005-0000-0000-00003D6A0000}"/>
    <cellStyle name="Normal 71 5 3 3 3" xfId="27156" xr:uid="{00000000-0005-0000-0000-00003E6A0000}"/>
    <cellStyle name="Normal 71 5 3 4" xfId="14850" xr:uid="{00000000-0005-0000-0000-00003F6A0000}"/>
    <cellStyle name="Normal 71 5 3 4 2" xfId="31400" xr:uid="{00000000-0005-0000-0000-0000406A0000}"/>
    <cellStyle name="Normal 71 5 3 5" xfId="23357" xr:uid="{00000000-0005-0000-0000-0000416A0000}"/>
    <cellStyle name="Normal 71 5 4" xfId="5542" xr:uid="{00000000-0005-0000-0000-0000426A0000}"/>
    <cellStyle name="Normal 71 5 4 2" xfId="9456" xr:uid="{00000000-0005-0000-0000-0000436A0000}"/>
    <cellStyle name="Normal 71 5 4 2 2" xfId="18630" xr:uid="{00000000-0005-0000-0000-0000446A0000}"/>
    <cellStyle name="Normal 71 5 4 2 2 2" xfId="35204" xr:uid="{00000000-0005-0000-0000-0000456A0000}"/>
    <cellStyle name="Normal 71 5 4 2 3" xfId="27157" xr:uid="{00000000-0005-0000-0000-0000466A0000}"/>
    <cellStyle name="Normal 71 5 4 3" xfId="14852" xr:uid="{00000000-0005-0000-0000-0000476A0000}"/>
    <cellStyle name="Normal 71 5 4 3 2" xfId="31402" xr:uid="{00000000-0005-0000-0000-0000486A0000}"/>
    <cellStyle name="Normal 71 5 4 4" xfId="23359" xr:uid="{00000000-0005-0000-0000-0000496A0000}"/>
    <cellStyle name="Normal 71 5 5" xfId="9457" xr:uid="{00000000-0005-0000-0000-00004A6A0000}"/>
    <cellStyle name="Normal 71 5 5 2" xfId="18631" xr:uid="{00000000-0005-0000-0000-00004B6A0000}"/>
    <cellStyle name="Normal 71 5 5 2 2" xfId="35205" xr:uid="{00000000-0005-0000-0000-00004C6A0000}"/>
    <cellStyle name="Normal 71 5 5 3" xfId="27158" xr:uid="{00000000-0005-0000-0000-00004D6A0000}"/>
    <cellStyle name="Normal 71 5 6" xfId="14845" xr:uid="{00000000-0005-0000-0000-00004E6A0000}"/>
    <cellStyle name="Normal 71 5 6 2" xfId="31395" xr:uid="{00000000-0005-0000-0000-00004F6A0000}"/>
    <cellStyle name="Normal 71 5 7" xfId="23352" xr:uid="{00000000-0005-0000-0000-0000506A0000}"/>
    <cellStyle name="Normal 71 6" xfId="5543" xr:uid="{00000000-0005-0000-0000-0000516A0000}"/>
    <cellStyle name="Normal 71 6 2" xfId="5544" xr:uid="{00000000-0005-0000-0000-0000526A0000}"/>
    <cellStyle name="Normal 71 6 2 2" xfId="5545" xr:uid="{00000000-0005-0000-0000-0000536A0000}"/>
    <cellStyle name="Normal 71 6 2 2 2" xfId="9458" xr:uid="{00000000-0005-0000-0000-0000546A0000}"/>
    <cellStyle name="Normal 71 6 2 2 2 2" xfId="18632" xr:uid="{00000000-0005-0000-0000-0000556A0000}"/>
    <cellStyle name="Normal 71 6 2 2 2 2 2" xfId="35206" xr:uid="{00000000-0005-0000-0000-0000566A0000}"/>
    <cellStyle name="Normal 71 6 2 2 2 3" xfId="27159" xr:uid="{00000000-0005-0000-0000-0000576A0000}"/>
    <cellStyle name="Normal 71 6 2 2 3" xfId="14855" xr:uid="{00000000-0005-0000-0000-0000586A0000}"/>
    <cellStyle name="Normal 71 6 2 2 3 2" xfId="31405" xr:uid="{00000000-0005-0000-0000-0000596A0000}"/>
    <cellStyle name="Normal 71 6 2 2 4" xfId="23362" xr:uid="{00000000-0005-0000-0000-00005A6A0000}"/>
    <cellStyle name="Normal 71 6 2 3" xfId="9459" xr:uid="{00000000-0005-0000-0000-00005B6A0000}"/>
    <cellStyle name="Normal 71 6 2 3 2" xfId="18633" xr:uid="{00000000-0005-0000-0000-00005C6A0000}"/>
    <cellStyle name="Normal 71 6 2 3 2 2" xfId="35207" xr:uid="{00000000-0005-0000-0000-00005D6A0000}"/>
    <cellStyle name="Normal 71 6 2 3 3" xfId="27160" xr:uid="{00000000-0005-0000-0000-00005E6A0000}"/>
    <cellStyle name="Normal 71 6 2 4" xfId="14854" xr:uid="{00000000-0005-0000-0000-00005F6A0000}"/>
    <cellStyle name="Normal 71 6 2 4 2" xfId="31404" xr:uid="{00000000-0005-0000-0000-0000606A0000}"/>
    <cellStyle name="Normal 71 6 2 5" xfId="23361" xr:uid="{00000000-0005-0000-0000-0000616A0000}"/>
    <cellStyle name="Normal 71 6 3" xfId="5546" xr:uid="{00000000-0005-0000-0000-0000626A0000}"/>
    <cellStyle name="Normal 71 6 3 2" xfId="9460" xr:uid="{00000000-0005-0000-0000-0000636A0000}"/>
    <cellStyle name="Normal 71 6 3 2 2" xfId="18634" xr:uid="{00000000-0005-0000-0000-0000646A0000}"/>
    <cellStyle name="Normal 71 6 3 2 2 2" xfId="35208" xr:uid="{00000000-0005-0000-0000-0000656A0000}"/>
    <cellStyle name="Normal 71 6 3 2 3" xfId="27161" xr:uid="{00000000-0005-0000-0000-0000666A0000}"/>
    <cellStyle name="Normal 71 6 3 3" xfId="14856" xr:uid="{00000000-0005-0000-0000-0000676A0000}"/>
    <cellStyle name="Normal 71 6 3 3 2" xfId="31406" xr:uid="{00000000-0005-0000-0000-0000686A0000}"/>
    <cellStyle name="Normal 71 6 3 4" xfId="23363" xr:uid="{00000000-0005-0000-0000-0000696A0000}"/>
    <cellStyle name="Normal 71 6 4" xfId="9461" xr:uid="{00000000-0005-0000-0000-00006A6A0000}"/>
    <cellStyle name="Normal 71 6 4 2" xfId="18635" xr:uid="{00000000-0005-0000-0000-00006B6A0000}"/>
    <cellStyle name="Normal 71 6 4 2 2" xfId="35209" xr:uid="{00000000-0005-0000-0000-00006C6A0000}"/>
    <cellStyle name="Normal 71 6 4 3" xfId="27162" xr:uid="{00000000-0005-0000-0000-00006D6A0000}"/>
    <cellStyle name="Normal 71 6 5" xfId="14853" xr:uid="{00000000-0005-0000-0000-00006E6A0000}"/>
    <cellStyle name="Normal 71 6 5 2" xfId="31403" xr:uid="{00000000-0005-0000-0000-00006F6A0000}"/>
    <cellStyle name="Normal 71 6 6" xfId="23360" xr:uid="{00000000-0005-0000-0000-0000706A0000}"/>
    <cellStyle name="Normal 71 7" xfId="5547" xr:uid="{00000000-0005-0000-0000-0000716A0000}"/>
    <cellStyle name="Normal 71 7 2" xfId="5548" xr:uid="{00000000-0005-0000-0000-0000726A0000}"/>
    <cellStyle name="Normal 71 7 2 2" xfId="9462" xr:uid="{00000000-0005-0000-0000-0000736A0000}"/>
    <cellStyle name="Normal 71 7 2 2 2" xfId="18636" xr:uid="{00000000-0005-0000-0000-0000746A0000}"/>
    <cellStyle name="Normal 71 7 2 2 2 2" xfId="35210" xr:uid="{00000000-0005-0000-0000-0000756A0000}"/>
    <cellStyle name="Normal 71 7 2 2 3" xfId="27163" xr:uid="{00000000-0005-0000-0000-0000766A0000}"/>
    <cellStyle name="Normal 71 7 2 3" xfId="14858" xr:uid="{00000000-0005-0000-0000-0000776A0000}"/>
    <cellStyle name="Normal 71 7 2 3 2" xfId="31408" xr:uid="{00000000-0005-0000-0000-0000786A0000}"/>
    <cellStyle name="Normal 71 7 2 4" xfId="23365" xr:uid="{00000000-0005-0000-0000-0000796A0000}"/>
    <cellStyle name="Normal 71 7 3" xfId="9463" xr:uid="{00000000-0005-0000-0000-00007A6A0000}"/>
    <cellStyle name="Normal 71 7 3 2" xfId="18637" xr:uid="{00000000-0005-0000-0000-00007B6A0000}"/>
    <cellStyle name="Normal 71 7 3 2 2" xfId="35211" xr:uid="{00000000-0005-0000-0000-00007C6A0000}"/>
    <cellStyle name="Normal 71 7 3 3" xfId="27164" xr:uid="{00000000-0005-0000-0000-00007D6A0000}"/>
    <cellStyle name="Normal 71 7 4" xfId="14857" xr:uid="{00000000-0005-0000-0000-00007E6A0000}"/>
    <cellStyle name="Normal 71 7 4 2" xfId="31407" xr:uid="{00000000-0005-0000-0000-00007F6A0000}"/>
    <cellStyle name="Normal 71 7 5" xfId="23364" xr:uid="{00000000-0005-0000-0000-0000806A0000}"/>
    <cellStyle name="Normal 71 8" xfId="5549" xr:uid="{00000000-0005-0000-0000-0000816A0000}"/>
    <cellStyle name="Normal 71 8 2" xfId="9464" xr:uid="{00000000-0005-0000-0000-0000826A0000}"/>
    <cellStyle name="Normal 71 8 2 2" xfId="18638" xr:uid="{00000000-0005-0000-0000-0000836A0000}"/>
    <cellStyle name="Normal 71 8 2 2 2" xfId="35212" xr:uid="{00000000-0005-0000-0000-0000846A0000}"/>
    <cellStyle name="Normal 71 8 2 3" xfId="27165" xr:uid="{00000000-0005-0000-0000-0000856A0000}"/>
    <cellStyle name="Normal 71 8 3" xfId="14859" xr:uid="{00000000-0005-0000-0000-0000866A0000}"/>
    <cellStyle name="Normal 71 8 3 2" xfId="31409" xr:uid="{00000000-0005-0000-0000-0000876A0000}"/>
    <cellStyle name="Normal 71 8 4" xfId="23366" xr:uid="{00000000-0005-0000-0000-0000886A0000}"/>
    <cellStyle name="Normal 71 9" xfId="9465" xr:uid="{00000000-0005-0000-0000-0000896A0000}"/>
    <cellStyle name="Normal 71 9 2" xfId="18639" xr:uid="{00000000-0005-0000-0000-00008A6A0000}"/>
    <cellStyle name="Normal 71 9 2 2" xfId="35213" xr:uid="{00000000-0005-0000-0000-00008B6A0000}"/>
    <cellStyle name="Normal 71 9 3" xfId="27166" xr:uid="{00000000-0005-0000-0000-00008C6A0000}"/>
    <cellStyle name="Normal 72" xfId="5550" xr:uid="{00000000-0005-0000-0000-00008D6A0000}"/>
    <cellStyle name="Normal 72 10" xfId="14860" xr:uid="{00000000-0005-0000-0000-00008E6A0000}"/>
    <cellStyle name="Normal 72 10 2" xfId="31410" xr:uid="{00000000-0005-0000-0000-00008F6A0000}"/>
    <cellStyle name="Normal 72 11" xfId="23367" xr:uid="{00000000-0005-0000-0000-0000906A0000}"/>
    <cellStyle name="Normal 72 2" xfId="5551" xr:uid="{00000000-0005-0000-0000-0000916A0000}"/>
    <cellStyle name="Normal 72 2 2" xfId="5552" xr:uid="{00000000-0005-0000-0000-0000926A0000}"/>
    <cellStyle name="Normal 72 2 3" xfId="14861" xr:uid="{00000000-0005-0000-0000-0000936A0000}"/>
    <cellStyle name="Normal 72 2 3 2" xfId="31411" xr:uid="{00000000-0005-0000-0000-0000946A0000}"/>
    <cellStyle name="Normal 72 2 4" xfId="23368" xr:uid="{00000000-0005-0000-0000-0000956A0000}"/>
    <cellStyle name="Normal 72 3" xfId="5553" xr:uid="{00000000-0005-0000-0000-0000966A0000}"/>
    <cellStyle name="Normal 72 3 2" xfId="5554" xr:uid="{00000000-0005-0000-0000-0000976A0000}"/>
    <cellStyle name="Normal 72 3 2 2" xfId="5555" xr:uid="{00000000-0005-0000-0000-0000986A0000}"/>
    <cellStyle name="Normal 72 3 2 2 2" xfId="5556" xr:uid="{00000000-0005-0000-0000-0000996A0000}"/>
    <cellStyle name="Normal 72 3 2 2 2 2" xfId="9466" xr:uid="{00000000-0005-0000-0000-00009A6A0000}"/>
    <cellStyle name="Normal 72 3 2 2 2 2 2" xfId="18640" xr:uid="{00000000-0005-0000-0000-00009B6A0000}"/>
    <cellStyle name="Normal 72 3 2 2 2 2 2 2" xfId="35214" xr:uid="{00000000-0005-0000-0000-00009C6A0000}"/>
    <cellStyle name="Normal 72 3 2 2 2 2 3" xfId="27167" xr:uid="{00000000-0005-0000-0000-00009D6A0000}"/>
    <cellStyle name="Normal 72 3 2 2 2 3" xfId="14864" xr:uid="{00000000-0005-0000-0000-00009E6A0000}"/>
    <cellStyle name="Normal 72 3 2 2 2 3 2" xfId="31414" xr:uid="{00000000-0005-0000-0000-00009F6A0000}"/>
    <cellStyle name="Normal 72 3 2 2 2 4" xfId="23371" xr:uid="{00000000-0005-0000-0000-0000A06A0000}"/>
    <cellStyle name="Normal 72 3 2 2 3" xfId="9467" xr:uid="{00000000-0005-0000-0000-0000A16A0000}"/>
    <cellStyle name="Normal 72 3 2 2 3 2" xfId="18641" xr:uid="{00000000-0005-0000-0000-0000A26A0000}"/>
    <cellStyle name="Normal 72 3 2 2 3 2 2" xfId="35215" xr:uid="{00000000-0005-0000-0000-0000A36A0000}"/>
    <cellStyle name="Normal 72 3 2 2 3 3" xfId="27168" xr:uid="{00000000-0005-0000-0000-0000A46A0000}"/>
    <cellStyle name="Normal 72 3 2 2 4" xfId="14863" xr:uid="{00000000-0005-0000-0000-0000A56A0000}"/>
    <cellStyle name="Normal 72 3 2 2 4 2" xfId="31413" xr:uid="{00000000-0005-0000-0000-0000A66A0000}"/>
    <cellStyle name="Normal 72 3 2 2 5" xfId="23370" xr:uid="{00000000-0005-0000-0000-0000A76A0000}"/>
    <cellStyle name="Normal 72 3 2 3" xfId="5557" xr:uid="{00000000-0005-0000-0000-0000A86A0000}"/>
    <cellStyle name="Normal 72 3 2 3 2" xfId="9468" xr:uid="{00000000-0005-0000-0000-0000A96A0000}"/>
    <cellStyle name="Normal 72 3 2 3 2 2" xfId="18642" xr:uid="{00000000-0005-0000-0000-0000AA6A0000}"/>
    <cellStyle name="Normal 72 3 2 3 2 2 2" xfId="35216" xr:uid="{00000000-0005-0000-0000-0000AB6A0000}"/>
    <cellStyle name="Normal 72 3 2 3 2 3" xfId="27169" xr:uid="{00000000-0005-0000-0000-0000AC6A0000}"/>
    <cellStyle name="Normal 72 3 2 3 3" xfId="14865" xr:uid="{00000000-0005-0000-0000-0000AD6A0000}"/>
    <cellStyle name="Normal 72 3 2 3 3 2" xfId="31415" xr:uid="{00000000-0005-0000-0000-0000AE6A0000}"/>
    <cellStyle name="Normal 72 3 2 3 4" xfId="23372" xr:uid="{00000000-0005-0000-0000-0000AF6A0000}"/>
    <cellStyle name="Normal 72 3 2 4" xfId="9469" xr:uid="{00000000-0005-0000-0000-0000B06A0000}"/>
    <cellStyle name="Normal 72 3 2 4 2" xfId="18643" xr:uid="{00000000-0005-0000-0000-0000B16A0000}"/>
    <cellStyle name="Normal 72 3 2 4 2 2" xfId="35217" xr:uid="{00000000-0005-0000-0000-0000B26A0000}"/>
    <cellStyle name="Normal 72 3 2 4 3" xfId="27170" xr:uid="{00000000-0005-0000-0000-0000B36A0000}"/>
    <cellStyle name="Normal 72 3 2 5" xfId="14862" xr:uid="{00000000-0005-0000-0000-0000B46A0000}"/>
    <cellStyle name="Normal 72 3 2 5 2" xfId="31412" xr:uid="{00000000-0005-0000-0000-0000B56A0000}"/>
    <cellStyle name="Normal 72 3 2 6" xfId="23369" xr:uid="{00000000-0005-0000-0000-0000B66A0000}"/>
    <cellStyle name="Normal 72 3 3" xfId="5558" xr:uid="{00000000-0005-0000-0000-0000B76A0000}"/>
    <cellStyle name="Normal 72 3 3 2" xfId="5559" xr:uid="{00000000-0005-0000-0000-0000B86A0000}"/>
    <cellStyle name="Normal 72 3 3 2 2" xfId="9470" xr:uid="{00000000-0005-0000-0000-0000B96A0000}"/>
    <cellStyle name="Normal 72 3 3 2 2 2" xfId="18644" xr:uid="{00000000-0005-0000-0000-0000BA6A0000}"/>
    <cellStyle name="Normal 72 3 3 2 2 2 2" xfId="35218" xr:uid="{00000000-0005-0000-0000-0000BB6A0000}"/>
    <cellStyle name="Normal 72 3 3 2 2 3" xfId="27171" xr:uid="{00000000-0005-0000-0000-0000BC6A0000}"/>
    <cellStyle name="Normal 72 3 3 2 3" xfId="14867" xr:uid="{00000000-0005-0000-0000-0000BD6A0000}"/>
    <cellStyle name="Normal 72 3 3 2 3 2" xfId="31417" xr:uid="{00000000-0005-0000-0000-0000BE6A0000}"/>
    <cellStyle name="Normal 72 3 3 2 4" xfId="23374" xr:uid="{00000000-0005-0000-0000-0000BF6A0000}"/>
    <cellStyle name="Normal 72 3 3 3" xfId="9471" xr:uid="{00000000-0005-0000-0000-0000C06A0000}"/>
    <cellStyle name="Normal 72 3 3 3 2" xfId="18645" xr:uid="{00000000-0005-0000-0000-0000C16A0000}"/>
    <cellStyle name="Normal 72 3 3 3 2 2" xfId="35219" xr:uid="{00000000-0005-0000-0000-0000C26A0000}"/>
    <cellStyle name="Normal 72 3 3 3 3" xfId="27172" xr:uid="{00000000-0005-0000-0000-0000C36A0000}"/>
    <cellStyle name="Normal 72 3 3 4" xfId="14866" xr:uid="{00000000-0005-0000-0000-0000C46A0000}"/>
    <cellStyle name="Normal 72 3 3 4 2" xfId="31416" xr:uid="{00000000-0005-0000-0000-0000C56A0000}"/>
    <cellStyle name="Normal 72 3 3 5" xfId="23373" xr:uid="{00000000-0005-0000-0000-0000C66A0000}"/>
    <cellStyle name="Normal 72 3 4" xfId="5560" xr:uid="{00000000-0005-0000-0000-0000C76A0000}"/>
    <cellStyle name="Normal 72 3 4 2" xfId="9472" xr:uid="{00000000-0005-0000-0000-0000C86A0000}"/>
    <cellStyle name="Normal 72 3 4 2 2" xfId="18646" xr:uid="{00000000-0005-0000-0000-0000C96A0000}"/>
    <cellStyle name="Normal 72 3 4 2 2 2" xfId="35220" xr:uid="{00000000-0005-0000-0000-0000CA6A0000}"/>
    <cellStyle name="Normal 72 3 4 2 3" xfId="27173" xr:uid="{00000000-0005-0000-0000-0000CB6A0000}"/>
    <cellStyle name="Normal 72 3 4 3" xfId="14868" xr:uid="{00000000-0005-0000-0000-0000CC6A0000}"/>
    <cellStyle name="Normal 72 3 4 3 2" xfId="31418" xr:uid="{00000000-0005-0000-0000-0000CD6A0000}"/>
    <cellStyle name="Normal 72 3 4 4" xfId="23375" xr:uid="{00000000-0005-0000-0000-0000CE6A0000}"/>
    <cellStyle name="Normal 72 3 5" xfId="5561" xr:uid="{00000000-0005-0000-0000-0000CF6A0000}"/>
    <cellStyle name="Normal 72 3 5 2" xfId="14869" xr:uid="{00000000-0005-0000-0000-0000D06A0000}"/>
    <cellStyle name="Normal 72 3 5 2 2" xfId="31419" xr:uid="{00000000-0005-0000-0000-0000D16A0000}"/>
    <cellStyle name="Normal 72 3 5 3" xfId="23376" xr:uid="{00000000-0005-0000-0000-0000D26A0000}"/>
    <cellStyle name="Normal 72 4" xfId="5562" xr:uid="{00000000-0005-0000-0000-0000D36A0000}"/>
    <cellStyle name="Normal 72 4 2" xfId="5563" xr:uid="{00000000-0005-0000-0000-0000D46A0000}"/>
    <cellStyle name="Normal 72 4 2 2" xfId="5564" xr:uid="{00000000-0005-0000-0000-0000D56A0000}"/>
    <cellStyle name="Normal 72 4 2 2 2" xfId="5565" xr:uid="{00000000-0005-0000-0000-0000D66A0000}"/>
    <cellStyle name="Normal 72 4 2 2 2 2" xfId="9473" xr:uid="{00000000-0005-0000-0000-0000D76A0000}"/>
    <cellStyle name="Normal 72 4 2 2 2 2 2" xfId="18647" xr:uid="{00000000-0005-0000-0000-0000D86A0000}"/>
    <cellStyle name="Normal 72 4 2 2 2 2 2 2" xfId="35221" xr:uid="{00000000-0005-0000-0000-0000D96A0000}"/>
    <cellStyle name="Normal 72 4 2 2 2 2 3" xfId="27174" xr:uid="{00000000-0005-0000-0000-0000DA6A0000}"/>
    <cellStyle name="Normal 72 4 2 2 2 3" xfId="14873" xr:uid="{00000000-0005-0000-0000-0000DB6A0000}"/>
    <cellStyle name="Normal 72 4 2 2 2 3 2" xfId="31423" xr:uid="{00000000-0005-0000-0000-0000DC6A0000}"/>
    <cellStyle name="Normal 72 4 2 2 2 4" xfId="23380" xr:uid="{00000000-0005-0000-0000-0000DD6A0000}"/>
    <cellStyle name="Normal 72 4 2 2 3" xfId="9474" xr:uid="{00000000-0005-0000-0000-0000DE6A0000}"/>
    <cellStyle name="Normal 72 4 2 2 3 2" xfId="18648" xr:uid="{00000000-0005-0000-0000-0000DF6A0000}"/>
    <cellStyle name="Normal 72 4 2 2 3 2 2" xfId="35222" xr:uid="{00000000-0005-0000-0000-0000E06A0000}"/>
    <cellStyle name="Normal 72 4 2 2 3 3" xfId="27175" xr:uid="{00000000-0005-0000-0000-0000E16A0000}"/>
    <cellStyle name="Normal 72 4 2 2 4" xfId="14872" xr:uid="{00000000-0005-0000-0000-0000E26A0000}"/>
    <cellStyle name="Normal 72 4 2 2 4 2" xfId="31422" xr:uid="{00000000-0005-0000-0000-0000E36A0000}"/>
    <cellStyle name="Normal 72 4 2 2 5" xfId="23379" xr:uid="{00000000-0005-0000-0000-0000E46A0000}"/>
    <cellStyle name="Normal 72 4 2 3" xfId="5566" xr:uid="{00000000-0005-0000-0000-0000E56A0000}"/>
    <cellStyle name="Normal 72 4 2 3 2" xfId="9475" xr:uid="{00000000-0005-0000-0000-0000E66A0000}"/>
    <cellStyle name="Normal 72 4 2 3 2 2" xfId="18649" xr:uid="{00000000-0005-0000-0000-0000E76A0000}"/>
    <cellStyle name="Normal 72 4 2 3 2 2 2" xfId="35223" xr:uid="{00000000-0005-0000-0000-0000E86A0000}"/>
    <cellStyle name="Normal 72 4 2 3 2 3" xfId="27176" xr:uid="{00000000-0005-0000-0000-0000E96A0000}"/>
    <cellStyle name="Normal 72 4 2 3 3" xfId="14874" xr:uid="{00000000-0005-0000-0000-0000EA6A0000}"/>
    <cellStyle name="Normal 72 4 2 3 3 2" xfId="31424" xr:uid="{00000000-0005-0000-0000-0000EB6A0000}"/>
    <cellStyle name="Normal 72 4 2 3 4" xfId="23381" xr:uid="{00000000-0005-0000-0000-0000EC6A0000}"/>
    <cellStyle name="Normal 72 4 2 4" xfId="9476" xr:uid="{00000000-0005-0000-0000-0000ED6A0000}"/>
    <cellStyle name="Normal 72 4 2 4 2" xfId="18650" xr:uid="{00000000-0005-0000-0000-0000EE6A0000}"/>
    <cellStyle name="Normal 72 4 2 4 2 2" xfId="35224" xr:uid="{00000000-0005-0000-0000-0000EF6A0000}"/>
    <cellStyle name="Normal 72 4 2 4 3" xfId="27177" xr:uid="{00000000-0005-0000-0000-0000F06A0000}"/>
    <cellStyle name="Normal 72 4 2 5" xfId="14871" xr:uid="{00000000-0005-0000-0000-0000F16A0000}"/>
    <cellStyle name="Normal 72 4 2 5 2" xfId="31421" xr:uid="{00000000-0005-0000-0000-0000F26A0000}"/>
    <cellStyle name="Normal 72 4 2 6" xfId="23378" xr:uid="{00000000-0005-0000-0000-0000F36A0000}"/>
    <cellStyle name="Normal 72 4 3" xfId="5567" xr:uid="{00000000-0005-0000-0000-0000F46A0000}"/>
    <cellStyle name="Normal 72 4 3 2" xfId="5568" xr:uid="{00000000-0005-0000-0000-0000F56A0000}"/>
    <cellStyle name="Normal 72 4 3 2 2" xfId="9477" xr:uid="{00000000-0005-0000-0000-0000F66A0000}"/>
    <cellStyle name="Normal 72 4 3 2 2 2" xfId="18651" xr:uid="{00000000-0005-0000-0000-0000F76A0000}"/>
    <cellStyle name="Normal 72 4 3 2 2 2 2" xfId="35225" xr:uid="{00000000-0005-0000-0000-0000F86A0000}"/>
    <cellStyle name="Normal 72 4 3 2 2 3" xfId="27178" xr:uid="{00000000-0005-0000-0000-0000F96A0000}"/>
    <cellStyle name="Normal 72 4 3 2 3" xfId="14876" xr:uid="{00000000-0005-0000-0000-0000FA6A0000}"/>
    <cellStyle name="Normal 72 4 3 2 3 2" xfId="31426" xr:uid="{00000000-0005-0000-0000-0000FB6A0000}"/>
    <cellStyle name="Normal 72 4 3 2 4" xfId="23383" xr:uid="{00000000-0005-0000-0000-0000FC6A0000}"/>
    <cellStyle name="Normal 72 4 3 3" xfId="9478" xr:uid="{00000000-0005-0000-0000-0000FD6A0000}"/>
    <cellStyle name="Normal 72 4 3 3 2" xfId="18652" xr:uid="{00000000-0005-0000-0000-0000FE6A0000}"/>
    <cellStyle name="Normal 72 4 3 3 2 2" xfId="35226" xr:uid="{00000000-0005-0000-0000-0000FF6A0000}"/>
    <cellStyle name="Normal 72 4 3 3 3" xfId="27179" xr:uid="{00000000-0005-0000-0000-0000006B0000}"/>
    <cellStyle name="Normal 72 4 3 4" xfId="14875" xr:uid="{00000000-0005-0000-0000-0000016B0000}"/>
    <cellStyle name="Normal 72 4 3 4 2" xfId="31425" xr:uid="{00000000-0005-0000-0000-0000026B0000}"/>
    <cellStyle name="Normal 72 4 3 5" xfId="23382" xr:uid="{00000000-0005-0000-0000-0000036B0000}"/>
    <cellStyle name="Normal 72 4 4" xfId="5569" xr:uid="{00000000-0005-0000-0000-0000046B0000}"/>
    <cellStyle name="Normal 72 4 4 2" xfId="9479" xr:uid="{00000000-0005-0000-0000-0000056B0000}"/>
    <cellStyle name="Normal 72 4 4 2 2" xfId="18653" xr:uid="{00000000-0005-0000-0000-0000066B0000}"/>
    <cellStyle name="Normal 72 4 4 2 2 2" xfId="35227" xr:uid="{00000000-0005-0000-0000-0000076B0000}"/>
    <cellStyle name="Normal 72 4 4 2 3" xfId="27180" xr:uid="{00000000-0005-0000-0000-0000086B0000}"/>
    <cellStyle name="Normal 72 4 4 3" xfId="14877" xr:uid="{00000000-0005-0000-0000-0000096B0000}"/>
    <cellStyle name="Normal 72 4 4 3 2" xfId="31427" xr:uid="{00000000-0005-0000-0000-00000A6B0000}"/>
    <cellStyle name="Normal 72 4 4 4" xfId="23384" xr:uid="{00000000-0005-0000-0000-00000B6B0000}"/>
    <cellStyle name="Normal 72 4 5" xfId="9480" xr:uid="{00000000-0005-0000-0000-00000C6B0000}"/>
    <cellStyle name="Normal 72 4 5 2" xfId="18654" xr:uid="{00000000-0005-0000-0000-00000D6B0000}"/>
    <cellStyle name="Normal 72 4 5 2 2" xfId="35228" xr:uid="{00000000-0005-0000-0000-00000E6B0000}"/>
    <cellStyle name="Normal 72 4 5 3" xfId="27181" xr:uid="{00000000-0005-0000-0000-00000F6B0000}"/>
    <cellStyle name="Normal 72 4 6" xfId="14870" xr:uid="{00000000-0005-0000-0000-0000106B0000}"/>
    <cellStyle name="Normal 72 4 6 2" xfId="31420" xr:uid="{00000000-0005-0000-0000-0000116B0000}"/>
    <cellStyle name="Normal 72 4 7" xfId="23377" xr:uid="{00000000-0005-0000-0000-0000126B0000}"/>
    <cellStyle name="Normal 72 5" xfId="5570" xr:uid="{00000000-0005-0000-0000-0000136B0000}"/>
    <cellStyle name="Normal 72 5 2" xfId="5571" xr:uid="{00000000-0005-0000-0000-0000146B0000}"/>
    <cellStyle name="Normal 72 5 2 2" xfId="5572" xr:uid="{00000000-0005-0000-0000-0000156B0000}"/>
    <cellStyle name="Normal 72 5 2 2 2" xfId="5573" xr:uid="{00000000-0005-0000-0000-0000166B0000}"/>
    <cellStyle name="Normal 72 5 2 2 2 2" xfId="9481" xr:uid="{00000000-0005-0000-0000-0000176B0000}"/>
    <cellStyle name="Normal 72 5 2 2 2 2 2" xfId="18655" xr:uid="{00000000-0005-0000-0000-0000186B0000}"/>
    <cellStyle name="Normal 72 5 2 2 2 2 2 2" xfId="35229" xr:uid="{00000000-0005-0000-0000-0000196B0000}"/>
    <cellStyle name="Normal 72 5 2 2 2 2 3" xfId="27182" xr:uid="{00000000-0005-0000-0000-00001A6B0000}"/>
    <cellStyle name="Normal 72 5 2 2 2 3" xfId="14881" xr:uid="{00000000-0005-0000-0000-00001B6B0000}"/>
    <cellStyle name="Normal 72 5 2 2 2 3 2" xfId="31431" xr:uid="{00000000-0005-0000-0000-00001C6B0000}"/>
    <cellStyle name="Normal 72 5 2 2 2 4" xfId="23388" xr:uid="{00000000-0005-0000-0000-00001D6B0000}"/>
    <cellStyle name="Normal 72 5 2 2 3" xfId="9482" xr:uid="{00000000-0005-0000-0000-00001E6B0000}"/>
    <cellStyle name="Normal 72 5 2 2 3 2" xfId="18656" xr:uid="{00000000-0005-0000-0000-00001F6B0000}"/>
    <cellStyle name="Normal 72 5 2 2 3 2 2" xfId="35230" xr:uid="{00000000-0005-0000-0000-0000206B0000}"/>
    <cellStyle name="Normal 72 5 2 2 3 3" xfId="27183" xr:uid="{00000000-0005-0000-0000-0000216B0000}"/>
    <cellStyle name="Normal 72 5 2 2 4" xfId="14880" xr:uid="{00000000-0005-0000-0000-0000226B0000}"/>
    <cellStyle name="Normal 72 5 2 2 4 2" xfId="31430" xr:uid="{00000000-0005-0000-0000-0000236B0000}"/>
    <cellStyle name="Normal 72 5 2 2 5" xfId="23387" xr:uid="{00000000-0005-0000-0000-0000246B0000}"/>
    <cellStyle name="Normal 72 5 2 3" xfId="5574" xr:uid="{00000000-0005-0000-0000-0000256B0000}"/>
    <cellStyle name="Normal 72 5 2 3 2" xfId="9483" xr:uid="{00000000-0005-0000-0000-0000266B0000}"/>
    <cellStyle name="Normal 72 5 2 3 2 2" xfId="18657" xr:uid="{00000000-0005-0000-0000-0000276B0000}"/>
    <cellStyle name="Normal 72 5 2 3 2 2 2" xfId="35231" xr:uid="{00000000-0005-0000-0000-0000286B0000}"/>
    <cellStyle name="Normal 72 5 2 3 2 3" xfId="27184" xr:uid="{00000000-0005-0000-0000-0000296B0000}"/>
    <cellStyle name="Normal 72 5 2 3 3" xfId="14882" xr:uid="{00000000-0005-0000-0000-00002A6B0000}"/>
    <cellStyle name="Normal 72 5 2 3 3 2" xfId="31432" xr:uid="{00000000-0005-0000-0000-00002B6B0000}"/>
    <cellStyle name="Normal 72 5 2 3 4" xfId="23389" xr:uid="{00000000-0005-0000-0000-00002C6B0000}"/>
    <cellStyle name="Normal 72 5 2 4" xfId="9484" xr:uid="{00000000-0005-0000-0000-00002D6B0000}"/>
    <cellStyle name="Normal 72 5 2 4 2" xfId="18658" xr:uid="{00000000-0005-0000-0000-00002E6B0000}"/>
    <cellStyle name="Normal 72 5 2 4 2 2" xfId="35232" xr:uid="{00000000-0005-0000-0000-00002F6B0000}"/>
    <cellStyle name="Normal 72 5 2 4 3" xfId="27185" xr:uid="{00000000-0005-0000-0000-0000306B0000}"/>
    <cellStyle name="Normal 72 5 2 5" xfId="14879" xr:uid="{00000000-0005-0000-0000-0000316B0000}"/>
    <cellStyle name="Normal 72 5 2 5 2" xfId="31429" xr:uid="{00000000-0005-0000-0000-0000326B0000}"/>
    <cellStyle name="Normal 72 5 2 6" xfId="23386" xr:uid="{00000000-0005-0000-0000-0000336B0000}"/>
    <cellStyle name="Normal 72 5 3" xfId="5575" xr:uid="{00000000-0005-0000-0000-0000346B0000}"/>
    <cellStyle name="Normal 72 5 3 2" xfId="5576" xr:uid="{00000000-0005-0000-0000-0000356B0000}"/>
    <cellStyle name="Normal 72 5 3 2 2" xfId="9485" xr:uid="{00000000-0005-0000-0000-0000366B0000}"/>
    <cellStyle name="Normal 72 5 3 2 2 2" xfId="18659" xr:uid="{00000000-0005-0000-0000-0000376B0000}"/>
    <cellStyle name="Normal 72 5 3 2 2 2 2" xfId="35233" xr:uid="{00000000-0005-0000-0000-0000386B0000}"/>
    <cellStyle name="Normal 72 5 3 2 2 3" xfId="27186" xr:uid="{00000000-0005-0000-0000-0000396B0000}"/>
    <cellStyle name="Normal 72 5 3 2 3" xfId="14884" xr:uid="{00000000-0005-0000-0000-00003A6B0000}"/>
    <cellStyle name="Normal 72 5 3 2 3 2" xfId="31434" xr:uid="{00000000-0005-0000-0000-00003B6B0000}"/>
    <cellStyle name="Normal 72 5 3 2 4" xfId="23391" xr:uid="{00000000-0005-0000-0000-00003C6B0000}"/>
    <cellStyle name="Normal 72 5 3 3" xfId="9486" xr:uid="{00000000-0005-0000-0000-00003D6B0000}"/>
    <cellStyle name="Normal 72 5 3 3 2" xfId="18660" xr:uid="{00000000-0005-0000-0000-00003E6B0000}"/>
    <cellStyle name="Normal 72 5 3 3 2 2" xfId="35234" xr:uid="{00000000-0005-0000-0000-00003F6B0000}"/>
    <cellStyle name="Normal 72 5 3 3 3" xfId="27187" xr:uid="{00000000-0005-0000-0000-0000406B0000}"/>
    <cellStyle name="Normal 72 5 3 4" xfId="14883" xr:uid="{00000000-0005-0000-0000-0000416B0000}"/>
    <cellStyle name="Normal 72 5 3 4 2" xfId="31433" xr:uid="{00000000-0005-0000-0000-0000426B0000}"/>
    <cellStyle name="Normal 72 5 3 5" xfId="23390" xr:uid="{00000000-0005-0000-0000-0000436B0000}"/>
    <cellStyle name="Normal 72 5 4" xfId="5577" xr:uid="{00000000-0005-0000-0000-0000446B0000}"/>
    <cellStyle name="Normal 72 5 4 2" xfId="9487" xr:uid="{00000000-0005-0000-0000-0000456B0000}"/>
    <cellStyle name="Normal 72 5 4 2 2" xfId="18661" xr:uid="{00000000-0005-0000-0000-0000466B0000}"/>
    <cellStyle name="Normal 72 5 4 2 2 2" xfId="35235" xr:uid="{00000000-0005-0000-0000-0000476B0000}"/>
    <cellStyle name="Normal 72 5 4 2 3" xfId="27188" xr:uid="{00000000-0005-0000-0000-0000486B0000}"/>
    <cellStyle name="Normal 72 5 4 3" xfId="14885" xr:uid="{00000000-0005-0000-0000-0000496B0000}"/>
    <cellStyle name="Normal 72 5 4 3 2" xfId="31435" xr:uid="{00000000-0005-0000-0000-00004A6B0000}"/>
    <cellStyle name="Normal 72 5 4 4" xfId="23392" xr:uid="{00000000-0005-0000-0000-00004B6B0000}"/>
    <cellStyle name="Normal 72 5 5" xfId="9488" xr:uid="{00000000-0005-0000-0000-00004C6B0000}"/>
    <cellStyle name="Normal 72 5 5 2" xfId="18662" xr:uid="{00000000-0005-0000-0000-00004D6B0000}"/>
    <cellStyle name="Normal 72 5 5 2 2" xfId="35236" xr:uid="{00000000-0005-0000-0000-00004E6B0000}"/>
    <cellStyle name="Normal 72 5 5 3" xfId="27189" xr:uid="{00000000-0005-0000-0000-00004F6B0000}"/>
    <cellStyle name="Normal 72 5 6" xfId="14878" xr:uid="{00000000-0005-0000-0000-0000506B0000}"/>
    <cellStyle name="Normal 72 5 6 2" xfId="31428" xr:uid="{00000000-0005-0000-0000-0000516B0000}"/>
    <cellStyle name="Normal 72 5 7" xfId="23385" xr:uid="{00000000-0005-0000-0000-0000526B0000}"/>
    <cellStyle name="Normal 72 6" xfId="5578" xr:uid="{00000000-0005-0000-0000-0000536B0000}"/>
    <cellStyle name="Normal 72 6 2" xfId="5579" xr:uid="{00000000-0005-0000-0000-0000546B0000}"/>
    <cellStyle name="Normal 72 6 2 2" xfId="5580" xr:uid="{00000000-0005-0000-0000-0000556B0000}"/>
    <cellStyle name="Normal 72 6 2 2 2" xfId="9489" xr:uid="{00000000-0005-0000-0000-0000566B0000}"/>
    <cellStyle name="Normal 72 6 2 2 2 2" xfId="18663" xr:uid="{00000000-0005-0000-0000-0000576B0000}"/>
    <cellStyle name="Normal 72 6 2 2 2 2 2" xfId="35237" xr:uid="{00000000-0005-0000-0000-0000586B0000}"/>
    <cellStyle name="Normal 72 6 2 2 2 3" xfId="27190" xr:uid="{00000000-0005-0000-0000-0000596B0000}"/>
    <cellStyle name="Normal 72 6 2 2 3" xfId="14888" xr:uid="{00000000-0005-0000-0000-00005A6B0000}"/>
    <cellStyle name="Normal 72 6 2 2 3 2" xfId="31438" xr:uid="{00000000-0005-0000-0000-00005B6B0000}"/>
    <cellStyle name="Normal 72 6 2 2 4" xfId="23395" xr:uid="{00000000-0005-0000-0000-00005C6B0000}"/>
    <cellStyle name="Normal 72 6 2 3" xfId="9490" xr:uid="{00000000-0005-0000-0000-00005D6B0000}"/>
    <cellStyle name="Normal 72 6 2 3 2" xfId="18664" xr:uid="{00000000-0005-0000-0000-00005E6B0000}"/>
    <cellStyle name="Normal 72 6 2 3 2 2" xfId="35238" xr:uid="{00000000-0005-0000-0000-00005F6B0000}"/>
    <cellStyle name="Normal 72 6 2 3 3" xfId="27191" xr:uid="{00000000-0005-0000-0000-0000606B0000}"/>
    <cellStyle name="Normal 72 6 2 4" xfId="14887" xr:uid="{00000000-0005-0000-0000-0000616B0000}"/>
    <cellStyle name="Normal 72 6 2 4 2" xfId="31437" xr:uid="{00000000-0005-0000-0000-0000626B0000}"/>
    <cellStyle name="Normal 72 6 2 5" xfId="23394" xr:uid="{00000000-0005-0000-0000-0000636B0000}"/>
    <cellStyle name="Normal 72 6 3" xfId="5581" xr:uid="{00000000-0005-0000-0000-0000646B0000}"/>
    <cellStyle name="Normal 72 6 3 2" xfId="9491" xr:uid="{00000000-0005-0000-0000-0000656B0000}"/>
    <cellStyle name="Normal 72 6 3 2 2" xfId="18665" xr:uid="{00000000-0005-0000-0000-0000666B0000}"/>
    <cellStyle name="Normal 72 6 3 2 2 2" xfId="35239" xr:uid="{00000000-0005-0000-0000-0000676B0000}"/>
    <cellStyle name="Normal 72 6 3 2 3" xfId="27192" xr:uid="{00000000-0005-0000-0000-0000686B0000}"/>
    <cellStyle name="Normal 72 6 3 3" xfId="14889" xr:uid="{00000000-0005-0000-0000-0000696B0000}"/>
    <cellStyle name="Normal 72 6 3 3 2" xfId="31439" xr:uid="{00000000-0005-0000-0000-00006A6B0000}"/>
    <cellStyle name="Normal 72 6 3 4" xfId="23396" xr:uid="{00000000-0005-0000-0000-00006B6B0000}"/>
    <cellStyle name="Normal 72 6 4" xfId="9492" xr:uid="{00000000-0005-0000-0000-00006C6B0000}"/>
    <cellStyle name="Normal 72 6 4 2" xfId="18666" xr:uid="{00000000-0005-0000-0000-00006D6B0000}"/>
    <cellStyle name="Normal 72 6 4 2 2" xfId="35240" xr:uid="{00000000-0005-0000-0000-00006E6B0000}"/>
    <cellStyle name="Normal 72 6 4 3" xfId="27193" xr:uid="{00000000-0005-0000-0000-00006F6B0000}"/>
    <cellStyle name="Normal 72 6 5" xfId="14886" xr:uid="{00000000-0005-0000-0000-0000706B0000}"/>
    <cellStyle name="Normal 72 6 5 2" xfId="31436" xr:uid="{00000000-0005-0000-0000-0000716B0000}"/>
    <cellStyle name="Normal 72 6 6" xfId="23393" xr:uid="{00000000-0005-0000-0000-0000726B0000}"/>
    <cellStyle name="Normal 72 7" xfId="5582" xr:uid="{00000000-0005-0000-0000-0000736B0000}"/>
    <cellStyle name="Normal 72 7 2" xfId="5583" xr:uid="{00000000-0005-0000-0000-0000746B0000}"/>
    <cellStyle name="Normal 72 7 2 2" xfId="9493" xr:uid="{00000000-0005-0000-0000-0000756B0000}"/>
    <cellStyle name="Normal 72 7 2 2 2" xfId="18667" xr:uid="{00000000-0005-0000-0000-0000766B0000}"/>
    <cellStyle name="Normal 72 7 2 2 2 2" xfId="35241" xr:uid="{00000000-0005-0000-0000-0000776B0000}"/>
    <cellStyle name="Normal 72 7 2 2 3" xfId="27194" xr:uid="{00000000-0005-0000-0000-0000786B0000}"/>
    <cellStyle name="Normal 72 7 2 3" xfId="14891" xr:uid="{00000000-0005-0000-0000-0000796B0000}"/>
    <cellStyle name="Normal 72 7 2 3 2" xfId="31441" xr:uid="{00000000-0005-0000-0000-00007A6B0000}"/>
    <cellStyle name="Normal 72 7 2 4" xfId="23398" xr:uid="{00000000-0005-0000-0000-00007B6B0000}"/>
    <cellStyle name="Normal 72 7 3" xfId="9494" xr:uid="{00000000-0005-0000-0000-00007C6B0000}"/>
    <cellStyle name="Normal 72 7 3 2" xfId="18668" xr:uid="{00000000-0005-0000-0000-00007D6B0000}"/>
    <cellStyle name="Normal 72 7 3 2 2" xfId="35242" xr:uid="{00000000-0005-0000-0000-00007E6B0000}"/>
    <cellStyle name="Normal 72 7 3 3" xfId="27195" xr:uid="{00000000-0005-0000-0000-00007F6B0000}"/>
    <cellStyle name="Normal 72 7 4" xfId="14890" xr:uid="{00000000-0005-0000-0000-0000806B0000}"/>
    <cellStyle name="Normal 72 7 4 2" xfId="31440" xr:uid="{00000000-0005-0000-0000-0000816B0000}"/>
    <cellStyle name="Normal 72 7 5" xfId="23397" xr:uid="{00000000-0005-0000-0000-0000826B0000}"/>
    <cellStyle name="Normal 72 8" xfId="5584" xr:uid="{00000000-0005-0000-0000-0000836B0000}"/>
    <cellStyle name="Normal 72 8 2" xfId="9495" xr:uid="{00000000-0005-0000-0000-0000846B0000}"/>
    <cellStyle name="Normal 72 8 2 2" xfId="18669" xr:uid="{00000000-0005-0000-0000-0000856B0000}"/>
    <cellStyle name="Normal 72 8 2 2 2" xfId="35243" xr:uid="{00000000-0005-0000-0000-0000866B0000}"/>
    <cellStyle name="Normal 72 8 2 3" xfId="27196" xr:uid="{00000000-0005-0000-0000-0000876B0000}"/>
    <cellStyle name="Normal 72 8 3" xfId="14892" xr:uid="{00000000-0005-0000-0000-0000886B0000}"/>
    <cellStyle name="Normal 72 8 3 2" xfId="31442" xr:uid="{00000000-0005-0000-0000-0000896B0000}"/>
    <cellStyle name="Normal 72 8 4" xfId="23399" xr:uid="{00000000-0005-0000-0000-00008A6B0000}"/>
    <cellStyle name="Normal 72 9" xfId="9496" xr:uid="{00000000-0005-0000-0000-00008B6B0000}"/>
    <cellStyle name="Normal 72 9 2" xfId="18670" xr:uid="{00000000-0005-0000-0000-00008C6B0000}"/>
    <cellStyle name="Normal 72 9 2 2" xfId="35244" xr:uid="{00000000-0005-0000-0000-00008D6B0000}"/>
    <cellStyle name="Normal 72 9 3" xfId="27197" xr:uid="{00000000-0005-0000-0000-00008E6B0000}"/>
    <cellStyle name="Normal 73" xfId="5585" xr:uid="{00000000-0005-0000-0000-00008F6B0000}"/>
    <cellStyle name="Normal 73 10" xfId="14893" xr:uid="{00000000-0005-0000-0000-0000906B0000}"/>
    <cellStyle name="Normal 73 10 2" xfId="31443" xr:uid="{00000000-0005-0000-0000-0000916B0000}"/>
    <cellStyle name="Normal 73 11" xfId="23400" xr:uid="{00000000-0005-0000-0000-0000926B0000}"/>
    <cellStyle name="Normal 73 2" xfId="5586" xr:uid="{00000000-0005-0000-0000-0000936B0000}"/>
    <cellStyle name="Normal 73 2 2" xfId="5587" xr:uid="{00000000-0005-0000-0000-0000946B0000}"/>
    <cellStyle name="Normal 73 2 3" xfId="14894" xr:uid="{00000000-0005-0000-0000-0000956B0000}"/>
    <cellStyle name="Normal 73 2 3 2" xfId="31444" xr:uid="{00000000-0005-0000-0000-0000966B0000}"/>
    <cellStyle name="Normal 73 2 4" xfId="23401" xr:uid="{00000000-0005-0000-0000-0000976B0000}"/>
    <cellStyle name="Normal 73 3" xfId="5588" xr:uid="{00000000-0005-0000-0000-0000986B0000}"/>
    <cellStyle name="Normal 73 3 2" xfId="5589" xr:uid="{00000000-0005-0000-0000-0000996B0000}"/>
    <cellStyle name="Normal 73 3 2 2" xfId="5590" xr:uid="{00000000-0005-0000-0000-00009A6B0000}"/>
    <cellStyle name="Normal 73 3 2 2 2" xfId="5591" xr:uid="{00000000-0005-0000-0000-00009B6B0000}"/>
    <cellStyle name="Normal 73 3 2 2 2 2" xfId="9497" xr:uid="{00000000-0005-0000-0000-00009C6B0000}"/>
    <cellStyle name="Normal 73 3 2 2 2 2 2" xfId="18671" xr:uid="{00000000-0005-0000-0000-00009D6B0000}"/>
    <cellStyle name="Normal 73 3 2 2 2 2 2 2" xfId="35245" xr:uid="{00000000-0005-0000-0000-00009E6B0000}"/>
    <cellStyle name="Normal 73 3 2 2 2 2 3" xfId="27198" xr:uid="{00000000-0005-0000-0000-00009F6B0000}"/>
    <cellStyle name="Normal 73 3 2 2 2 3" xfId="14897" xr:uid="{00000000-0005-0000-0000-0000A06B0000}"/>
    <cellStyle name="Normal 73 3 2 2 2 3 2" xfId="31447" xr:uid="{00000000-0005-0000-0000-0000A16B0000}"/>
    <cellStyle name="Normal 73 3 2 2 2 4" xfId="23404" xr:uid="{00000000-0005-0000-0000-0000A26B0000}"/>
    <cellStyle name="Normal 73 3 2 2 3" xfId="9498" xr:uid="{00000000-0005-0000-0000-0000A36B0000}"/>
    <cellStyle name="Normal 73 3 2 2 3 2" xfId="18672" xr:uid="{00000000-0005-0000-0000-0000A46B0000}"/>
    <cellStyle name="Normal 73 3 2 2 3 2 2" xfId="35246" xr:uid="{00000000-0005-0000-0000-0000A56B0000}"/>
    <cellStyle name="Normal 73 3 2 2 3 3" xfId="27199" xr:uid="{00000000-0005-0000-0000-0000A66B0000}"/>
    <cellStyle name="Normal 73 3 2 2 4" xfId="14896" xr:uid="{00000000-0005-0000-0000-0000A76B0000}"/>
    <cellStyle name="Normal 73 3 2 2 4 2" xfId="31446" xr:uid="{00000000-0005-0000-0000-0000A86B0000}"/>
    <cellStyle name="Normal 73 3 2 2 5" xfId="23403" xr:uid="{00000000-0005-0000-0000-0000A96B0000}"/>
    <cellStyle name="Normal 73 3 2 3" xfId="5592" xr:uid="{00000000-0005-0000-0000-0000AA6B0000}"/>
    <cellStyle name="Normal 73 3 2 3 2" xfId="9499" xr:uid="{00000000-0005-0000-0000-0000AB6B0000}"/>
    <cellStyle name="Normal 73 3 2 3 2 2" xfId="18673" xr:uid="{00000000-0005-0000-0000-0000AC6B0000}"/>
    <cellStyle name="Normal 73 3 2 3 2 2 2" xfId="35247" xr:uid="{00000000-0005-0000-0000-0000AD6B0000}"/>
    <cellStyle name="Normal 73 3 2 3 2 3" xfId="27200" xr:uid="{00000000-0005-0000-0000-0000AE6B0000}"/>
    <cellStyle name="Normal 73 3 2 3 3" xfId="14898" xr:uid="{00000000-0005-0000-0000-0000AF6B0000}"/>
    <cellStyle name="Normal 73 3 2 3 3 2" xfId="31448" xr:uid="{00000000-0005-0000-0000-0000B06B0000}"/>
    <cellStyle name="Normal 73 3 2 3 4" xfId="23405" xr:uid="{00000000-0005-0000-0000-0000B16B0000}"/>
    <cellStyle name="Normal 73 3 2 4" xfId="9500" xr:uid="{00000000-0005-0000-0000-0000B26B0000}"/>
    <cellStyle name="Normal 73 3 2 4 2" xfId="18674" xr:uid="{00000000-0005-0000-0000-0000B36B0000}"/>
    <cellStyle name="Normal 73 3 2 4 2 2" xfId="35248" xr:uid="{00000000-0005-0000-0000-0000B46B0000}"/>
    <cellStyle name="Normal 73 3 2 4 3" xfId="27201" xr:uid="{00000000-0005-0000-0000-0000B56B0000}"/>
    <cellStyle name="Normal 73 3 2 5" xfId="14895" xr:uid="{00000000-0005-0000-0000-0000B66B0000}"/>
    <cellStyle name="Normal 73 3 2 5 2" xfId="31445" xr:uid="{00000000-0005-0000-0000-0000B76B0000}"/>
    <cellStyle name="Normal 73 3 2 6" xfId="23402" xr:uid="{00000000-0005-0000-0000-0000B86B0000}"/>
    <cellStyle name="Normal 73 3 3" xfId="5593" xr:uid="{00000000-0005-0000-0000-0000B96B0000}"/>
    <cellStyle name="Normal 73 3 3 2" xfId="5594" xr:uid="{00000000-0005-0000-0000-0000BA6B0000}"/>
    <cellStyle name="Normal 73 3 3 2 2" xfId="9501" xr:uid="{00000000-0005-0000-0000-0000BB6B0000}"/>
    <cellStyle name="Normal 73 3 3 2 2 2" xfId="18675" xr:uid="{00000000-0005-0000-0000-0000BC6B0000}"/>
    <cellStyle name="Normal 73 3 3 2 2 2 2" xfId="35249" xr:uid="{00000000-0005-0000-0000-0000BD6B0000}"/>
    <cellStyle name="Normal 73 3 3 2 2 3" xfId="27202" xr:uid="{00000000-0005-0000-0000-0000BE6B0000}"/>
    <cellStyle name="Normal 73 3 3 2 3" xfId="14900" xr:uid="{00000000-0005-0000-0000-0000BF6B0000}"/>
    <cellStyle name="Normal 73 3 3 2 3 2" xfId="31450" xr:uid="{00000000-0005-0000-0000-0000C06B0000}"/>
    <cellStyle name="Normal 73 3 3 2 4" xfId="23407" xr:uid="{00000000-0005-0000-0000-0000C16B0000}"/>
    <cellStyle name="Normal 73 3 3 3" xfId="9502" xr:uid="{00000000-0005-0000-0000-0000C26B0000}"/>
    <cellStyle name="Normal 73 3 3 3 2" xfId="18676" xr:uid="{00000000-0005-0000-0000-0000C36B0000}"/>
    <cellStyle name="Normal 73 3 3 3 2 2" xfId="35250" xr:uid="{00000000-0005-0000-0000-0000C46B0000}"/>
    <cellStyle name="Normal 73 3 3 3 3" xfId="27203" xr:uid="{00000000-0005-0000-0000-0000C56B0000}"/>
    <cellStyle name="Normal 73 3 3 4" xfId="14899" xr:uid="{00000000-0005-0000-0000-0000C66B0000}"/>
    <cellStyle name="Normal 73 3 3 4 2" xfId="31449" xr:uid="{00000000-0005-0000-0000-0000C76B0000}"/>
    <cellStyle name="Normal 73 3 3 5" xfId="23406" xr:uid="{00000000-0005-0000-0000-0000C86B0000}"/>
    <cellStyle name="Normal 73 3 4" xfId="5595" xr:uid="{00000000-0005-0000-0000-0000C96B0000}"/>
    <cellStyle name="Normal 73 3 4 2" xfId="9503" xr:uid="{00000000-0005-0000-0000-0000CA6B0000}"/>
    <cellStyle name="Normal 73 3 4 2 2" xfId="18677" xr:uid="{00000000-0005-0000-0000-0000CB6B0000}"/>
    <cellStyle name="Normal 73 3 4 2 2 2" xfId="35251" xr:uid="{00000000-0005-0000-0000-0000CC6B0000}"/>
    <cellStyle name="Normal 73 3 4 2 3" xfId="27204" xr:uid="{00000000-0005-0000-0000-0000CD6B0000}"/>
    <cellStyle name="Normal 73 3 4 3" xfId="14901" xr:uid="{00000000-0005-0000-0000-0000CE6B0000}"/>
    <cellStyle name="Normal 73 3 4 3 2" xfId="31451" xr:uid="{00000000-0005-0000-0000-0000CF6B0000}"/>
    <cellStyle name="Normal 73 3 4 4" xfId="23408" xr:uid="{00000000-0005-0000-0000-0000D06B0000}"/>
    <cellStyle name="Normal 73 3 5" xfId="5596" xr:uid="{00000000-0005-0000-0000-0000D16B0000}"/>
    <cellStyle name="Normal 73 3 5 2" xfId="14902" xr:uid="{00000000-0005-0000-0000-0000D26B0000}"/>
    <cellStyle name="Normal 73 3 5 2 2" xfId="31452" xr:uid="{00000000-0005-0000-0000-0000D36B0000}"/>
    <cellStyle name="Normal 73 3 5 3" xfId="23409" xr:uid="{00000000-0005-0000-0000-0000D46B0000}"/>
    <cellStyle name="Normal 73 4" xfId="5597" xr:uid="{00000000-0005-0000-0000-0000D56B0000}"/>
    <cellStyle name="Normal 73 4 2" xfId="5598" xr:uid="{00000000-0005-0000-0000-0000D66B0000}"/>
    <cellStyle name="Normal 73 4 2 2" xfId="5599" xr:uid="{00000000-0005-0000-0000-0000D76B0000}"/>
    <cellStyle name="Normal 73 4 2 2 2" xfId="5600" xr:uid="{00000000-0005-0000-0000-0000D86B0000}"/>
    <cellStyle name="Normal 73 4 2 2 2 2" xfId="9504" xr:uid="{00000000-0005-0000-0000-0000D96B0000}"/>
    <cellStyle name="Normal 73 4 2 2 2 2 2" xfId="18678" xr:uid="{00000000-0005-0000-0000-0000DA6B0000}"/>
    <cellStyle name="Normal 73 4 2 2 2 2 2 2" xfId="35252" xr:uid="{00000000-0005-0000-0000-0000DB6B0000}"/>
    <cellStyle name="Normal 73 4 2 2 2 2 3" xfId="27205" xr:uid="{00000000-0005-0000-0000-0000DC6B0000}"/>
    <cellStyle name="Normal 73 4 2 2 2 3" xfId="14906" xr:uid="{00000000-0005-0000-0000-0000DD6B0000}"/>
    <cellStyle name="Normal 73 4 2 2 2 3 2" xfId="31456" xr:uid="{00000000-0005-0000-0000-0000DE6B0000}"/>
    <cellStyle name="Normal 73 4 2 2 2 4" xfId="23413" xr:uid="{00000000-0005-0000-0000-0000DF6B0000}"/>
    <cellStyle name="Normal 73 4 2 2 3" xfId="9505" xr:uid="{00000000-0005-0000-0000-0000E06B0000}"/>
    <cellStyle name="Normal 73 4 2 2 3 2" xfId="18679" xr:uid="{00000000-0005-0000-0000-0000E16B0000}"/>
    <cellStyle name="Normal 73 4 2 2 3 2 2" xfId="35253" xr:uid="{00000000-0005-0000-0000-0000E26B0000}"/>
    <cellStyle name="Normal 73 4 2 2 3 3" xfId="27206" xr:uid="{00000000-0005-0000-0000-0000E36B0000}"/>
    <cellStyle name="Normal 73 4 2 2 4" xfId="14905" xr:uid="{00000000-0005-0000-0000-0000E46B0000}"/>
    <cellStyle name="Normal 73 4 2 2 4 2" xfId="31455" xr:uid="{00000000-0005-0000-0000-0000E56B0000}"/>
    <cellStyle name="Normal 73 4 2 2 5" xfId="23412" xr:uid="{00000000-0005-0000-0000-0000E66B0000}"/>
    <cellStyle name="Normal 73 4 2 3" xfId="5601" xr:uid="{00000000-0005-0000-0000-0000E76B0000}"/>
    <cellStyle name="Normal 73 4 2 3 2" xfId="9506" xr:uid="{00000000-0005-0000-0000-0000E86B0000}"/>
    <cellStyle name="Normal 73 4 2 3 2 2" xfId="18680" xr:uid="{00000000-0005-0000-0000-0000E96B0000}"/>
    <cellStyle name="Normal 73 4 2 3 2 2 2" xfId="35254" xr:uid="{00000000-0005-0000-0000-0000EA6B0000}"/>
    <cellStyle name="Normal 73 4 2 3 2 3" xfId="27207" xr:uid="{00000000-0005-0000-0000-0000EB6B0000}"/>
    <cellStyle name="Normal 73 4 2 3 3" xfId="14907" xr:uid="{00000000-0005-0000-0000-0000EC6B0000}"/>
    <cellStyle name="Normal 73 4 2 3 3 2" xfId="31457" xr:uid="{00000000-0005-0000-0000-0000ED6B0000}"/>
    <cellStyle name="Normal 73 4 2 3 4" xfId="23414" xr:uid="{00000000-0005-0000-0000-0000EE6B0000}"/>
    <cellStyle name="Normal 73 4 2 4" xfId="9507" xr:uid="{00000000-0005-0000-0000-0000EF6B0000}"/>
    <cellStyle name="Normal 73 4 2 4 2" xfId="18681" xr:uid="{00000000-0005-0000-0000-0000F06B0000}"/>
    <cellStyle name="Normal 73 4 2 4 2 2" xfId="35255" xr:uid="{00000000-0005-0000-0000-0000F16B0000}"/>
    <cellStyle name="Normal 73 4 2 4 3" xfId="27208" xr:uid="{00000000-0005-0000-0000-0000F26B0000}"/>
    <cellStyle name="Normal 73 4 2 5" xfId="14904" xr:uid="{00000000-0005-0000-0000-0000F36B0000}"/>
    <cellStyle name="Normal 73 4 2 5 2" xfId="31454" xr:uid="{00000000-0005-0000-0000-0000F46B0000}"/>
    <cellStyle name="Normal 73 4 2 6" xfId="23411" xr:uid="{00000000-0005-0000-0000-0000F56B0000}"/>
    <cellStyle name="Normal 73 4 3" xfId="5602" xr:uid="{00000000-0005-0000-0000-0000F66B0000}"/>
    <cellStyle name="Normal 73 4 3 2" xfId="5603" xr:uid="{00000000-0005-0000-0000-0000F76B0000}"/>
    <cellStyle name="Normal 73 4 3 2 2" xfId="9508" xr:uid="{00000000-0005-0000-0000-0000F86B0000}"/>
    <cellStyle name="Normal 73 4 3 2 2 2" xfId="18682" xr:uid="{00000000-0005-0000-0000-0000F96B0000}"/>
    <cellStyle name="Normal 73 4 3 2 2 2 2" xfId="35256" xr:uid="{00000000-0005-0000-0000-0000FA6B0000}"/>
    <cellStyle name="Normal 73 4 3 2 2 3" xfId="27209" xr:uid="{00000000-0005-0000-0000-0000FB6B0000}"/>
    <cellStyle name="Normal 73 4 3 2 3" xfId="14909" xr:uid="{00000000-0005-0000-0000-0000FC6B0000}"/>
    <cellStyle name="Normal 73 4 3 2 3 2" xfId="31459" xr:uid="{00000000-0005-0000-0000-0000FD6B0000}"/>
    <cellStyle name="Normal 73 4 3 2 4" xfId="23416" xr:uid="{00000000-0005-0000-0000-0000FE6B0000}"/>
    <cellStyle name="Normal 73 4 3 3" xfId="9509" xr:uid="{00000000-0005-0000-0000-0000FF6B0000}"/>
    <cellStyle name="Normal 73 4 3 3 2" xfId="18683" xr:uid="{00000000-0005-0000-0000-0000006C0000}"/>
    <cellStyle name="Normal 73 4 3 3 2 2" xfId="35257" xr:uid="{00000000-0005-0000-0000-0000016C0000}"/>
    <cellStyle name="Normal 73 4 3 3 3" xfId="27210" xr:uid="{00000000-0005-0000-0000-0000026C0000}"/>
    <cellStyle name="Normal 73 4 3 4" xfId="14908" xr:uid="{00000000-0005-0000-0000-0000036C0000}"/>
    <cellStyle name="Normal 73 4 3 4 2" xfId="31458" xr:uid="{00000000-0005-0000-0000-0000046C0000}"/>
    <cellStyle name="Normal 73 4 3 5" xfId="23415" xr:uid="{00000000-0005-0000-0000-0000056C0000}"/>
    <cellStyle name="Normal 73 4 4" xfId="5604" xr:uid="{00000000-0005-0000-0000-0000066C0000}"/>
    <cellStyle name="Normal 73 4 4 2" xfId="9510" xr:uid="{00000000-0005-0000-0000-0000076C0000}"/>
    <cellStyle name="Normal 73 4 4 2 2" xfId="18684" xr:uid="{00000000-0005-0000-0000-0000086C0000}"/>
    <cellStyle name="Normal 73 4 4 2 2 2" xfId="35258" xr:uid="{00000000-0005-0000-0000-0000096C0000}"/>
    <cellStyle name="Normal 73 4 4 2 3" xfId="27211" xr:uid="{00000000-0005-0000-0000-00000A6C0000}"/>
    <cellStyle name="Normal 73 4 4 3" xfId="14910" xr:uid="{00000000-0005-0000-0000-00000B6C0000}"/>
    <cellStyle name="Normal 73 4 4 3 2" xfId="31460" xr:uid="{00000000-0005-0000-0000-00000C6C0000}"/>
    <cellStyle name="Normal 73 4 4 4" xfId="23417" xr:uid="{00000000-0005-0000-0000-00000D6C0000}"/>
    <cellStyle name="Normal 73 4 5" xfId="9511" xr:uid="{00000000-0005-0000-0000-00000E6C0000}"/>
    <cellStyle name="Normal 73 4 5 2" xfId="18685" xr:uid="{00000000-0005-0000-0000-00000F6C0000}"/>
    <cellStyle name="Normal 73 4 5 2 2" xfId="35259" xr:uid="{00000000-0005-0000-0000-0000106C0000}"/>
    <cellStyle name="Normal 73 4 5 3" xfId="27212" xr:uid="{00000000-0005-0000-0000-0000116C0000}"/>
    <cellStyle name="Normal 73 4 6" xfId="14903" xr:uid="{00000000-0005-0000-0000-0000126C0000}"/>
    <cellStyle name="Normal 73 4 6 2" xfId="31453" xr:uid="{00000000-0005-0000-0000-0000136C0000}"/>
    <cellStyle name="Normal 73 4 7" xfId="23410" xr:uid="{00000000-0005-0000-0000-0000146C0000}"/>
    <cellStyle name="Normal 73 5" xfId="5605" xr:uid="{00000000-0005-0000-0000-0000156C0000}"/>
    <cellStyle name="Normal 73 5 2" xfId="5606" xr:uid="{00000000-0005-0000-0000-0000166C0000}"/>
    <cellStyle name="Normal 73 5 2 2" xfId="5607" xr:uid="{00000000-0005-0000-0000-0000176C0000}"/>
    <cellStyle name="Normal 73 5 2 2 2" xfId="5608" xr:uid="{00000000-0005-0000-0000-0000186C0000}"/>
    <cellStyle name="Normal 73 5 2 2 2 2" xfId="9512" xr:uid="{00000000-0005-0000-0000-0000196C0000}"/>
    <cellStyle name="Normal 73 5 2 2 2 2 2" xfId="18686" xr:uid="{00000000-0005-0000-0000-00001A6C0000}"/>
    <cellStyle name="Normal 73 5 2 2 2 2 2 2" xfId="35260" xr:uid="{00000000-0005-0000-0000-00001B6C0000}"/>
    <cellStyle name="Normal 73 5 2 2 2 2 3" xfId="27213" xr:uid="{00000000-0005-0000-0000-00001C6C0000}"/>
    <cellStyle name="Normal 73 5 2 2 2 3" xfId="14914" xr:uid="{00000000-0005-0000-0000-00001D6C0000}"/>
    <cellStyle name="Normal 73 5 2 2 2 3 2" xfId="31464" xr:uid="{00000000-0005-0000-0000-00001E6C0000}"/>
    <cellStyle name="Normal 73 5 2 2 2 4" xfId="23421" xr:uid="{00000000-0005-0000-0000-00001F6C0000}"/>
    <cellStyle name="Normal 73 5 2 2 3" xfId="9513" xr:uid="{00000000-0005-0000-0000-0000206C0000}"/>
    <cellStyle name="Normal 73 5 2 2 3 2" xfId="18687" xr:uid="{00000000-0005-0000-0000-0000216C0000}"/>
    <cellStyle name="Normal 73 5 2 2 3 2 2" xfId="35261" xr:uid="{00000000-0005-0000-0000-0000226C0000}"/>
    <cellStyle name="Normal 73 5 2 2 3 3" xfId="27214" xr:uid="{00000000-0005-0000-0000-0000236C0000}"/>
    <cellStyle name="Normal 73 5 2 2 4" xfId="14913" xr:uid="{00000000-0005-0000-0000-0000246C0000}"/>
    <cellStyle name="Normal 73 5 2 2 4 2" xfId="31463" xr:uid="{00000000-0005-0000-0000-0000256C0000}"/>
    <cellStyle name="Normal 73 5 2 2 5" xfId="23420" xr:uid="{00000000-0005-0000-0000-0000266C0000}"/>
    <cellStyle name="Normal 73 5 2 3" xfId="5609" xr:uid="{00000000-0005-0000-0000-0000276C0000}"/>
    <cellStyle name="Normal 73 5 2 3 2" xfId="9514" xr:uid="{00000000-0005-0000-0000-0000286C0000}"/>
    <cellStyle name="Normal 73 5 2 3 2 2" xfId="18688" xr:uid="{00000000-0005-0000-0000-0000296C0000}"/>
    <cellStyle name="Normal 73 5 2 3 2 2 2" xfId="35262" xr:uid="{00000000-0005-0000-0000-00002A6C0000}"/>
    <cellStyle name="Normal 73 5 2 3 2 3" xfId="27215" xr:uid="{00000000-0005-0000-0000-00002B6C0000}"/>
    <cellStyle name="Normal 73 5 2 3 3" xfId="14915" xr:uid="{00000000-0005-0000-0000-00002C6C0000}"/>
    <cellStyle name="Normal 73 5 2 3 3 2" xfId="31465" xr:uid="{00000000-0005-0000-0000-00002D6C0000}"/>
    <cellStyle name="Normal 73 5 2 3 4" xfId="23422" xr:uid="{00000000-0005-0000-0000-00002E6C0000}"/>
    <cellStyle name="Normal 73 5 2 4" xfId="9515" xr:uid="{00000000-0005-0000-0000-00002F6C0000}"/>
    <cellStyle name="Normal 73 5 2 4 2" xfId="18689" xr:uid="{00000000-0005-0000-0000-0000306C0000}"/>
    <cellStyle name="Normal 73 5 2 4 2 2" xfId="35263" xr:uid="{00000000-0005-0000-0000-0000316C0000}"/>
    <cellStyle name="Normal 73 5 2 4 3" xfId="27216" xr:uid="{00000000-0005-0000-0000-0000326C0000}"/>
    <cellStyle name="Normal 73 5 2 5" xfId="14912" xr:uid="{00000000-0005-0000-0000-0000336C0000}"/>
    <cellStyle name="Normal 73 5 2 5 2" xfId="31462" xr:uid="{00000000-0005-0000-0000-0000346C0000}"/>
    <cellStyle name="Normal 73 5 2 6" xfId="23419" xr:uid="{00000000-0005-0000-0000-0000356C0000}"/>
    <cellStyle name="Normal 73 5 3" xfId="5610" xr:uid="{00000000-0005-0000-0000-0000366C0000}"/>
    <cellStyle name="Normal 73 5 3 2" xfId="5611" xr:uid="{00000000-0005-0000-0000-0000376C0000}"/>
    <cellStyle name="Normal 73 5 3 2 2" xfId="9516" xr:uid="{00000000-0005-0000-0000-0000386C0000}"/>
    <cellStyle name="Normal 73 5 3 2 2 2" xfId="18690" xr:uid="{00000000-0005-0000-0000-0000396C0000}"/>
    <cellStyle name="Normal 73 5 3 2 2 2 2" xfId="35264" xr:uid="{00000000-0005-0000-0000-00003A6C0000}"/>
    <cellStyle name="Normal 73 5 3 2 2 3" xfId="27217" xr:uid="{00000000-0005-0000-0000-00003B6C0000}"/>
    <cellStyle name="Normal 73 5 3 2 3" xfId="14917" xr:uid="{00000000-0005-0000-0000-00003C6C0000}"/>
    <cellStyle name="Normal 73 5 3 2 3 2" xfId="31467" xr:uid="{00000000-0005-0000-0000-00003D6C0000}"/>
    <cellStyle name="Normal 73 5 3 2 4" xfId="23424" xr:uid="{00000000-0005-0000-0000-00003E6C0000}"/>
    <cellStyle name="Normal 73 5 3 3" xfId="9517" xr:uid="{00000000-0005-0000-0000-00003F6C0000}"/>
    <cellStyle name="Normal 73 5 3 3 2" xfId="18691" xr:uid="{00000000-0005-0000-0000-0000406C0000}"/>
    <cellStyle name="Normal 73 5 3 3 2 2" xfId="35265" xr:uid="{00000000-0005-0000-0000-0000416C0000}"/>
    <cellStyle name="Normal 73 5 3 3 3" xfId="27218" xr:uid="{00000000-0005-0000-0000-0000426C0000}"/>
    <cellStyle name="Normal 73 5 3 4" xfId="14916" xr:uid="{00000000-0005-0000-0000-0000436C0000}"/>
    <cellStyle name="Normal 73 5 3 4 2" xfId="31466" xr:uid="{00000000-0005-0000-0000-0000446C0000}"/>
    <cellStyle name="Normal 73 5 3 5" xfId="23423" xr:uid="{00000000-0005-0000-0000-0000456C0000}"/>
    <cellStyle name="Normal 73 5 4" xfId="5612" xr:uid="{00000000-0005-0000-0000-0000466C0000}"/>
    <cellStyle name="Normal 73 5 4 2" xfId="9518" xr:uid="{00000000-0005-0000-0000-0000476C0000}"/>
    <cellStyle name="Normal 73 5 4 2 2" xfId="18692" xr:uid="{00000000-0005-0000-0000-0000486C0000}"/>
    <cellStyle name="Normal 73 5 4 2 2 2" xfId="35266" xr:uid="{00000000-0005-0000-0000-0000496C0000}"/>
    <cellStyle name="Normal 73 5 4 2 3" xfId="27219" xr:uid="{00000000-0005-0000-0000-00004A6C0000}"/>
    <cellStyle name="Normal 73 5 4 3" xfId="14918" xr:uid="{00000000-0005-0000-0000-00004B6C0000}"/>
    <cellStyle name="Normal 73 5 4 3 2" xfId="31468" xr:uid="{00000000-0005-0000-0000-00004C6C0000}"/>
    <cellStyle name="Normal 73 5 4 4" xfId="23425" xr:uid="{00000000-0005-0000-0000-00004D6C0000}"/>
    <cellStyle name="Normal 73 5 5" xfId="9519" xr:uid="{00000000-0005-0000-0000-00004E6C0000}"/>
    <cellStyle name="Normal 73 5 5 2" xfId="18693" xr:uid="{00000000-0005-0000-0000-00004F6C0000}"/>
    <cellStyle name="Normal 73 5 5 2 2" xfId="35267" xr:uid="{00000000-0005-0000-0000-0000506C0000}"/>
    <cellStyle name="Normal 73 5 5 3" xfId="27220" xr:uid="{00000000-0005-0000-0000-0000516C0000}"/>
    <cellStyle name="Normal 73 5 6" xfId="14911" xr:uid="{00000000-0005-0000-0000-0000526C0000}"/>
    <cellStyle name="Normal 73 5 6 2" xfId="31461" xr:uid="{00000000-0005-0000-0000-0000536C0000}"/>
    <cellStyle name="Normal 73 5 7" xfId="23418" xr:uid="{00000000-0005-0000-0000-0000546C0000}"/>
    <cellStyle name="Normal 73 6" xfId="5613" xr:uid="{00000000-0005-0000-0000-0000556C0000}"/>
    <cellStyle name="Normal 73 6 2" xfId="5614" xr:uid="{00000000-0005-0000-0000-0000566C0000}"/>
    <cellStyle name="Normal 73 6 2 2" xfId="5615" xr:uid="{00000000-0005-0000-0000-0000576C0000}"/>
    <cellStyle name="Normal 73 6 2 2 2" xfId="9520" xr:uid="{00000000-0005-0000-0000-0000586C0000}"/>
    <cellStyle name="Normal 73 6 2 2 2 2" xfId="18694" xr:uid="{00000000-0005-0000-0000-0000596C0000}"/>
    <cellStyle name="Normal 73 6 2 2 2 2 2" xfId="35268" xr:uid="{00000000-0005-0000-0000-00005A6C0000}"/>
    <cellStyle name="Normal 73 6 2 2 2 3" xfId="27221" xr:uid="{00000000-0005-0000-0000-00005B6C0000}"/>
    <cellStyle name="Normal 73 6 2 2 3" xfId="14921" xr:uid="{00000000-0005-0000-0000-00005C6C0000}"/>
    <cellStyle name="Normal 73 6 2 2 3 2" xfId="31471" xr:uid="{00000000-0005-0000-0000-00005D6C0000}"/>
    <cellStyle name="Normal 73 6 2 2 4" xfId="23428" xr:uid="{00000000-0005-0000-0000-00005E6C0000}"/>
    <cellStyle name="Normal 73 6 2 3" xfId="9521" xr:uid="{00000000-0005-0000-0000-00005F6C0000}"/>
    <cellStyle name="Normal 73 6 2 3 2" xfId="18695" xr:uid="{00000000-0005-0000-0000-0000606C0000}"/>
    <cellStyle name="Normal 73 6 2 3 2 2" xfId="35269" xr:uid="{00000000-0005-0000-0000-0000616C0000}"/>
    <cellStyle name="Normal 73 6 2 3 3" xfId="27222" xr:uid="{00000000-0005-0000-0000-0000626C0000}"/>
    <cellStyle name="Normal 73 6 2 4" xfId="14920" xr:uid="{00000000-0005-0000-0000-0000636C0000}"/>
    <cellStyle name="Normal 73 6 2 4 2" xfId="31470" xr:uid="{00000000-0005-0000-0000-0000646C0000}"/>
    <cellStyle name="Normal 73 6 2 5" xfId="23427" xr:uid="{00000000-0005-0000-0000-0000656C0000}"/>
    <cellStyle name="Normal 73 6 3" xfId="5616" xr:uid="{00000000-0005-0000-0000-0000666C0000}"/>
    <cellStyle name="Normal 73 6 3 2" xfId="9522" xr:uid="{00000000-0005-0000-0000-0000676C0000}"/>
    <cellStyle name="Normal 73 6 3 2 2" xfId="18696" xr:uid="{00000000-0005-0000-0000-0000686C0000}"/>
    <cellStyle name="Normal 73 6 3 2 2 2" xfId="35270" xr:uid="{00000000-0005-0000-0000-0000696C0000}"/>
    <cellStyle name="Normal 73 6 3 2 3" xfId="27223" xr:uid="{00000000-0005-0000-0000-00006A6C0000}"/>
    <cellStyle name="Normal 73 6 3 3" xfId="14922" xr:uid="{00000000-0005-0000-0000-00006B6C0000}"/>
    <cellStyle name="Normal 73 6 3 3 2" xfId="31472" xr:uid="{00000000-0005-0000-0000-00006C6C0000}"/>
    <cellStyle name="Normal 73 6 3 4" xfId="23429" xr:uid="{00000000-0005-0000-0000-00006D6C0000}"/>
    <cellStyle name="Normal 73 6 4" xfId="9523" xr:uid="{00000000-0005-0000-0000-00006E6C0000}"/>
    <cellStyle name="Normal 73 6 4 2" xfId="18697" xr:uid="{00000000-0005-0000-0000-00006F6C0000}"/>
    <cellStyle name="Normal 73 6 4 2 2" xfId="35271" xr:uid="{00000000-0005-0000-0000-0000706C0000}"/>
    <cellStyle name="Normal 73 6 4 3" xfId="27224" xr:uid="{00000000-0005-0000-0000-0000716C0000}"/>
    <cellStyle name="Normal 73 6 5" xfId="14919" xr:uid="{00000000-0005-0000-0000-0000726C0000}"/>
    <cellStyle name="Normal 73 6 5 2" xfId="31469" xr:uid="{00000000-0005-0000-0000-0000736C0000}"/>
    <cellStyle name="Normal 73 6 6" xfId="23426" xr:uid="{00000000-0005-0000-0000-0000746C0000}"/>
    <cellStyle name="Normal 73 7" xfId="5617" xr:uid="{00000000-0005-0000-0000-0000756C0000}"/>
    <cellStyle name="Normal 73 7 2" xfId="5618" xr:uid="{00000000-0005-0000-0000-0000766C0000}"/>
    <cellStyle name="Normal 73 7 2 2" xfId="9524" xr:uid="{00000000-0005-0000-0000-0000776C0000}"/>
    <cellStyle name="Normal 73 7 2 2 2" xfId="18698" xr:uid="{00000000-0005-0000-0000-0000786C0000}"/>
    <cellStyle name="Normal 73 7 2 2 2 2" xfId="35272" xr:uid="{00000000-0005-0000-0000-0000796C0000}"/>
    <cellStyle name="Normal 73 7 2 2 3" xfId="27225" xr:uid="{00000000-0005-0000-0000-00007A6C0000}"/>
    <cellStyle name="Normal 73 7 2 3" xfId="14924" xr:uid="{00000000-0005-0000-0000-00007B6C0000}"/>
    <cellStyle name="Normal 73 7 2 3 2" xfId="31474" xr:uid="{00000000-0005-0000-0000-00007C6C0000}"/>
    <cellStyle name="Normal 73 7 2 4" xfId="23431" xr:uid="{00000000-0005-0000-0000-00007D6C0000}"/>
    <cellStyle name="Normal 73 7 3" xfId="9525" xr:uid="{00000000-0005-0000-0000-00007E6C0000}"/>
    <cellStyle name="Normal 73 7 3 2" xfId="18699" xr:uid="{00000000-0005-0000-0000-00007F6C0000}"/>
    <cellStyle name="Normal 73 7 3 2 2" xfId="35273" xr:uid="{00000000-0005-0000-0000-0000806C0000}"/>
    <cellStyle name="Normal 73 7 3 3" xfId="27226" xr:uid="{00000000-0005-0000-0000-0000816C0000}"/>
    <cellStyle name="Normal 73 7 4" xfId="14923" xr:uid="{00000000-0005-0000-0000-0000826C0000}"/>
    <cellStyle name="Normal 73 7 4 2" xfId="31473" xr:uid="{00000000-0005-0000-0000-0000836C0000}"/>
    <cellStyle name="Normal 73 7 5" xfId="23430" xr:uid="{00000000-0005-0000-0000-0000846C0000}"/>
    <cellStyle name="Normal 73 8" xfId="5619" xr:uid="{00000000-0005-0000-0000-0000856C0000}"/>
    <cellStyle name="Normal 73 8 2" xfId="9526" xr:uid="{00000000-0005-0000-0000-0000866C0000}"/>
    <cellStyle name="Normal 73 8 2 2" xfId="18700" xr:uid="{00000000-0005-0000-0000-0000876C0000}"/>
    <cellStyle name="Normal 73 8 2 2 2" xfId="35274" xr:uid="{00000000-0005-0000-0000-0000886C0000}"/>
    <cellStyle name="Normal 73 8 2 3" xfId="27227" xr:uid="{00000000-0005-0000-0000-0000896C0000}"/>
    <cellStyle name="Normal 73 8 3" xfId="14925" xr:uid="{00000000-0005-0000-0000-00008A6C0000}"/>
    <cellStyle name="Normal 73 8 3 2" xfId="31475" xr:uid="{00000000-0005-0000-0000-00008B6C0000}"/>
    <cellStyle name="Normal 73 8 4" xfId="23432" xr:uid="{00000000-0005-0000-0000-00008C6C0000}"/>
    <cellStyle name="Normal 73 9" xfId="9527" xr:uid="{00000000-0005-0000-0000-00008D6C0000}"/>
    <cellStyle name="Normal 73 9 2" xfId="18701" xr:uid="{00000000-0005-0000-0000-00008E6C0000}"/>
    <cellStyle name="Normal 73 9 2 2" xfId="35275" xr:uid="{00000000-0005-0000-0000-00008F6C0000}"/>
    <cellStyle name="Normal 73 9 3" xfId="27228" xr:uid="{00000000-0005-0000-0000-0000906C0000}"/>
    <cellStyle name="Normal 74" xfId="5620" xr:uid="{00000000-0005-0000-0000-0000916C0000}"/>
    <cellStyle name="Normal 74 10" xfId="14926" xr:uid="{00000000-0005-0000-0000-0000926C0000}"/>
    <cellStyle name="Normal 74 10 2" xfId="31476" xr:uid="{00000000-0005-0000-0000-0000936C0000}"/>
    <cellStyle name="Normal 74 11" xfId="23433" xr:uid="{00000000-0005-0000-0000-0000946C0000}"/>
    <cellStyle name="Normal 74 2" xfId="5621" xr:uid="{00000000-0005-0000-0000-0000956C0000}"/>
    <cellStyle name="Normal 74 2 2" xfId="5622" xr:uid="{00000000-0005-0000-0000-0000966C0000}"/>
    <cellStyle name="Normal 74 2 3" xfId="14927" xr:uid="{00000000-0005-0000-0000-0000976C0000}"/>
    <cellStyle name="Normal 74 2 3 2" xfId="31477" xr:uid="{00000000-0005-0000-0000-0000986C0000}"/>
    <cellStyle name="Normal 74 2 4" xfId="23434" xr:uid="{00000000-0005-0000-0000-0000996C0000}"/>
    <cellStyle name="Normal 74 3" xfId="5623" xr:uid="{00000000-0005-0000-0000-00009A6C0000}"/>
    <cellStyle name="Normal 74 3 2" xfId="5624" xr:uid="{00000000-0005-0000-0000-00009B6C0000}"/>
    <cellStyle name="Normal 74 3 2 2" xfId="5625" xr:uid="{00000000-0005-0000-0000-00009C6C0000}"/>
    <cellStyle name="Normal 74 3 2 2 2" xfId="5626" xr:uid="{00000000-0005-0000-0000-00009D6C0000}"/>
    <cellStyle name="Normal 74 3 2 2 2 2" xfId="9528" xr:uid="{00000000-0005-0000-0000-00009E6C0000}"/>
    <cellStyle name="Normal 74 3 2 2 2 2 2" xfId="18702" xr:uid="{00000000-0005-0000-0000-00009F6C0000}"/>
    <cellStyle name="Normal 74 3 2 2 2 2 2 2" xfId="35276" xr:uid="{00000000-0005-0000-0000-0000A06C0000}"/>
    <cellStyle name="Normal 74 3 2 2 2 2 3" xfId="27229" xr:uid="{00000000-0005-0000-0000-0000A16C0000}"/>
    <cellStyle name="Normal 74 3 2 2 2 3" xfId="14930" xr:uid="{00000000-0005-0000-0000-0000A26C0000}"/>
    <cellStyle name="Normal 74 3 2 2 2 3 2" xfId="31480" xr:uid="{00000000-0005-0000-0000-0000A36C0000}"/>
    <cellStyle name="Normal 74 3 2 2 2 4" xfId="23437" xr:uid="{00000000-0005-0000-0000-0000A46C0000}"/>
    <cellStyle name="Normal 74 3 2 2 3" xfId="9529" xr:uid="{00000000-0005-0000-0000-0000A56C0000}"/>
    <cellStyle name="Normal 74 3 2 2 3 2" xfId="18703" xr:uid="{00000000-0005-0000-0000-0000A66C0000}"/>
    <cellStyle name="Normal 74 3 2 2 3 2 2" xfId="35277" xr:uid="{00000000-0005-0000-0000-0000A76C0000}"/>
    <cellStyle name="Normal 74 3 2 2 3 3" xfId="27230" xr:uid="{00000000-0005-0000-0000-0000A86C0000}"/>
    <cellStyle name="Normal 74 3 2 2 4" xfId="14929" xr:uid="{00000000-0005-0000-0000-0000A96C0000}"/>
    <cellStyle name="Normal 74 3 2 2 4 2" xfId="31479" xr:uid="{00000000-0005-0000-0000-0000AA6C0000}"/>
    <cellStyle name="Normal 74 3 2 2 5" xfId="23436" xr:uid="{00000000-0005-0000-0000-0000AB6C0000}"/>
    <cellStyle name="Normal 74 3 2 3" xfId="5627" xr:uid="{00000000-0005-0000-0000-0000AC6C0000}"/>
    <cellStyle name="Normal 74 3 2 3 2" xfId="9530" xr:uid="{00000000-0005-0000-0000-0000AD6C0000}"/>
    <cellStyle name="Normal 74 3 2 3 2 2" xfId="18704" xr:uid="{00000000-0005-0000-0000-0000AE6C0000}"/>
    <cellStyle name="Normal 74 3 2 3 2 2 2" xfId="35278" xr:uid="{00000000-0005-0000-0000-0000AF6C0000}"/>
    <cellStyle name="Normal 74 3 2 3 2 3" xfId="27231" xr:uid="{00000000-0005-0000-0000-0000B06C0000}"/>
    <cellStyle name="Normal 74 3 2 3 3" xfId="14931" xr:uid="{00000000-0005-0000-0000-0000B16C0000}"/>
    <cellStyle name="Normal 74 3 2 3 3 2" xfId="31481" xr:uid="{00000000-0005-0000-0000-0000B26C0000}"/>
    <cellStyle name="Normal 74 3 2 3 4" xfId="23438" xr:uid="{00000000-0005-0000-0000-0000B36C0000}"/>
    <cellStyle name="Normal 74 3 2 4" xfId="9531" xr:uid="{00000000-0005-0000-0000-0000B46C0000}"/>
    <cellStyle name="Normal 74 3 2 4 2" xfId="18705" xr:uid="{00000000-0005-0000-0000-0000B56C0000}"/>
    <cellStyle name="Normal 74 3 2 4 2 2" xfId="35279" xr:uid="{00000000-0005-0000-0000-0000B66C0000}"/>
    <cellStyle name="Normal 74 3 2 4 3" xfId="27232" xr:uid="{00000000-0005-0000-0000-0000B76C0000}"/>
    <cellStyle name="Normal 74 3 2 5" xfId="14928" xr:uid="{00000000-0005-0000-0000-0000B86C0000}"/>
    <cellStyle name="Normal 74 3 2 5 2" xfId="31478" xr:uid="{00000000-0005-0000-0000-0000B96C0000}"/>
    <cellStyle name="Normal 74 3 2 6" xfId="23435" xr:uid="{00000000-0005-0000-0000-0000BA6C0000}"/>
    <cellStyle name="Normal 74 3 3" xfId="5628" xr:uid="{00000000-0005-0000-0000-0000BB6C0000}"/>
    <cellStyle name="Normal 74 3 3 2" xfId="5629" xr:uid="{00000000-0005-0000-0000-0000BC6C0000}"/>
    <cellStyle name="Normal 74 3 3 2 2" xfId="9532" xr:uid="{00000000-0005-0000-0000-0000BD6C0000}"/>
    <cellStyle name="Normal 74 3 3 2 2 2" xfId="18706" xr:uid="{00000000-0005-0000-0000-0000BE6C0000}"/>
    <cellStyle name="Normal 74 3 3 2 2 2 2" xfId="35280" xr:uid="{00000000-0005-0000-0000-0000BF6C0000}"/>
    <cellStyle name="Normal 74 3 3 2 2 3" xfId="27233" xr:uid="{00000000-0005-0000-0000-0000C06C0000}"/>
    <cellStyle name="Normal 74 3 3 2 3" xfId="14933" xr:uid="{00000000-0005-0000-0000-0000C16C0000}"/>
    <cellStyle name="Normal 74 3 3 2 3 2" xfId="31483" xr:uid="{00000000-0005-0000-0000-0000C26C0000}"/>
    <cellStyle name="Normal 74 3 3 2 4" xfId="23440" xr:uid="{00000000-0005-0000-0000-0000C36C0000}"/>
    <cellStyle name="Normal 74 3 3 3" xfId="9533" xr:uid="{00000000-0005-0000-0000-0000C46C0000}"/>
    <cellStyle name="Normal 74 3 3 3 2" xfId="18707" xr:uid="{00000000-0005-0000-0000-0000C56C0000}"/>
    <cellStyle name="Normal 74 3 3 3 2 2" xfId="35281" xr:uid="{00000000-0005-0000-0000-0000C66C0000}"/>
    <cellStyle name="Normal 74 3 3 3 3" xfId="27234" xr:uid="{00000000-0005-0000-0000-0000C76C0000}"/>
    <cellStyle name="Normal 74 3 3 4" xfId="14932" xr:uid="{00000000-0005-0000-0000-0000C86C0000}"/>
    <cellStyle name="Normal 74 3 3 4 2" xfId="31482" xr:uid="{00000000-0005-0000-0000-0000C96C0000}"/>
    <cellStyle name="Normal 74 3 3 5" xfId="23439" xr:uid="{00000000-0005-0000-0000-0000CA6C0000}"/>
    <cellStyle name="Normal 74 3 4" xfId="5630" xr:uid="{00000000-0005-0000-0000-0000CB6C0000}"/>
    <cellStyle name="Normal 74 3 4 2" xfId="9534" xr:uid="{00000000-0005-0000-0000-0000CC6C0000}"/>
    <cellStyle name="Normal 74 3 4 2 2" xfId="18708" xr:uid="{00000000-0005-0000-0000-0000CD6C0000}"/>
    <cellStyle name="Normal 74 3 4 2 2 2" xfId="35282" xr:uid="{00000000-0005-0000-0000-0000CE6C0000}"/>
    <cellStyle name="Normal 74 3 4 2 3" xfId="27235" xr:uid="{00000000-0005-0000-0000-0000CF6C0000}"/>
    <cellStyle name="Normal 74 3 4 3" xfId="14934" xr:uid="{00000000-0005-0000-0000-0000D06C0000}"/>
    <cellStyle name="Normal 74 3 4 3 2" xfId="31484" xr:uid="{00000000-0005-0000-0000-0000D16C0000}"/>
    <cellStyle name="Normal 74 3 4 4" xfId="23441" xr:uid="{00000000-0005-0000-0000-0000D26C0000}"/>
    <cellStyle name="Normal 74 3 5" xfId="5631" xr:uid="{00000000-0005-0000-0000-0000D36C0000}"/>
    <cellStyle name="Normal 74 3 5 2" xfId="14935" xr:uid="{00000000-0005-0000-0000-0000D46C0000}"/>
    <cellStyle name="Normal 74 3 5 2 2" xfId="31485" xr:uid="{00000000-0005-0000-0000-0000D56C0000}"/>
    <cellStyle name="Normal 74 3 5 3" xfId="23442" xr:uid="{00000000-0005-0000-0000-0000D66C0000}"/>
    <cellStyle name="Normal 74 4" xfId="5632" xr:uid="{00000000-0005-0000-0000-0000D76C0000}"/>
    <cellStyle name="Normal 74 4 2" xfId="5633" xr:uid="{00000000-0005-0000-0000-0000D86C0000}"/>
    <cellStyle name="Normal 74 4 2 2" xfId="5634" xr:uid="{00000000-0005-0000-0000-0000D96C0000}"/>
    <cellStyle name="Normal 74 4 2 2 2" xfId="5635" xr:uid="{00000000-0005-0000-0000-0000DA6C0000}"/>
    <cellStyle name="Normal 74 4 2 2 2 2" xfId="9535" xr:uid="{00000000-0005-0000-0000-0000DB6C0000}"/>
    <cellStyle name="Normal 74 4 2 2 2 2 2" xfId="18709" xr:uid="{00000000-0005-0000-0000-0000DC6C0000}"/>
    <cellStyle name="Normal 74 4 2 2 2 2 2 2" xfId="35283" xr:uid="{00000000-0005-0000-0000-0000DD6C0000}"/>
    <cellStyle name="Normal 74 4 2 2 2 2 3" xfId="27236" xr:uid="{00000000-0005-0000-0000-0000DE6C0000}"/>
    <cellStyle name="Normal 74 4 2 2 2 3" xfId="14939" xr:uid="{00000000-0005-0000-0000-0000DF6C0000}"/>
    <cellStyle name="Normal 74 4 2 2 2 3 2" xfId="31489" xr:uid="{00000000-0005-0000-0000-0000E06C0000}"/>
    <cellStyle name="Normal 74 4 2 2 2 4" xfId="23446" xr:uid="{00000000-0005-0000-0000-0000E16C0000}"/>
    <cellStyle name="Normal 74 4 2 2 3" xfId="9536" xr:uid="{00000000-0005-0000-0000-0000E26C0000}"/>
    <cellStyle name="Normal 74 4 2 2 3 2" xfId="18710" xr:uid="{00000000-0005-0000-0000-0000E36C0000}"/>
    <cellStyle name="Normal 74 4 2 2 3 2 2" xfId="35284" xr:uid="{00000000-0005-0000-0000-0000E46C0000}"/>
    <cellStyle name="Normal 74 4 2 2 3 3" xfId="27237" xr:uid="{00000000-0005-0000-0000-0000E56C0000}"/>
    <cellStyle name="Normal 74 4 2 2 4" xfId="14938" xr:uid="{00000000-0005-0000-0000-0000E66C0000}"/>
    <cellStyle name="Normal 74 4 2 2 4 2" xfId="31488" xr:uid="{00000000-0005-0000-0000-0000E76C0000}"/>
    <cellStyle name="Normal 74 4 2 2 5" xfId="23445" xr:uid="{00000000-0005-0000-0000-0000E86C0000}"/>
    <cellStyle name="Normal 74 4 2 3" xfId="5636" xr:uid="{00000000-0005-0000-0000-0000E96C0000}"/>
    <cellStyle name="Normal 74 4 2 3 2" xfId="9537" xr:uid="{00000000-0005-0000-0000-0000EA6C0000}"/>
    <cellStyle name="Normal 74 4 2 3 2 2" xfId="18711" xr:uid="{00000000-0005-0000-0000-0000EB6C0000}"/>
    <cellStyle name="Normal 74 4 2 3 2 2 2" xfId="35285" xr:uid="{00000000-0005-0000-0000-0000EC6C0000}"/>
    <cellStyle name="Normal 74 4 2 3 2 3" xfId="27238" xr:uid="{00000000-0005-0000-0000-0000ED6C0000}"/>
    <cellStyle name="Normal 74 4 2 3 3" xfId="14940" xr:uid="{00000000-0005-0000-0000-0000EE6C0000}"/>
    <cellStyle name="Normal 74 4 2 3 3 2" xfId="31490" xr:uid="{00000000-0005-0000-0000-0000EF6C0000}"/>
    <cellStyle name="Normal 74 4 2 3 4" xfId="23447" xr:uid="{00000000-0005-0000-0000-0000F06C0000}"/>
    <cellStyle name="Normal 74 4 2 4" xfId="9538" xr:uid="{00000000-0005-0000-0000-0000F16C0000}"/>
    <cellStyle name="Normal 74 4 2 4 2" xfId="18712" xr:uid="{00000000-0005-0000-0000-0000F26C0000}"/>
    <cellStyle name="Normal 74 4 2 4 2 2" xfId="35286" xr:uid="{00000000-0005-0000-0000-0000F36C0000}"/>
    <cellStyle name="Normal 74 4 2 4 3" xfId="27239" xr:uid="{00000000-0005-0000-0000-0000F46C0000}"/>
    <cellStyle name="Normal 74 4 2 5" xfId="14937" xr:uid="{00000000-0005-0000-0000-0000F56C0000}"/>
    <cellStyle name="Normal 74 4 2 5 2" xfId="31487" xr:uid="{00000000-0005-0000-0000-0000F66C0000}"/>
    <cellStyle name="Normal 74 4 2 6" xfId="23444" xr:uid="{00000000-0005-0000-0000-0000F76C0000}"/>
    <cellStyle name="Normal 74 4 3" xfId="5637" xr:uid="{00000000-0005-0000-0000-0000F86C0000}"/>
    <cellStyle name="Normal 74 4 3 2" xfId="5638" xr:uid="{00000000-0005-0000-0000-0000F96C0000}"/>
    <cellStyle name="Normal 74 4 3 2 2" xfId="9539" xr:uid="{00000000-0005-0000-0000-0000FA6C0000}"/>
    <cellStyle name="Normal 74 4 3 2 2 2" xfId="18713" xr:uid="{00000000-0005-0000-0000-0000FB6C0000}"/>
    <cellStyle name="Normal 74 4 3 2 2 2 2" xfId="35287" xr:uid="{00000000-0005-0000-0000-0000FC6C0000}"/>
    <cellStyle name="Normal 74 4 3 2 2 3" xfId="27240" xr:uid="{00000000-0005-0000-0000-0000FD6C0000}"/>
    <cellStyle name="Normal 74 4 3 2 3" xfId="14942" xr:uid="{00000000-0005-0000-0000-0000FE6C0000}"/>
    <cellStyle name="Normal 74 4 3 2 3 2" xfId="31492" xr:uid="{00000000-0005-0000-0000-0000FF6C0000}"/>
    <cellStyle name="Normal 74 4 3 2 4" xfId="23449" xr:uid="{00000000-0005-0000-0000-0000006D0000}"/>
    <cellStyle name="Normal 74 4 3 3" xfId="9540" xr:uid="{00000000-0005-0000-0000-0000016D0000}"/>
    <cellStyle name="Normal 74 4 3 3 2" xfId="18714" xr:uid="{00000000-0005-0000-0000-0000026D0000}"/>
    <cellStyle name="Normal 74 4 3 3 2 2" xfId="35288" xr:uid="{00000000-0005-0000-0000-0000036D0000}"/>
    <cellStyle name="Normal 74 4 3 3 3" xfId="27241" xr:uid="{00000000-0005-0000-0000-0000046D0000}"/>
    <cellStyle name="Normal 74 4 3 4" xfId="14941" xr:uid="{00000000-0005-0000-0000-0000056D0000}"/>
    <cellStyle name="Normal 74 4 3 4 2" xfId="31491" xr:uid="{00000000-0005-0000-0000-0000066D0000}"/>
    <cellStyle name="Normal 74 4 3 5" xfId="23448" xr:uid="{00000000-0005-0000-0000-0000076D0000}"/>
    <cellStyle name="Normal 74 4 4" xfId="5639" xr:uid="{00000000-0005-0000-0000-0000086D0000}"/>
    <cellStyle name="Normal 74 4 4 2" xfId="9541" xr:uid="{00000000-0005-0000-0000-0000096D0000}"/>
    <cellStyle name="Normal 74 4 4 2 2" xfId="18715" xr:uid="{00000000-0005-0000-0000-00000A6D0000}"/>
    <cellStyle name="Normal 74 4 4 2 2 2" xfId="35289" xr:uid="{00000000-0005-0000-0000-00000B6D0000}"/>
    <cellStyle name="Normal 74 4 4 2 3" xfId="27242" xr:uid="{00000000-0005-0000-0000-00000C6D0000}"/>
    <cellStyle name="Normal 74 4 4 3" xfId="14943" xr:uid="{00000000-0005-0000-0000-00000D6D0000}"/>
    <cellStyle name="Normal 74 4 4 3 2" xfId="31493" xr:uid="{00000000-0005-0000-0000-00000E6D0000}"/>
    <cellStyle name="Normal 74 4 4 4" xfId="23450" xr:uid="{00000000-0005-0000-0000-00000F6D0000}"/>
    <cellStyle name="Normal 74 4 5" xfId="9542" xr:uid="{00000000-0005-0000-0000-0000106D0000}"/>
    <cellStyle name="Normal 74 4 5 2" xfId="18716" xr:uid="{00000000-0005-0000-0000-0000116D0000}"/>
    <cellStyle name="Normal 74 4 5 2 2" xfId="35290" xr:uid="{00000000-0005-0000-0000-0000126D0000}"/>
    <cellStyle name="Normal 74 4 5 3" xfId="27243" xr:uid="{00000000-0005-0000-0000-0000136D0000}"/>
    <cellStyle name="Normal 74 4 6" xfId="14936" xr:uid="{00000000-0005-0000-0000-0000146D0000}"/>
    <cellStyle name="Normal 74 4 6 2" xfId="31486" xr:uid="{00000000-0005-0000-0000-0000156D0000}"/>
    <cellStyle name="Normal 74 4 7" xfId="23443" xr:uid="{00000000-0005-0000-0000-0000166D0000}"/>
    <cellStyle name="Normal 74 5" xfId="5640" xr:uid="{00000000-0005-0000-0000-0000176D0000}"/>
    <cellStyle name="Normal 74 5 2" xfId="5641" xr:uid="{00000000-0005-0000-0000-0000186D0000}"/>
    <cellStyle name="Normal 74 5 2 2" xfId="5642" xr:uid="{00000000-0005-0000-0000-0000196D0000}"/>
    <cellStyle name="Normal 74 5 2 2 2" xfId="5643" xr:uid="{00000000-0005-0000-0000-00001A6D0000}"/>
    <cellStyle name="Normal 74 5 2 2 2 2" xfId="9543" xr:uid="{00000000-0005-0000-0000-00001B6D0000}"/>
    <cellStyle name="Normal 74 5 2 2 2 2 2" xfId="18717" xr:uid="{00000000-0005-0000-0000-00001C6D0000}"/>
    <cellStyle name="Normal 74 5 2 2 2 2 2 2" xfId="35291" xr:uid="{00000000-0005-0000-0000-00001D6D0000}"/>
    <cellStyle name="Normal 74 5 2 2 2 2 3" xfId="27244" xr:uid="{00000000-0005-0000-0000-00001E6D0000}"/>
    <cellStyle name="Normal 74 5 2 2 2 3" xfId="14947" xr:uid="{00000000-0005-0000-0000-00001F6D0000}"/>
    <cellStyle name="Normal 74 5 2 2 2 3 2" xfId="31497" xr:uid="{00000000-0005-0000-0000-0000206D0000}"/>
    <cellStyle name="Normal 74 5 2 2 2 4" xfId="23454" xr:uid="{00000000-0005-0000-0000-0000216D0000}"/>
    <cellStyle name="Normal 74 5 2 2 3" xfId="9544" xr:uid="{00000000-0005-0000-0000-0000226D0000}"/>
    <cellStyle name="Normal 74 5 2 2 3 2" xfId="18718" xr:uid="{00000000-0005-0000-0000-0000236D0000}"/>
    <cellStyle name="Normal 74 5 2 2 3 2 2" xfId="35292" xr:uid="{00000000-0005-0000-0000-0000246D0000}"/>
    <cellStyle name="Normal 74 5 2 2 3 3" xfId="27245" xr:uid="{00000000-0005-0000-0000-0000256D0000}"/>
    <cellStyle name="Normal 74 5 2 2 4" xfId="14946" xr:uid="{00000000-0005-0000-0000-0000266D0000}"/>
    <cellStyle name="Normal 74 5 2 2 4 2" xfId="31496" xr:uid="{00000000-0005-0000-0000-0000276D0000}"/>
    <cellStyle name="Normal 74 5 2 2 5" xfId="23453" xr:uid="{00000000-0005-0000-0000-0000286D0000}"/>
    <cellStyle name="Normal 74 5 2 3" xfId="5644" xr:uid="{00000000-0005-0000-0000-0000296D0000}"/>
    <cellStyle name="Normal 74 5 2 3 2" xfId="9545" xr:uid="{00000000-0005-0000-0000-00002A6D0000}"/>
    <cellStyle name="Normal 74 5 2 3 2 2" xfId="18719" xr:uid="{00000000-0005-0000-0000-00002B6D0000}"/>
    <cellStyle name="Normal 74 5 2 3 2 2 2" xfId="35293" xr:uid="{00000000-0005-0000-0000-00002C6D0000}"/>
    <cellStyle name="Normal 74 5 2 3 2 3" xfId="27246" xr:uid="{00000000-0005-0000-0000-00002D6D0000}"/>
    <cellStyle name="Normal 74 5 2 3 3" xfId="14948" xr:uid="{00000000-0005-0000-0000-00002E6D0000}"/>
    <cellStyle name="Normal 74 5 2 3 3 2" xfId="31498" xr:uid="{00000000-0005-0000-0000-00002F6D0000}"/>
    <cellStyle name="Normal 74 5 2 3 4" xfId="23455" xr:uid="{00000000-0005-0000-0000-0000306D0000}"/>
    <cellStyle name="Normal 74 5 2 4" xfId="9546" xr:uid="{00000000-0005-0000-0000-0000316D0000}"/>
    <cellStyle name="Normal 74 5 2 4 2" xfId="18720" xr:uid="{00000000-0005-0000-0000-0000326D0000}"/>
    <cellStyle name="Normal 74 5 2 4 2 2" xfId="35294" xr:uid="{00000000-0005-0000-0000-0000336D0000}"/>
    <cellStyle name="Normal 74 5 2 4 3" xfId="27247" xr:uid="{00000000-0005-0000-0000-0000346D0000}"/>
    <cellStyle name="Normal 74 5 2 5" xfId="14945" xr:uid="{00000000-0005-0000-0000-0000356D0000}"/>
    <cellStyle name="Normal 74 5 2 5 2" xfId="31495" xr:uid="{00000000-0005-0000-0000-0000366D0000}"/>
    <cellStyle name="Normal 74 5 2 6" xfId="23452" xr:uid="{00000000-0005-0000-0000-0000376D0000}"/>
    <cellStyle name="Normal 74 5 3" xfId="5645" xr:uid="{00000000-0005-0000-0000-0000386D0000}"/>
    <cellStyle name="Normal 74 5 3 2" xfId="5646" xr:uid="{00000000-0005-0000-0000-0000396D0000}"/>
    <cellStyle name="Normal 74 5 3 2 2" xfId="9547" xr:uid="{00000000-0005-0000-0000-00003A6D0000}"/>
    <cellStyle name="Normal 74 5 3 2 2 2" xfId="18721" xr:uid="{00000000-0005-0000-0000-00003B6D0000}"/>
    <cellStyle name="Normal 74 5 3 2 2 2 2" xfId="35295" xr:uid="{00000000-0005-0000-0000-00003C6D0000}"/>
    <cellStyle name="Normal 74 5 3 2 2 3" xfId="27248" xr:uid="{00000000-0005-0000-0000-00003D6D0000}"/>
    <cellStyle name="Normal 74 5 3 2 3" xfId="14950" xr:uid="{00000000-0005-0000-0000-00003E6D0000}"/>
    <cellStyle name="Normal 74 5 3 2 3 2" xfId="31500" xr:uid="{00000000-0005-0000-0000-00003F6D0000}"/>
    <cellStyle name="Normal 74 5 3 2 4" xfId="23457" xr:uid="{00000000-0005-0000-0000-0000406D0000}"/>
    <cellStyle name="Normal 74 5 3 3" xfId="9548" xr:uid="{00000000-0005-0000-0000-0000416D0000}"/>
    <cellStyle name="Normal 74 5 3 3 2" xfId="18722" xr:uid="{00000000-0005-0000-0000-0000426D0000}"/>
    <cellStyle name="Normal 74 5 3 3 2 2" xfId="35296" xr:uid="{00000000-0005-0000-0000-0000436D0000}"/>
    <cellStyle name="Normal 74 5 3 3 3" xfId="27249" xr:uid="{00000000-0005-0000-0000-0000446D0000}"/>
    <cellStyle name="Normal 74 5 3 4" xfId="14949" xr:uid="{00000000-0005-0000-0000-0000456D0000}"/>
    <cellStyle name="Normal 74 5 3 4 2" xfId="31499" xr:uid="{00000000-0005-0000-0000-0000466D0000}"/>
    <cellStyle name="Normal 74 5 3 5" xfId="23456" xr:uid="{00000000-0005-0000-0000-0000476D0000}"/>
    <cellStyle name="Normal 74 5 4" xfId="5647" xr:uid="{00000000-0005-0000-0000-0000486D0000}"/>
    <cellStyle name="Normal 74 5 4 2" xfId="9549" xr:uid="{00000000-0005-0000-0000-0000496D0000}"/>
    <cellStyle name="Normal 74 5 4 2 2" xfId="18723" xr:uid="{00000000-0005-0000-0000-00004A6D0000}"/>
    <cellStyle name="Normal 74 5 4 2 2 2" xfId="35297" xr:uid="{00000000-0005-0000-0000-00004B6D0000}"/>
    <cellStyle name="Normal 74 5 4 2 3" xfId="27250" xr:uid="{00000000-0005-0000-0000-00004C6D0000}"/>
    <cellStyle name="Normal 74 5 4 3" xfId="14951" xr:uid="{00000000-0005-0000-0000-00004D6D0000}"/>
    <cellStyle name="Normal 74 5 4 3 2" xfId="31501" xr:uid="{00000000-0005-0000-0000-00004E6D0000}"/>
    <cellStyle name="Normal 74 5 4 4" xfId="23458" xr:uid="{00000000-0005-0000-0000-00004F6D0000}"/>
    <cellStyle name="Normal 74 5 5" xfId="9550" xr:uid="{00000000-0005-0000-0000-0000506D0000}"/>
    <cellStyle name="Normal 74 5 5 2" xfId="18724" xr:uid="{00000000-0005-0000-0000-0000516D0000}"/>
    <cellStyle name="Normal 74 5 5 2 2" xfId="35298" xr:uid="{00000000-0005-0000-0000-0000526D0000}"/>
    <cellStyle name="Normal 74 5 5 3" xfId="27251" xr:uid="{00000000-0005-0000-0000-0000536D0000}"/>
    <cellStyle name="Normal 74 5 6" xfId="14944" xr:uid="{00000000-0005-0000-0000-0000546D0000}"/>
    <cellStyle name="Normal 74 5 6 2" xfId="31494" xr:uid="{00000000-0005-0000-0000-0000556D0000}"/>
    <cellStyle name="Normal 74 5 7" xfId="23451" xr:uid="{00000000-0005-0000-0000-0000566D0000}"/>
    <cellStyle name="Normal 74 6" xfId="5648" xr:uid="{00000000-0005-0000-0000-0000576D0000}"/>
    <cellStyle name="Normal 74 6 2" xfId="5649" xr:uid="{00000000-0005-0000-0000-0000586D0000}"/>
    <cellStyle name="Normal 74 6 2 2" xfId="5650" xr:uid="{00000000-0005-0000-0000-0000596D0000}"/>
    <cellStyle name="Normal 74 6 2 2 2" xfId="9551" xr:uid="{00000000-0005-0000-0000-00005A6D0000}"/>
    <cellStyle name="Normal 74 6 2 2 2 2" xfId="18725" xr:uid="{00000000-0005-0000-0000-00005B6D0000}"/>
    <cellStyle name="Normal 74 6 2 2 2 2 2" xfId="35299" xr:uid="{00000000-0005-0000-0000-00005C6D0000}"/>
    <cellStyle name="Normal 74 6 2 2 2 3" xfId="27252" xr:uid="{00000000-0005-0000-0000-00005D6D0000}"/>
    <cellStyle name="Normal 74 6 2 2 3" xfId="14954" xr:uid="{00000000-0005-0000-0000-00005E6D0000}"/>
    <cellStyle name="Normal 74 6 2 2 3 2" xfId="31504" xr:uid="{00000000-0005-0000-0000-00005F6D0000}"/>
    <cellStyle name="Normal 74 6 2 2 4" xfId="23461" xr:uid="{00000000-0005-0000-0000-0000606D0000}"/>
    <cellStyle name="Normal 74 6 2 3" xfId="9552" xr:uid="{00000000-0005-0000-0000-0000616D0000}"/>
    <cellStyle name="Normal 74 6 2 3 2" xfId="18726" xr:uid="{00000000-0005-0000-0000-0000626D0000}"/>
    <cellStyle name="Normal 74 6 2 3 2 2" xfId="35300" xr:uid="{00000000-0005-0000-0000-0000636D0000}"/>
    <cellStyle name="Normal 74 6 2 3 3" xfId="27253" xr:uid="{00000000-0005-0000-0000-0000646D0000}"/>
    <cellStyle name="Normal 74 6 2 4" xfId="14953" xr:uid="{00000000-0005-0000-0000-0000656D0000}"/>
    <cellStyle name="Normal 74 6 2 4 2" xfId="31503" xr:uid="{00000000-0005-0000-0000-0000666D0000}"/>
    <cellStyle name="Normal 74 6 2 5" xfId="23460" xr:uid="{00000000-0005-0000-0000-0000676D0000}"/>
    <cellStyle name="Normal 74 6 3" xfId="5651" xr:uid="{00000000-0005-0000-0000-0000686D0000}"/>
    <cellStyle name="Normal 74 6 3 2" xfId="9553" xr:uid="{00000000-0005-0000-0000-0000696D0000}"/>
    <cellStyle name="Normal 74 6 3 2 2" xfId="18727" xr:uid="{00000000-0005-0000-0000-00006A6D0000}"/>
    <cellStyle name="Normal 74 6 3 2 2 2" xfId="35301" xr:uid="{00000000-0005-0000-0000-00006B6D0000}"/>
    <cellStyle name="Normal 74 6 3 2 3" xfId="27254" xr:uid="{00000000-0005-0000-0000-00006C6D0000}"/>
    <cellStyle name="Normal 74 6 3 3" xfId="14955" xr:uid="{00000000-0005-0000-0000-00006D6D0000}"/>
    <cellStyle name="Normal 74 6 3 3 2" xfId="31505" xr:uid="{00000000-0005-0000-0000-00006E6D0000}"/>
    <cellStyle name="Normal 74 6 3 4" xfId="23462" xr:uid="{00000000-0005-0000-0000-00006F6D0000}"/>
    <cellStyle name="Normal 74 6 4" xfId="9554" xr:uid="{00000000-0005-0000-0000-0000706D0000}"/>
    <cellStyle name="Normal 74 6 4 2" xfId="18728" xr:uid="{00000000-0005-0000-0000-0000716D0000}"/>
    <cellStyle name="Normal 74 6 4 2 2" xfId="35302" xr:uid="{00000000-0005-0000-0000-0000726D0000}"/>
    <cellStyle name="Normal 74 6 4 3" xfId="27255" xr:uid="{00000000-0005-0000-0000-0000736D0000}"/>
    <cellStyle name="Normal 74 6 5" xfId="14952" xr:uid="{00000000-0005-0000-0000-0000746D0000}"/>
    <cellStyle name="Normal 74 6 5 2" xfId="31502" xr:uid="{00000000-0005-0000-0000-0000756D0000}"/>
    <cellStyle name="Normal 74 6 6" xfId="23459" xr:uid="{00000000-0005-0000-0000-0000766D0000}"/>
    <cellStyle name="Normal 74 7" xfId="5652" xr:uid="{00000000-0005-0000-0000-0000776D0000}"/>
    <cellStyle name="Normal 74 7 2" xfId="5653" xr:uid="{00000000-0005-0000-0000-0000786D0000}"/>
    <cellStyle name="Normal 74 7 2 2" xfId="9555" xr:uid="{00000000-0005-0000-0000-0000796D0000}"/>
    <cellStyle name="Normal 74 7 2 2 2" xfId="18729" xr:uid="{00000000-0005-0000-0000-00007A6D0000}"/>
    <cellStyle name="Normal 74 7 2 2 2 2" xfId="35303" xr:uid="{00000000-0005-0000-0000-00007B6D0000}"/>
    <cellStyle name="Normal 74 7 2 2 3" xfId="27256" xr:uid="{00000000-0005-0000-0000-00007C6D0000}"/>
    <cellStyle name="Normal 74 7 2 3" xfId="14957" xr:uid="{00000000-0005-0000-0000-00007D6D0000}"/>
    <cellStyle name="Normal 74 7 2 3 2" xfId="31507" xr:uid="{00000000-0005-0000-0000-00007E6D0000}"/>
    <cellStyle name="Normal 74 7 2 4" xfId="23464" xr:uid="{00000000-0005-0000-0000-00007F6D0000}"/>
    <cellStyle name="Normal 74 7 3" xfId="9556" xr:uid="{00000000-0005-0000-0000-0000806D0000}"/>
    <cellStyle name="Normal 74 7 3 2" xfId="18730" xr:uid="{00000000-0005-0000-0000-0000816D0000}"/>
    <cellStyle name="Normal 74 7 3 2 2" xfId="35304" xr:uid="{00000000-0005-0000-0000-0000826D0000}"/>
    <cellStyle name="Normal 74 7 3 3" xfId="27257" xr:uid="{00000000-0005-0000-0000-0000836D0000}"/>
    <cellStyle name="Normal 74 7 4" xfId="14956" xr:uid="{00000000-0005-0000-0000-0000846D0000}"/>
    <cellStyle name="Normal 74 7 4 2" xfId="31506" xr:uid="{00000000-0005-0000-0000-0000856D0000}"/>
    <cellStyle name="Normal 74 7 5" xfId="23463" xr:uid="{00000000-0005-0000-0000-0000866D0000}"/>
    <cellStyle name="Normal 74 8" xfId="5654" xr:uid="{00000000-0005-0000-0000-0000876D0000}"/>
    <cellStyle name="Normal 74 8 2" xfId="9557" xr:uid="{00000000-0005-0000-0000-0000886D0000}"/>
    <cellStyle name="Normal 74 8 2 2" xfId="18731" xr:uid="{00000000-0005-0000-0000-0000896D0000}"/>
    <cellStyle name="Normal 74 8 2 2 2" xfId="35305" xr:uid="{00000000-0005-0000-0000-00008A6D0000}"/>
    <cellStyle name="Normal 74 8 2 3" xfId="27258" xr:uid="{00000000-0005-0000-0000-00008B6D0000}"/>
    <cellStyle name="Normal 74 8 3" xfId="14958" xr:uid="{00000000-0005-0000-0000-00008C6D0000}"/>
    <cellStyle name="Normal 74 8 3 2" xfId="31508" xr:uid="{00000000-0005-0000-0000-00008D6D0000}"/>
    <cellStyle name="Normal 74 8 4" xfId="23465" xr:uid="{00000000-0005-0000-0000-00008E6D0000}"/>
    <cellStyle name="Normal 74 9" xfId="9558" xr:uid="{00000000-0005-0000-0000-00008F6D0000}"/>
    <cellStyle name="Normal 74 9 2" xfId="18732" xr:uid="{00000000-0005-0000-0000-0000906D0000}"/>
    <cellStyle name="Normal 74 9 2 2" xfId="35306" xr:uid="{00000000-0005-0000-0000-0000916D0000}"/>
    <cellStyle name="Normal 74 9 3" xfId="27259" xr:uid="{00000000-0005-0000-0000-0000926D0000}"/>
    <cellStyle name="Normal 75" xfId="5655" xr:uid="{00000000-0005-0000-0000-0000936D0000}"/>
    <cellStyle name="Normal 75 10" xfId="14959" xr:uid="{00000000-0005-0000-0000-0000946D0000}"/>
    <cellStyle name="Normal 75 10 2" xfId="31509" xr:uid="{00000000-0005-0000-0000-0000956D0000}"/>
    <cellStyle name="Normal 75 11" xfId="23466" xr:uid="{00000000-0005-0000-0000-0000966D0000}"/>
    <cellStyle name="Normal 75 2" xfId="5656" xr:uid="{00000000-0005-0000-0000-0000976D0000}"/>
    <cellStyle name="Normal 75 2 2" xfId="5657" xr:uid="{00000000-0005-0000-0000-0000986D0000}"/>
    <cellStyle name="Normal 75 2 3" xfId="14960" xr:uid="{00000000-0005-0000-0000-0000996D0000}"/>
    <cellStyle name="Normal 75 2 3 2" xfId="31510" xr:uid="{00000000-0005-0000-0000-00009A6D0000}"/>
    <cellStyle name="Normal 75 2 4" xfId="23467" xr:uid="{00000000-0005-0000-0000-00009B6D0000}"/>
    <cellStyle name="Normal 75 3" xfId="5658" xr:uid="{00000000-0005-0000-0000-00009C6D0000}"/>
    <cellStyle name="Normal 75 3 2" xfId="5659" xr:uid="{00000000-0005-0000-0000-00009D6D0000}"/>
    <cellStyle name="Normal 75 3 2 2" xfId="5660" xr:uid="{00000000-0005-0000-0000-00009E6D0000}"/>
    <cellStyle name="Normal 75 3 2 2 2" xfId="5661" xr:uid="{00000000-0005-0000-0000-00009F6D0000}"/>
    <cellStyle name="Normal 75 3 2 2 2 2" xfId="9559" xr:uid="{00000000-0005-0000-0000-0000A06D0000}"/>
    <cellStyle name="Normal 75 3 2 2 2 2 2" xfId="18733" xr:uid="{00000000-0005-0000-0000-0000A16D0000}"/>
    <cellStyle name="Normal 75 3 2 2 2 2 2 2" xfId="35307" xr:uid="{00000000-0005-0000-0000-0000A26D0000}"/>
    <cellStyle name="Normal 75 3 2 2 2 2 3" xfId="27260" xr:uid="{00000000-0005-0000-0000-0000A36D0000}"/>
    <cellStyle name="Normal 75 3 2 2 2 3" xfId="14963" xr:uid="{00000000-0005-0000-0000-0000A46D0000}"/>
    <cellStyle name="Normal 75 3 2 2 2 3 2" xfId="31513" xr:uid="{00000000-0005-0000-0000-0000A56D0000}"/>
    <cellStyle name="Normal 75 3 2 2 2 4" xfId="23470" xr:uid="{00000000-0005-0000-0000-0000A66D0000}"/>
    <cellStyle name="Normal 75 3 2 2 3" xfId="9560" xr:uid="{00000000-0005-0000-0000-0000A76D0000}"/>
    <cellStyle name="Normal 75 3 2 2 3 2" xfId="18734" xr:uid="{00000000-0005-0000-0000-0000A86D0000}"/>
    <cellStyle name="Normal 75 3 2 2 3 2 2" xfId="35308" xr:uid="{00000000-0005-0000-0000-0000A96D0000}"/>
    <cellStyle name="Normal 75 3 2 2 3 3" xfId="27261" xr:uid="{00000000-0005-0000-0000-0000AA6D0000}"/>
    <cellStyle name="Normal 75 3 2 2 4" xfId="14962" xr:uid="{00000000-0005-0000-0000-0000AB6D0000}"/>
    <cellStyle name="Normal 75 3 2 2 4 2" xfId="31512" xr:uid="{00000000-0005-0000-0000-0000AC6D0000}"/>
    <cellStyle name="Normal 75 3 2 2 5" xfId="23469" xr:uid="{00000000-0005-0000-0000-0000AD6D0000}"/>
    <cellStyle name="Normal 75 3 2 3" xfId="5662" xr:uid="{00000000-0005-0000-0000-0000AE6D0000}"/>
    <cellStyle name="Normal 75 3 2 3 2" xfId="9561" xr:uid="{00000000-0005-0000-0000-0000AF6D0000}"/>
    <cellStyle name="Normal 75 3 2 3 2 2" xfId="18735" xr:uid="{00000000-0005-0000-0000-0000B06D0000}"/>
    <cellStyle name="Normal 75 3 2 3 2 2 2" xfId="35309" xr:uid="{00000000-0005-0000-0000-0000B16D0000}"/>
    <cellStyle name="Normal 75 3 2 3 2 3" xfId="27262" xr:uid="{00000000-0005-0000-0000-0000B26D0000}"/>
    <cellStyle name="Normal 75 3 2 3 3" xfId="14964" xr:uid="{00000000-0005-0000-0000-0000B36D0000}"/>
    <cellStyle name="Normal 75 3 2 3 3 2" xfId="31514" xr:uid="{00000000-0005-0000-0000-0000B46D0000}"/>
    <cellStyle name="Normal 75 3 2 3 4" xfId="23471" xr:uid="{00000000-0005-0000-0000-0000B56D0000}"/>
    <cellStyle name="Normal 75 3 2 4" xfId="9562" xr:uid="{00000000-0005-0000-0000-0000B66D0000}"/>
    <cellStyle name="Normal 75 3 2 4 2" xfId="18736" xr:uid="{00000000-0005-0000-0000-0000B76D0000}"/>
    <cellStyle name="Normal 75 3 2 4 2 2" xfId="35310" xr:uid="{00000000-0005-0000-0000-0000B86D0000}"/>
    <cellStyle name="Normal 75 3 2 4 3" xfId="27263" xr:uid="{00000000-0005-0000-0000-0000B96D0000}"/>
    <cellStyle name="Normal 75 3 2 5" xfId="14961" xr:uid="{00000000-0005-0000-0000-0000BA6D0000}"/>
    <cellStyle name="Normal 75 3 2 5 2" xfId="31511" xr:uid="{00000000-0005-0000-0000-0000BB6D0000}"/>
    <cellStyle name="Normal 75 3 2 6" xfId="23468" xr:uid="{00000000-0005-0000-0000-0000BC6D0000}"/>
    <cellStyle name="Normal 75 3 3" xfId="5663" xr:uid="{00000000-0005-0000-0000-0000BD6D0000}"/>
    <cellStyle name="Normal 75 3 3 2" xfId="5664" xr:uid="{00000000-0005-0000-0000-0000BE6D0000}"/>
    <cellStyle name="Normal 75 3 3 2 2" xfId="9563" xr:uid="{00000000-0005-0000-0000-0000BF6D0000}"/>
    <cellStyle name="Normal 75 3 3 2 2 2" xfId="18737" xr:uid="{00000000-0005-0000-0000-0000C06D0000}"/>
    <cellStyle name="Normal 75 3 3 2 2 2 2" xfId="35311" xr:uid="{00000000-0005-0000-0000-0000C16D0000}"/>
    <cellStyle name="Normal 75 3 3 2 2 3" xfId="27264" xr:uid="{00000000-0005-0000-0000-0000C26D0000}"/>
    <cellStyle name="Normal 75 3 3 2 3" xfId="14966" xr:uid="{00000000-0005-0000-0000-0000C36D0000}"/>
    <cellStyle name="Normal 75 3 3 2 3 2" xfId="31516" xr:uid="{00000000-0005-0000-0000-0000C46D0000}"/>
    <cellStyle name="Normal 75 3 3 2 4" xfId="23473" xr:uid="{00000000-0005-0000-0000-0000C56D0000}"/>
    <cellStyle name="Normal 75 3 3 3" xfId="9564" xr:uid="{00000000-0005-0000-0000-0000C66D0000}"/>
    <cellStyle name="Normal 75 3 3 3 2" xfId="18738" xr:uid="{00000000-0005-0000-0000-0000C76D0000}"/>
    <cellStyle name="Normal 75 3 3 3 2 2" xfId="35312" xr:uid="{00000000-0005-0000-0000-0000C86D0000}"/>
    <cellStyle name="Normal 75 3 3 3 3" xfId="27265" xr:uid="{00000000-0005-0000-0000-0000C96D0000}"/>
    <cellStyle name="Normal 75 3 3 4" xfId="14965" xr:uid="{00000000-0005-0000-0000-0000CA6D0000}"/>
    <cellStyle name="Normal 75 3 3 4 2" xfId="31515" xr:uid="{00000000-0005-0000-0000-0000CB6D0000}"/>
    <cellStyle name="Normal 75 3 3 5" xfId="23472" xr:uid="{00000000-0005-0000-0000-0000CC6D0000}"/>
    <cellStyle name="Normal 75 3 4" xfId="5665" xr:uid="{00000000-0005-0000-0000-0000CD6D0000}"/>
    <cellStyle name="Normal 75 3 4 2" xfId="9565" xr:uid="{00000000-0005-0000-0000-0000CE6D0000}"/>
    <cellStyle name="Normal 75 3 4 2 2" xfId="18739" xr:uid="{00000000-0005-0000-0000-0000CF6D0000}"/>
    <cellStyle name="Normal 75 3 4 2 2 2" xfId="35313" xr:uid="{00000000-0005-0000-0000-0000D06D0000}"/>
    <cellStyle name="Normal 75 3 4 2 3" xfId="27266" xr:uid="{00000000-0005-0000-0000-0000D16D0000}"/>
    <cellStyle name="Normal 75 3 4 3" xfId="14967" xr:uid="{00000000-0005-0000-0000-0000D26D0000}"/>
    <cellStyle name="Normal 75 3 4 3 2" xfId="31517" xr:uid="{00000000-0005-0000-0000-0000D36D0000}"/>
    <cellStyle name="Normal 75 3 4 4" xfId="23474" xr:uid="{00000000-0005-0000-0000-0000D46D0000}"/>
    <cellStyle name="Normal 75 3 5" xfId="5666" xr:uid="{00000000-0005-0000-0000-0000D56D0000}"/>
    <cellStyle name="Normal 75 3 5 2" xfId="14968" xr:uid="{00000000-0005-0000-0000-0000D66D0000}"/>
    <cellStyle name="Normal 75 3 5 2 2" xfId="31518" xr:uid="{00000000-0005-0000-0000-0000D76D0000}"/>
    <cellStyle name="Normal 75 3 5 3" xfId="23475" xr:uid="{00000000-0005-0000-0000-0000D86D0000}"/>
    <cellStyle name="Normal 75 4" xfId="5667" xr:uid="{00000000-0005-0000-0000-0000D96D0000}"/>
    <cellStyle name="Normal 75 4 2" xfId="5668" xr:uid="{00000000-0005-0000-0000-0000DA6D0000}"/>
    <cellStyle name="Normal 75 4 2 2" xfId="5669" xr:uid="{00000000-0005-0000-0000-0000DB6D0000}"/>
    <cellStyle name="Normal 75 4 2 2 2" xfId="5670" xr:uid="{00000000-0005-0000-0000-0000DC6D0000}"/>
    <cellStyle name="Normal 75 4 2 2 2 2" xfId="9566" xr:uid="{00000000-0005-0000-0000-0000DD6D0000}"/>
    <cellStyle name="Normal 75 4 2 2 2 2 2" xfId="18740" xr:uid="{00000000-0005-0000-0000-0000DE6D0000}"/>
    <cellStyle name="Normal 75 4 2 2 2 2 2 2" xfId="35314" xr:uid="{00000000-0005-0000-0000-0000DF6D0000}"/>
    <cellStyle name="Normal 75 4 2 2 2 2 3" xfId="27267" xr:uid="{00000000-0005-0000-0000-0000E06D0000}"/>
    <cellStyle name="Normal 75 4 2 2 2 3" xfId="14972" xr:uid="{00000000-0005-0000-0000-0000E16D0000}"/>
    <cellStyle name="Normal 75 4 2 2 2 3 2" xfId="31522" xr:uid="{00000000-0005-0000-0000-0000E26D0000}"/>
    <cellStyle name="Normal 75 4 2 2 2 4" xfId="23479" xr:uid="{00000000-0005-0000-0000-0000E36D0000}"/>
    <cellStyle name="Normal 75 4 2 2 3" xfId="9567" xr:uid="{00000000-0005-0000-0000-0000E46D0000}"/>
    <cellStyle name="Normal 75 4 2 2 3 2" xfId="18741" xr:uid="{00000000-0005-0000-0000-0000E56D0000}"/>
    <cellStyle name="Normal 75 4 2 2 3 2 2" xfId="35315" xr:uid="{00000000-0005-0000-0000-0000E66D0000}"/>
    <cellStyle name="Normal 75 4 2 2 3 3" xfId="27268" xr:uid="{00000000-0005-0000-0000-0000E76D0000}"/>
    <cellStyle name="Normal 75 4 2 2 4" xfId="14971" xr:uid="{00000000-0005-0000-0000-0000E86D0000}"/>
    <cellStyle name="Normal 75 4 2 2 4 2" xfId="31521" xr:uid="{00000000-0005-0000-0000-0000E96D0000}"/>
    <cellStyle name="Normal 75 4 2 2 5" xfId="23478" xr:uid="{00000000-0005-0000-0000-0000EA6D0000}"/>
    <cellStyle name="Normal 75 4 2 3" xfId="5671" xr:uid="{00000000-0005-0000-0000-0000EB6D0000}"/>
    <cellStyle name="Normal 75 4 2 3 2" xfId="9568" xr:uid="{00000000-0005-0000-0000-0000EC6D0000}"/>
    <cellStyle name="Normal 75 4 2 3 2 2" xfId="18742" xr:uid="{00000000-0005-0000-0000-0000ED6D0000}"/>
    <cellStyle name="Normal 75 4 2 3 2 2 2" xfId="35316" xr:uid="{00000000-0005-0000-0000-0000EE6D0000}"/>
    <cellStyle name="Normal 75 4 2 3 2 3" xfId="27269" xr:uid="{00000000-0005-0000-0000-0000EF6D0000}"/>
    <cellStyle name="Normal 75 4 2 3 3" xfId="14973" xr:uid="{00000000-0005-0000-0000-0000F06D0000}"/>
    <cellStyle name="Normal 75 4 2 3 3 2" xfId="31523" xr:uid="{00000000-0005-0000-0000-0000F16D0000}"/>
    <cellStyle name="Normal 75 4 2 3 4" xfId="23480" xr:uid="{00000000-0005-0000-0000-0000F26D0000}"/>
    <cellStyle name="Normal 75 4 2 4" xfId="9569" xr:uid="{00000000-0005-0000-0000-0000F36D0000}"/>
    <cellStyle name="Normal 75 4 2 4 2" xfId="18743" xr:uid="{00000000-0005-0000-0000-0000F46D0000}"/>
    <cellStyle name="Normal 75 4 2 4 2 2" xfId="35317" xr:uid="{00000000-0005-0000-0000-0000F56D0000}"/>
    <cellStyle name="Normal 75 4 2 4 3" xfId="27270" xr:uid="{00000000-0005-0000-0000-0000F66D0000}"/>
    <cellStyle name="Normal 75 4 2 5" xfId="14970" xr:uid="{00000000-0005-0000-0000-0000F76D0000}"/>
    <cellStyle name="Normal 75 4 2 5 2" xfId="31520" xr:uid="{00000000-0005-0000-0000-0000F86D0000}"/>
    <cellStyle name="Normal 75 4 2 6" xfId="23477" xr:uid="{00000000-0005-0000-0000-0000F96D0000}"/>
    <cellStyle name="Normal 75 4 3" xfId="5672" xr:uid="{00000000-0005-0000-0000-0000FA6D0000}"/>
    <cellStyle name="Normal 75 4 3 2" xfId="5673" xr:uid="{00000000-0005-0000-0000-0000FB6D0000}"/>
    <cellStyle name="Normal 75 4 3 2 2" xfId="9570" xr:uid="{00000000-0005-0000-0000-0000FC6D0000}"/>
    <cellStyle name="Normal 75 4 3 2 2 2" xfId="18744" xr:uid="{00000000-0005-0000-0000-0000FD6D0000}"/>
    <cellStyle name="Normal 75 4 3 2 2 2 2" xfId="35318" xr:uid="{00000000-0005-0000-0000-0000FE6D0000}"/>
    <cellStyle name="Normal 75 4 3 2 2 3" xfId="27271" xr:uid="{00000000-0005-0000-0000-0000FF6D0000}"/>
    <cellStyle name="Normal 75 4 3 2 3" xfId="14975" xr:uid="{00000000-0005-0000-0000-0000006E0000}"/>
    <cellStyle name="Normal 75 4 3 2 3 2" xfId="31525" xr:uid="{00000000-0005-0000-0000-0000016E0000}"/>
    <cellStyle name="Normal 75 4 3 2 4" xfId="23482" xr:uid="{00000000-0005-0000-0000-0000026E0000}"/>
    <cellStyle name="Normal 75 4 3 3" xfId="9571" xr:uid="{00000000-0005-0000-0000-0000036E0000}"/>
    <cellStyle name="Normal 75 4 3 3 2" xfId="18745" xr:uid="{00000000-0005-0000-0000-0000046E0000}"/>
    <cellStyle name="Normal 75 4 3 3 2 2" xfId="35319" xr:uid="{00000000-0005-0000-0000-0000056E0000}"/>
    <cellStyle name="Normal 75 4 3 3 3" xfId="27272" xr:uid="{00000000-0005-0000-0000-0000066E0000}"/>
    <cellStyle name="Normal 75 4 3 4" xfId="14974" xr:uid="{00000000-0005-0000-0000-0000076E0000}"/>
    <cellStyle name="Normal 75 4 3 4 2" xfId="31524" xr:uid="{00000000-0005-0000-0000-0000086E0000}"/>
    <cellStyle name="Normal 75 4 3 5" xfId="23481" xr:uid="{00000000-0005-0000-0000-0000096E0000}"/>
    <cellStyle name="Normal 75 4 4" xfId="5674" xr:uid="{00000000-0005-0000-0000-00000A6E0000}"/>
    <cellStyle name="Normal 75 4 4 2" xfId="9572" xr:uid="{00000000-0005-0000-0000-00000B6E0000}"/>
    <cellStyle name="Normal 75 4 4 2 2" xfId="18746" xr:uid="{00000000-0005-0000-0000-00000C6E0000}"/>
    <cellStyle name="Normal 75 4 4 2 2 2" xfId="35320" xr:uid="{00000000-0005-0000-0000-00000D6E0000}"/>
    <cellStyle name="Normal 75 4 4 2 3" xfId="27273" xr:uid="{00000000-0005-0000-0000-00000E6E0000}"/>
    <cellStyle name="Normal 75 4 4 3" xfId="14976" xr:uid="{00000000-0005-0000-0000-00000F6E0000}"/>
    <cellStyle name="Normal 75 4 4 3 2" xfId="31526" xr:uid="{00000000-0005-0000-0000-0000106E0000}"/>
    <cellStyle name="Normal 75 4 4 4" xfId="23483" xr:uid="{00000000-0005-0000-0000-0000116E0000}"/>
    <cellStyle name="Normal 75 4 5" xfId="9573" xr:uid="{00000000-0005-0000-0000-0000126E0000}"/>
    <cellStyle name="Normal 75 4 5 2" xfId="18747" xr:uid="{00000000-0005-0000-0000-0000136E0000}"/>
    <cellStyle name="Normal 75 4 5 2 2" xfId="35321" xr:uid="{00000000-0005-0000-0000-0000146E0000}"/>
    <cellStyle name="Normal 75 4 5 3" xfId="27274" xr:uid="{00000000-0005-0000-0000-0000156E0000}"/>
    <cellStyle name="Normal 75 4 6" xfId="14969" xr:uid="{00000000-0005-0000-0000-0000166E0000}"/>
    <cellStyle name="Normal 75 4 6 2" xfId="31519" xr:uid="{00000000-0005-0000-0000-0000176E0000}"/>
    <cellStyle name="Normal 75 4 7" xfId="23476" xr:uid="{00000000-0005-0000-0000-0000186E0000}"/>
    <cellStyle name="Normal 75 5" xfId="5675" xr:uid="{00000000-0005-0000-0000-0000196E0000}"/>
    <cellStyle name="Normal 75 5 2" xfId="5676" xr:uid="{00000000-0005-0000-0000-00001A6E0000}"/>
    <cellStyle name="Normal 75 5 2 2" xfId="5677" xr:uid="{00000000-0005-0000-0000-00001B6E0000}"/>
    <cellStyle name="Normal 75 5 2 2 2" xfId="5678" xr:uid="{00000000-0005-0000-0000-00001C6E0000}"/>
    <cellStyle name="Normal 75 5 2 2 2 2" xfId="9574" xr:uid="{00000000-0005-0000-0000-00001D6E0000}"/>
    <cellStyle name="Normal 75 5 2 2 2 2 2" xfId="18748" xr:uid="{00000000-0005-0000-0000-00001E6E0000}"/>
    <cellStyle name="Normal 75 5 2 2 2 2 2 2" xfId="35322" xr:uid="{00000000-0005-0000-0000-00001F6E0000}"/>
    <cellStyle name="Normal 75 5 2 2 2 2 3" xfId="27275" xr:uid="{00000000-0005-0000-0000-0000206E0000}"/>
    <cellStyle name="Normal 75 5 2 2 2 3" xfId="14980" xr:uid="{00000000-0005-0000-0000-0000216E0000}"/>
    <cellStyle name="Normal 75 5 2 2 2 3 2" xfId="31530" xr:uid="{00000000-0005-0000-0000-0000226E0000}"/>
    <cellStyle name="Normal 75 5 2 2 2 4" xfId="23487" xr:uid="{00000000-0005-0000-0000-0000236E0000}"/>
    <cellStyle name="Normal 75 5 2 2 3" xfId="9575" xr:uid="{00000000-0005-0000-0000-0000246E0000}"/>
    <cellStyle name="Normal 75 5 2 2 3 2" xfId="18749" xr:uid="{00000000-0005-0000-0000-0000256E0000}"/>
    <cellStyle name="Normal 75 5 2 2 3 2 2" xfId="35323" xr:uid="{00000000-0005-0000-0000-0000266E0000}"/>
    <cellStyle name="Normal 75 5 2 2 3 3" xfId="27276" xr:uid="{00000000-0005-0000-0000-0000276E0000}"/>
    <cellStyle name="Normal 75 5 2 2 4" xfId="14979" xr:uid="{00000000-0005-0000-0000-0000286E0000}"/>
    <cellStyle name="Normal 75 5 2 2 4 2" xfId="31529" xr:uid="{00000000-0005-0000-0000-0000296E0000}"/>
    <cellStyle name="Normal 75 5 2 2 5" xfId="23486" xr:uid="{00000000-0005-0000-0000-00002A6E0000}"/>
    <cellStyle name="Normal 75 5 2 3" xfId="5679" xr:uid="{00000000-0005-0000-0000-00002B6E0000}"/>
    <cellStyle name="Normal 75 5 2 3 2" xfId="9576" xr:uid="{00000000-0005-0000-0000-00002C6E0000}"/>
    <cellStyle name="Normal 75 5 2 3 2 2" xfId="18750" xr:uid="{00000000-0005-0000-0000-00002D6E0000}"/>
    <cellStyle name="Normal 75 5 2 3 2 2 2" xfId="35324" xr:uid="{00000000-0005-0000-0000-00002E6E0000}"/>
    <cellStyle name="Normal 75 5 2 3 2 3" xfId="27277" xr:uid="{00000000-0005-0000-0000-00002F6E0000}"/>
    <cellStyle name="Normal 75 5 2 3 3" xfId="14981" xr:uid="{00000000-0005-0000-0000-0000306E0000}"/>
    <cellStyle name="Normal 75 5 2 3 3 2" xfId="31531" xr:uid="{00000000-0005-0000-0000-0000316E0000}"/>
    <cellStyle name="Normal 75 5 2 3 4" xfId="23488" xr:uid="{00000000-0005-0000-0000-0000326E0000}"/>
    <cellStyle name="Normal 75 5 2 4" xfId="9577" xr:uid="{00000000-0005-0000-0000-0000336E0000}"/>
    <cellStyle name="Normal 75 5 2 4 2" xfId="18751" xr:uid="{00000000-0005-0000-0000-0000346E0000}"/>
    <cellStyle name="Normal 75 5 2 4 2 2" xfId="35325" xr:uid="{00000000-0005-0000-0000-0000356E0000}"/>
    <cellStyle name="Normal 75 5 2 4 3" xfId="27278" xr:uid="{00000000-0005-0000-0000-0000366E0000}"/>
    <cellStyle name="Normal 75 5 2 5" xfId="14978" xr:uid="{00000000-0005-0000-0000-0000376E0000}"/>
    <cellStyle name="Normal 75 5 2 5 2" xfId="31528" xr:uid="{00000000-0005-0000-0000-0000386E0000}"/>
    <cellStyle name="Normal 75 5 2 6" xfId="23485" xr:uid="{00000000-0005-0000-0000-0000396E0000}"/>
    <cellStyle name="Normal 75 5 3" xfId="5680" xr:uid="{00000000-0005-0000-0000-00003A6E0000}"/>
    <cellStyle name="Normal 75 5 3 2" xfId="5681" xr:uid="{00000000-0005-0000-0000-00003B6E0000}"/>
    <cellStyle name="Normal 75 5 3 2 2" xfId="9578" xr:uid="{00000000-0005-0000-0000-00003C6E0000}"/>
    <cellStyle name="Normal 75 5 3 2 2 2" xfId="18752" xr:uid="{00000000-0005-0000-0000-00003D6E0000}"/>
    <cellStyle name="Normal 75 5 3 2 2 2 2" xfId="35326" xr:uid="{00000000-0005-0000-0000-00003E6E0000}"/>
    <cellStyle name="Normal 75 5 3 2 2 3" xfId="27279" xr:uid="{00000000-0005-0000-0000-00003F6E0000}"/>
    <cellStyle name="Normal 75 5 3 2 3" xfId="14983" xr:uid="{00000000-0005-0000-0000-0000406E0000}"/>
    <cellStyle name="Normal 75 5 3 2 3 2" xfId="31533" xr:uid="{00000000-0005-0000-0000-0000416E0000}"/>
    <cellStyle name="Normal 75 5 3 2 4" xfId="23490" xr:uid="{00000000-0005-0000-0000-0000426E0000}"/>
    <cellStyle name="Normal 75 5 3 3" xfId="9579" xr:uid="{00000000-0005-0000-0000-0000436E0000}"/>
    <cellStyle name="Normal 75 5 3 3 2" xfId="18753" xr:uid="{00000000-0005-0000-0000-0000446E0000}"/>
    <cellStyle name="Normal 75 5 3 3 2 2" xfId="35327" xr:uid="{00000000-0005-0000-0000-0000456E0000}"/>
    <cellStyle name="Normal 75 5 3 3 3" xfId="27280" xr:uid="{00000000-0005-0000-0000-0000466E0000}"/>
    <cellStyle name="Normal 75 5 3 4" xfId="14982" xr:uid="{00000000-0005-0000-0000-0000476E0000}"/>
    <cellStyle name="Normal 75 5 3 4 2" xfId="31532" xr:uid="{00000000-0005-0000-0000-0000486E0000}"/>
    <cellStyle name="Normal 75 5 3 5" xfId="23489" xr:uid="{00000000-0005-0000-0000-0000496E0000}"/>
    <cellStyle name="Normal 75 5 4" xfId="5682" xr:uid="{00000000-0005-0000-0000-00004A6E0000}"/>
    <cellStyle name="Normal 75 5 4 2" xfId="9580" xr:uid="{00000000-0005-0000-0000-00004B6E0000}"/>
    <cellStyle name="Normal 75 5 4 2 2" xfId="18754" xr:uid="{00000000-0005-0000-0000-00004C6E0000}"/>
    <cellStyle name="Normal 75 5 4 2 2 2" xfId="35328" xr:uid="{00000000-0005-0000-0000-00004D6E0000}"/>
    <cellStyle name="Normal 75 5 4 2 3" xfId="27281" xr:uid="{00000000-0005-0000-0000-00004E6E0000}"/>
    <cellStyle name="Normal 75 5 4 3" xfId="14984" xr:uid="{00000000-0005-0000-0000-00004F6E0000}"/>
    <cellStyle name="Normal 75 5 4 3 2" xfId="31534" xr:uid="{00000000-0005-0000-0000-0000506E0000}"/>
    <cellStyle name="Normal 75 5 4 4" xfId="23491" xr:uid="{00000000-0005-0000-0000-0000516E0000}"/>
    <cellStyle name="Normal 75 5 5" xfId="9581" xr:uid="{00000000-0005-0000-0000-0000526E0000}"/>
    <cellStyle name="Normal 75 5 5 2" xfId="18755" xr:uid="{00000000-0005-0000-0000-0000536E0000}"/>
    <cellStyle name="Normal 75 5 5 2 2" xfId="35329" xr:uid="{00000000-0005-0000-0000-0000546E0000}"/>
    <cellStyle name="Normal 75 5 5 3" xfId="27282" xr:uid="{00000000-0005-0000-0000-0000556E0000}"/>
    <cellStyle name="Normal 75 5 6" xfId="14977" xr:uid="{00000000-0005-0000-0000-0000566E0000}"/>
    <cellStyle name="Normal 75 5 6 2" xfId="31527" xr:uid="{00000000-0005-0000-0000-0000576E0000}"/>
    <cellStyle name="Normal 75 5 7" xfId="23484" xr:uid="{00000000-0005-0000-0000-0000586E0000}"/>
    <cellStyle name="Normal 75 6" xfId="5683" xr:uid="{00000000-0005-0000-0000-0000596E0000}"/>
    <cellStyle name="Normal 75 6 2" xfId="5684" xr:uid="{00000000-0005-0000-0000-00005A6E0000}"/>
    <cellStyle name="Normal 75 6 2 2" xfId="5685" xr:uid="{00000000-0005-0000-0000-00005B6E0000}"/>
    <cellStyle name="Normal 75 6 2 2 2" xfId="9582" xr:uid="{00000000-0005-0000-0000-00005C6E0000}"/>
    <cellStyle name="Normal 75 6 2 2 2 2" xfId="18756" xr:uid="{00000000-0005-0000-0000-00005D6E0000}"/>
    <cellStyle name="Normal 75 6 2 2 2 2 2" xfId="35330" xr:uid="{00000000-0005-0000-0000-00005E6E0000}"/>
    <cellStyle name="Normal 75 6 2 2 2 3" xfId="27283" xr:uid="{00000000-0005-0000-0000-00005F6E0000}"/>
    <cellStyle name="Normal 75 6 2 2 3" xfId="14987" xr:uid="{00000000-0005-0000-0000-0000606E0000}"/>
    <cellStyle name="Normal 75 6 2 2 3 2" xfId="31537" xr:uid="{00000000-0005-0000-0000-0000616E0000}"/>
    <cellStyle name="Normal 75 6 2 2 4" xfId="23494" xr:uid="{00000000-0005-0000-0000-0000626E0000}"/>
    <cellStyle name="Normal 75 6 2 3" xfId="9583" xr:uid="{00000000-0005-0000-0000-0000636E0000}"/>
    <cellStyle name="Normal 75 6 2 3 2" xfId="18757" xr:uid="{00000000-0005-0000-0000-0000646E0000}"/>
    <cellStyle name="Normal 75 6 2 3 2 2" xfId="35331" xr:uid="{00000000-0005-0000-0000-0000656E0000}"/>
    <cellStyle name="Normal 75 6 2 3 3" xfId="27284" xr:uid="{00000000-0005-0000-0000-0000666E0000}"/>
    <cellStyle name="Normal 75 6 2 4" xfId="14986" xr:uid="{00000000-0005-0000-0000-0000676E0000}"/>
    <cellStyle name="Normal 75 6 2 4 2" xfId="31536" xr:uid="{00000000-0005-0000-0000-0000686E0000}"/>
    <cellStyle name="Normal 75 6 2 5" xfId="23493" xr:uid="{00000000-0005-0000-0000-0000696E0000}"/>
    <cellStyle name="Normal 75 6 3" xfId="5686" xr:uid="{00000000-0005-0000-0000-00006A6E0000}"/>
    <cellStyle name="Normal 75 6 3 2" xfId="9584" xr:uid="{00000000-0005-0000-0000-00006B6E0000}"/>
    <cellStyle name="Normal 75 6 3 2 2" xfId="18758" xr:uid="{00000000-0005-0000-0000-00006C6E0000}"/>
    <cellStyle name="Normal 75 6 3 2 2 2" xfId="35332" xr:uid="{00000000-0005-0000-0000-00006D6E0000}"/>
    <cellStyle name="Normal 75 6 3 2 3" xfId="27285" xr:uid="{00000000-0005-0000-0000-00006E6E0000}"/>
    <cellStyle name="Normal 75 6 3 3" xfId="14988" xr:uid="{00000000-0005-0000-0000-00006F6E0000}"/>
    <cellStyle name="Normal 75 6 3 3 2" xfId="31538" xr:uid="{00000000-0005-0000-0000-0000706E0000}"/>
    <cellStyle name="Normal 75 6 3 4" xfId="23495" xr:uid="{00000000-0005-0000-0000-0000716E0000}"/>
    <cellStyle name="Normal 75 6 4" xfId="9585" xr:uid="{00000000-0005-0000-0000-0000726E0000}"/>
    <cellStyle name="Normal 75 6 4 2" xfId="18759" xr:uid="{00000000-0005-0000-0000-0000736E0000}"/>
    <cellStyle name="Normal 75 6 4 2 2" xfId="35333" xr:uid="{00000000-0005-0000-0000-0000746E0000}"/>
    <cellStyle name="Normal 75 6 4 3" xfId="27286" xr:uid="{00000000-0005-0000-0000-0000756E0000}"/>
    <cellStyle name="Normal 75 6 5" xfId="14985" xr:uid="{00000000-0005-0000-0000-0000766E0000}"/>
    <cellStyle name="Normal 75 6 5 2" xfId="31535" xr:uid="{00000000-0005-0000-0000-0000776E0000}"/>
    <cellStyle name="Normal 75 6 6" xfId="23492" xr:uid="{00000000-0005-0000-0000-0000786E0000}"/>
    <cellStyle name="Normal 75 7" xfId="5687" xr:uid="{00000000-0005-0000-0000-0000796E0000}"/>
    <cellStyle name="Normal 75 7 2" xfId="5688" xr:uid="{00000000-0005-0000-0000-00007A6E0000}"/>
    <cellStyle name="Normal 75 7 2 2" xfId="9586" xr:uid="{00000000-0005-0000-0000-00007B6E0000}"/>
    <cellStyle name="Normal 75 7 2 2 2" xfId="18760" xr:uid="{00000000-0005-0000-0000-00007C6E0000}"/>
    <cellStyle name="Normal 75 7 2 2 2 2" xfId="35334" xr:uid="{00000000-0005-0000-0000-00007D6E0000}"/>
    <cellStyle name="Normal 75 7 2 2 3" xfId="27287" xr:uid="{00000000-0005-0000-0000-00007E6E0000}"/>
    <cellStyle name="Normal 75 7 2 3" xfId="14990" xr:uid="{00000000-0005-0000-0000-00007F6E0000}"/>
    <cellStyle name="Normal 75 7 2 3 2" xfId="31540" xr:uid="{00000000-0005-0000-0000-0000806E0000}"/>
    <cellStyle name="Normal 75 7 2 4" xfId="23497" xr:uid="{00000000-0005-0000-0000-0000816E0000}"/>
    <cellStyle name="Normal 75 7 3" xfId="9587" xr:uid="{00000000-0005-0000-0000-0000826E0000}"/>
    <cellStyle name="Normal 75 7 3 2" xfId="18761" xr:uid="{00000000-0005-0000-0000-0000836E0000}"/>
    <cellStyle name="Normal 75 7 3 2 2" xfId="35335" xr:uid="{00000000-0005-0000-0000-0000846E0000}"/>
    <cellStyle name="Normal 75 7 3 3" xfId="27288" xr:uid="{00000000-0005-0000-0000-0000856E0000}"/>
    <cellStyle name="Normal 75 7 4" xfId="14989" xr:uid="{00000000-0005-0000-0000-0000866E0000}"/>
    <cellStyle name="Normal 75 7 4 2" xfId="31539" xr:uid="{00000000-0005-0000-0000-0000876E0000}"/>
    <cellStyle name="Normal 75 7 5" xfId="23496" xr:uid="{00000000-0005-0000-0000-0000886E0000}"/>
    <cellStyle name="Normal 75 8" xfId="5689" xr:uid="{00000000-0005-0000-0000-0000896E0000}"/>
    <cellStyle name="Normal 75 8 2" xfId="9588" xr:uid="{00000000-0005-0000-0000-00008A6E0000}"/>
    <cellStyle name="Normal 75 8 2 2" xfId="18762" xr:uid="{00000000-0005-0000-0000-00008B6E0000}"/>
    <cellStyle name="Normal 75 8 2 2 2" xfId="35336" xr:uid="{00000000-0005-0000-0000-00008C6E0000}"/>
    <cellStyle name="Normal 75 8 2 3" xfId="27289" xr:uid="{00000000-0005-0000-0000-00008D6E0000}"/>
    <cellStyle name="Normal 75 8 3" xfId="14991" xr:uid="{00000000-0005-0000-0000-00008E6E0000}"/>
    <cellStyle name="Normal 75 8 3 2" xfId="31541" xr:uid="{00000000-0005-0000-0000-00008F6E0000}"/>
    <cellStyle name="Normal 75 8 4" xfId="23498" xr:uid="{00000000-0005-0000-0000-0000906E0000}"/>
    <cellStyle name="Normal 75 9" xfId="9589" xr:uid="{00000000-0005-0000-0000-0000916E0000}"/>
    <cellStyle name="Normal 75 9 2" xfId="18763" xr:uid="{00000000-0005-0000-0000-0000926E0000}"/>
    <cellStyle name="Normal 75 9 2 2" xfId="35337" xr:uid="{00000000-0005-0000-0000-0000936E0000}"/>
    <cellStyle name="Normal 75 9 3" xfId="27290" xr:uid="{00000000-0005-0000-0000-0000946E0000}"/>
    <cellStyle name="Normal 76" xfId="5690" xr:uid="{00000000-0005-0000-0000-0000956E0000}"/>
    <cellStyle name="Normal 76 10" xfId="14992" xr:uid="{00000000-0005-0000-0000-0000966E0000}"/>
    <cellStyle name="Normal 76 10 2" xfId="31542" xr:uid="{00000000-0005-0000-0000-0000976E0000}"/>
    <cellStyle name="Normal 76 11" xfId="23499" xr:uid="{00000000-0005-0000-0000-0000986E0000}"/>
    <cellStyle name="Normal 76 2" xfId="5691" xr:uid="{00000000-0005-0000-0000-0000996E0000}"/>
    <cellStyle name="Normal 76 2 2" xfId="5692" xr:uid="{00000000-0005-0000-0000-00009A6E0000}"/>
    <cellStyle name="Normal 76 2 3" xfId="14993" xr:uid="{00000000-0005-0000-0000-00009B6E0000}"/>
    <cellStyle name="Normal 76 2 3 2" xfId="31543" xr:uid="{00000000-0005-0000-0000-00009C6E0000}"/>
    <cellStyle name="Normal 76 2 4" xfId="23500" xr:uid="{00000000-0005-0000-0000-00009D6E0000}"/>
    <cellStyle name="Normal 76 3" xfId="5693" xr:uid="{00000000-0005-0000-0000-00009E6E0000}"/>
    <cellStyle name="Normal 76 3 2" xfId="5694" xr:uid="{00000000-0005-0000-0000-00009F6E0000}"/>
    <cellStyle name="Normal 76 3 2 2" xfId="5695" xr:uid="{00000000-0005-0000-0000-0000A06E0000}"/>
    <cellStyle name="Normal 76 3 2 2 2" xfId="5696" xr:uid="{00000000-0005-0000-0000-0000A16E0000}"/>
    <cellStyle name="Normal 76 3 2 2 2 2" xfId="9590" xr:uid="{00000000-0005-0000-0000-0000A26E0000}"/>
    <cellStyle name="Normal 76 3 2 2 2 2 2" xfId="18764" xr:uid="{00000000-0005-0000-0000-0000A36E0000}"/>
    <cellStyle name="Normal 76 3 2 2 2 2 2 2" xfId="35338" xr:uid="{00000000-0005-0000-0000-0000A46E0000}"/>
    <cellStyle name="Normal 76 3 2 2 2 2 3" xfId="27291" xr:uid="{00000000-0005-0000-0000-0000A56E0000}"/>
    <cellStyle name="Normal 76 3 2 2 2 3" xfId="14996" xr:uid="{00000000-0005-0000-0000-0000A66E0000}"/>
    <cellStyle name="Normal 76 3 2 2 2 3 2" xfId="31546" xr:uid="{00000000-0005-0000-0000-0000A76E0000}"/>
    <cellStyle name="Normal 76 3 2 2 2 4" xfId="23503" xr:uid="{00000000-0005-0000-0000-0000A86E0000}"/>
    <cellStyle name="Normal 76 3 2 2 3" xfId="9591" xr:uid="{00000000-0005-0000-0000-0000A96E0000}"/>
    <cellStyle name="Normal 76 3 2 2 3 2" xfId="18765" xr:uid="{00000000-0005-0000-0000-0000AA6E0000}"/>
    <cellStyle name="Normal 76 3 2 2 3 2 2" xfId="35339" xr:uid="{00000000-0005-0000-0000-0000AB6E0000}"/>
    <cellStyle name="Normal 76 3 2 2 3 3" xfId="27292" xr:uid="{00000000-0005-0000-0000-0000AC6E0000}"/>
    <cellStyle name="Normal 76 3 2 2 4" xfId="14995" xr:uid="{00000000-0005-0000-0000-0000AD6E0000}"/>
    <cellStyle name="Normal 76 3 2 2 4 2" xfId="31545" xr:uid="{00000000-0005-0000-0000-0000AE6E0000}"/>
    <cellStyle name="Normal 76 3 2 2 5" xfId="23502" xr:uid="{00000000-0005-0000-0000-0000AF6E0000}"/>
    <cellStyle name="Normal 76 3 2 3" xfId="5697" xr:uid="{00000000-0005-0000-0000-0000B06E0000}"/>
    <cellStyle name="Normal 76 3 2 3 2" xfId="9592" xr:uid="{00000000-0005-0000-0000-0000B16E0000}"/>
    <cellStyle name="Normal 76 3 2 3 2 2" xfId="18766" xr:uid="{00000000-0005-0000-0000-0000B26E0000}"/>
    <cellStyle name="Normal 76 3 2 3 2 2 2" xfId="35340" xr:uid="{00000000-0005-0000-0000-0000B36E0000}"/>
    <cellStyle name="Normal 76 3 2 3 2 3" xfId="27293" xr:uid="{00000000-0005-0000-0000-0000B46E0000}"/>
    <cellStyle name="Normal 76 3 2 3 3" xfId="14997" xr:uid="{00000000-0005-0000-0000-0000B56E0000}"/>
    <cellStyle name="Normal 76 3 2 3 3 2" xfId="31547" xr:uid="{00000000-0005-0000-0000-0000B66E0000}"/>
    <cellStyle name="Normal 76 3 2 3 4" xfId="23504" xr:uid="{00000000-0005-0000-0000-0000B76E0000}"/>
    <cellStyle name="Normal 76 3 2 4" xfId="9593" xr:uid="{00000000-0005-0000-0000-0000B86E0000}"/>
    <cellStyle name="Normal 76 3 2 4 2" xfId="18767" xr:uid="{00000000-0005-0000-0000-0000B96E0000}"/>
    <cellStyle name="Normal 76 3 2 4 2 2" xfId="35341" xr:uid="{00000000-0005-0000-0000-0000BA6E0000}"/>
    <cellStyle name="Normal 76 3 2 4 3" xfId="27294" xr:uid="{00000000-0005-0000-0000-0000BB6E0000}"/>
    <cellStyle name="Normal 76 3 2 5" xfId="14994" xr:uid="{00000000-0005-0000-0000-0000BC6E0000}"/>
    <cellStyle name="Normal 76 3 2 5 2" xfId="31544" xr:uid="{00000000-0005-0000-0000-0000BD6E0000}"/>
    <cellStyle name="Normal 76 3 2 6" xfId="23501" xr:uid="{00000000-0005-0000-0000-0000BE6E0000}"/>
    <cellStyle name="Normal 76 3 3" xfId="5698" xr:uid="{00000000-0005-0000-0000-0000BF6E0000}"/>
    <cellStyle name="Normal 76 3 3 2" xfId="5699" xr:uid="{00000000-0005-0000-0000-0000C06E0000}"/>
    <cellStyle name="Normal 76 3 3 2 2" xfId="9594" xr:uid="{00000000-0005-0000-0000-0000C16E0000}"/>
    <cellStyle name="Normal 76 3 3 2 2 2" xfId="18768" xr:uid="{00000000-0005-0000-0000-0000C26E0000}"/>
    <cellStyle name="Normal 76 3 3 2 2 2 2" xfId="35342" xr:uid="{00000000-0005-0000-0000-0000C36E0000}"/>
    <cellStyle name="Normal 76 3 3 2 2 3" xfId="27295" xr:uid="{00000000-0005-0000-0000-0000C46E0000}"/>
    <cellStyle name="Normal 76 3 3 2 3" xfId="14999" xr:uid="{00000000-0005-0000-0000-0000C56E0000}"/>
    <cellStyle name="Normal 76 3 3 2 3 2" xfId="31549" xr:uid="{00000000-0005-0000-0000-0000C66E0000}"/>
    <cellStyle name="Normal 76 3 3 2 4" xfId="23506" xr:uid="{00000000-0005-0000-0000-0000C76E0000}"/>
    <cellStyle name="Normal 76 3 3 3" xfId="9595" xr:uid="{00000000-0005-0000-0000-0000C86E0000}"/>
    <cellStyle name="Normal 76 3 3 3 2" xfId="18769" xr:uid="{00000000-0005-0000-0000-0000C96E0000}"/>
    <cellStyle name="Normal 76 3 3 3 2 2" xfId="35343" xr:uid="{00000000-0005-0000-0000-0000CA6E0000}"/>
    <cellStyle name="Normal 76 3 3 3 3" xfId="27296" xr:uid="{00000000-0005-0000-0000-0000CB6E0000}"/>
    <cellStyle name="Normal 76 3 3 4" xfId="14998" xr:uid="{00000000-0005-0000-0000-0000CC6E0000}"/>
    <cellStyle name="Normal 76 3 3 4 2" xfId="31548" xr:uid="{00000000-0005-0000-0000-0000CD6E0000}"/>
    <cellStyle name="Normal 76 3 3 5" xfId="23505" xr:uid="{00000000-0005-0000-0000-0000CE6E0000}"/>
    <cellStyle name="Normal 76 3 4" xfId="5700" xr:uid="{00000000-0005-0000-0000-0000CF6E0000}"/>
    <cellStyle name="Normal 76 3 4 2" xfId="9596" xr:uid="{00000000-0005-0000-0000-0000D06E0000}"/>
    <cellStyle name="Normal 76 3 4 2 2" xfId="18770" xr:uid="{00000000-0005-0000-0000-0000D16E0000}"/>
    <cellStyle name="Normal 76 3 4 2 2 2" xfId="35344" xr:uid="{00000000-0005-0000-0000-0000D26E0000}"/>
    <cellStyle name="Normal 76 3 4 2 3" xfId="27297" xr:uid="{00000000-0005-0000-0000-0000D36E0000}"/>
    <cellStyle name="Normal 76 3 4 3" xfId="15000" xr:uid="{00000000-0005-0000-0000-0000D46E0000}"/>
    <cellStyle name="Normal 76 3 4 3 2" xfId="31550" xr:uid="{00000000-0005-0000-0000-0000D56E0000}"/>
    <cellStyle name="Normal 76 3 4 4" xfId="23507" xr:uid="{00000000-0005-0000-0000-0000D66E0000}"/>
    <cellStyle name="Normal 76 3 5" xfId="5701" xr:uid="{00000000-0005-0000-0000-0000D76E0000}"/>
    <cellStyle name="Normal 76 3 5 2" xfId="15001" xr:uid="{00000000-0005-0000-0000-0000D86E0000}"/>
    <cellStyle name="Normal 76 3 5 2 2" xfId="31551" xr:uid="{00000000-0005-0000-0000-0000D96E0000}"/>
    <cellStyle name="Normal 76 3 5 3" xfId="23508" xr:uid="{00000000-0005-0000-0000-0000DA6E0000}"/>
    <cellStyle name="Normal 76 4" xfId="5702" xr:uid="{00000000-0005-0000-0000-0000DB6E0000}"/>
    <cellStyle name="Normal 76 4 2" xfId="5703" xr:uid="{00000000-0005-0000-0000-0000DC6E0000}"/>
    <cellStyle name="Normal 76 4 2 2" xfId="5704" xr:uid="{00000000-0005-0000-0000-0000DD6E0000}"/>
    <cellStyle name="Normal 76 4 2 2 2" xfId="5705" xr:uid="{00000000-0005-0000-0000-0000DE6E0000}"/>
    <cellStyle name="Normal 76 4 2 2 2 2" xfId="9597" xr:uid="{00000000-0005-0000-0000-0000DF6E0000}"/>
    <cellStyle name="Normal 76 4 2 2 2 2 2" xfId="18771" xr:uid="{00000000-0005-0000-0000-0000E06E0000}"/>
    <cellStyle name="Normal 76 4 2 2 2 2 2 2" xfId="35345" xr:uid="{00000000-0005-0000-0000-0000E16E0000}"/>
    <cellStyle name="Normal 76 4 2 2 2 2 3" xfId="27298" xr:uid="{00000000-0005-0000-0000-0000E26E0000}"/>
    <cellStyle name="Normal 76 4 2 2 2 3" xfId="15005" xr:uid="{00000000-0005-0000-0000-0000E36E0000}"/>
    <cellStyle name="Normal 76 4 2 2 2 3 2" xfId="31555" xr:uid="{00000000-0005-0000-0000-0000E46E0000}"/>
    <cellStyle name="Normal 76 4 2 2 2 4" xfId="23512" xr:uid="{00000000-0005-0000-0000-0000E56E0000}"/>
    <cellStyle name="Normal 76 4 2 2 3" xfId="9598" xr:uid="{00000000-0005-0000-0000-0000E66E0000}"/>
    <cellStyle name="Normal 76 4 2 2 3 2" xfId="18772" xr:uid="{00000000-0005-0000-0000-0000E76E0000}"/>
    <cellStyle name="Normal 76 4 2 2 3 2 2" xfId="35346" xr:uid="{00000000-0005-0000-0000-0000E86E0000}"/>
    <cellStyle name="Normal 76 4 2 2 3 3" xfId="27299" xr:uid="{00000000-0005-0000-0000-0000E96E0000}"/>
    <cellStyle name="Normal 76 4 2 2 4" xfId="15004" xr:uid="{00000000-0005-0000-0000-0000EA6E0000}"/>
    <cellStyle name="Normal 76 4 2 2 4 2" xfId="31554" xr:uid="{00000000-0005-0000-0000-0000EB6E0000}"/>
    <cellStyle name="Normal 76 4 2 2 5" xfId="23511" xr:uid="{00000000-0005-0000-0000-0000EC6E0000}"/>
    <cellStyle name="Normal 76 4 2 3" xfId="5706" xr:uid="{00000000-0005-0000-0000-0000ED6E0000}"/>
    <cellStyle name="Normal 76 4 2 3 2" xfId="9599" xr:uid="{00000000-0005-0000-0000-0000EE6E0000}"/>
    <cellStyle name="Normal 76 4 2 3 2 2" xfId="18773" xr:uid="{00000000-0005-0000-0000-0000EF6E0000}"/>
    <cellStyle name="Normal 76 4 2 3 2 2 2" xfId="35347" xr:uid="{00000000-0005-0000-0000-0000F06E0000}"/>
    <cellStyle name="Normal 76 4 2 3 2 3" xfId="27300" xr:uid="{00000000-0005-0000-0000-0000F16E0000}"/>
    <cellStyle name="Normal 76 4 2 3 3" xfId="15006" xr:uid="{00000000-0005-0000-0000-0000F26E0000}"/>
    <cellStyle name="Normal 76 4 2 3 3 2" xfId="31556" xr:uid="{00000000-0005-0000-0000-0000F36E0000}"/>
    <cellStyle name="Normal 76 4 2 3 4" xfId="23513" xr:uid="{00000000-0005-0000-0000-0000F46E0000}"/>
    <cellStyle name="Normal 76 4 2 4" xfId="9600" xr:uid="{00000000-0005-0000-0000-0000F56E0000}"/>
    <cellStyle name="Normal 76 4 2 4 2" xfId="18774" xr:uid="{00000000-0005-0000-0000-0000F66E0000}"/>
    <cellStyle name="Normal 76 4 2 4 2 2" xfId="35348" xr:uid="{00000000-0005-0000-0000-0000F76E0000}"/>
    <cellStyle name="Normal 76 4 2 4 3" xfId="27301" xr:uid="{00000000-0005-0000-0000-0000F86E0000}"/>
    <cellStyle name="Normal 76 4 2 5" xfId="15003" xr:uid="{00000000-0005-0000-0000-0000F96E0000}"/>
    <cellStyle name="Normal 76 4 2 5 2" xfId="31553" xr:uid="{00000000-0005-0000-0000-0000FA6E0000}"/>
    <cellStyle name="Normal 76 4 2 6" xfId="23510" xr:uid="{00000000-0005-0000-0000-0000FB6E0000}"/>
    <cellStyle name="Normal 76 4 3" xfId="5707" xr:uid="{00000000-0005-0000-0000-0000FC6E0000}"/>
    <cellStyle name="Normal 76 4 3 2" xfId="5708" xr:uid="{00000000-0005-0000-0000-0000FD6E0000}"/>
    <cellStyle name="Normal 76 4 3 2 2" xfId="9601" xr:uid="{00000000-0005-0000-0000-0000FE6E0000}"/>
    <cellStyle name="Normal 76 4 3 2 2 2" xfId="18775" xr:uid="{00000000-0005-0000-0000-0000FF6E0000}"/>
    <cellStyle name="Normal 76 4 3 2 2 2 2" xfId="35349" xr:uid="{00000000-0005-0000-0000-0000006F0000}"/>
    <cellStyle name="Normal 76 4 3 2 2 3" xfId="27302" xr:uid="{00000000-0005-0000-0000-0000016F0000}"/>
    <cellStyle name="Normal 76 4 3 2 3" xfId="15008" xr:uid="{00000000-0005-0000-0000-0000026F0000}"/>
    <cellStyle name="Normal 76 4 3 2 3 2" xfId="31558" xr:uid="{00000000-0005-0000-0000-0000036F0000}"/>
    <cellStyle name="Normal 76 4 3 2 4" xfId="23515" xr:uid="{00000000-0005-0000-0000-0000046F0000}"/>
    <cellStyle name="Normal 76 4 3 3" xfId="9602" xr:uid="{00000000-0005-0000-0000-0000056F0000}"/>
    <cellStyle name="Normal 76 4 3 3 2" xfId="18776" xr:uid="{00000000-0005-0000-0000-0000066F0000}"/>
    <cellStyle name="Normal 76 4 3 3 2 2" xfId="35350" xr:uid="{00000000-0005-0000-0000-0000076F0000}"/>
    <cellStyle name="Normal 76 4 3 3 3" xfId="27303" xr:uid="{00000000-0005-0000-0000-0000086F0000}"/>
    <cellStyle name="Normal 76 4 3 4" xfId="15007" xr:uid="{00000000-0005-0000-0000-0000096F0000}"/>
    <cellStyle name="Normal 76 4 3 4 2" xfId="31557" xr:uid="{00000000-0005-0000-0000-00000A6F0000}"/>
    <cellStyle name="Normal 76 4 3 5" xfId="23514" xr:uid="{00000000-0005-0000-0000-00000B6F0000}"/>
    <cellStyle name="Normal 76 4 4" xfId="5709" xr:uid="{00000000-0005-0000-0000-00000C6F0000}"/>
    <cellStyle name="Normal 76 4 4 2" xfId="9603" xr:uid="{00000000-0005-0000-0000-00000D6F0000}"/>
    <cellStyle name="Normal 76 4 4 2 2" xfId="18777" xr:uid="{00000000-0005-0000-0000-00000E6F0000}"/>
    <cellStyle name="Normal 76 4 4 2 2 2" xfId="35351" xr:uid="{00000000-0005-0000-0000-00000F6F0000}"/>
    <cellStyle name="Normal 76 4 4 2 3" xfId="27304" xr:uid="{00000000-0005-0000-0000-0000106F0000}"/>
    <cellStyle name="Normal 76 4 4 3" xfId="15009" xr:uid="{00000000-0005-0000-0000-0000116F0000}"/>
    <cellStyle name="Normal 76 4 4 3 2" xfId="31559" xr:uid="{00000000-0005-0000-0000-0000126F0000}"/>
    <cellStyle name="Normal 76 4 4 4" xfId="23516" xr:uid="{00000000-0005-0000-0000-0000136F0000}"/>
    <cellStyle name="Normal 76 4 5" xfId="9604" xr:uid="{00000000-0005-0000-0000-0000146F0000}"/>
    <cellStyle name="Normal 76 4 5 2" xfId="18778" xr:uid="{00000000-0005-0000-0000-0000156F0000}"/>
    <cellStyle name="Normal 76 4 5 2 2" xfId="35352" xr:uid="{00000000-0005-0000-0000-0000166F0000}"/>
    <cellStyle name="Normal 76 4 5 3" xfId="27305" xr:uid="{00000000-0005-0000-0000-0000176F0000}"/>
    <cellStyle name="Normal 76 4 6" xfId="15002" xr:uid="{00000000-0005-0000-0000-0000186F0000}"/>
    <cellStyle name="Normal 76 4 6 2" xfId="31552" xr:uid="{00000000-0005-0000-0000-0000196F0000}"/>
    <cellStyle name="Normal 76 4 7" xfId="23509" xr:uid="{00000000-0005-0000-0000-00001A6F0000}"/>
    <cellStyle name="Normal 76 5" xfId="5710" xr:uid="{00000000-0005-0000-0000-00001B6F0000}"/>
    <cellStyle name="Normal 76 5 2" xfId="5711" xr:uid="{00000000-0005-0000-0000-00001C6F0000}"/>
    <cellStyle name="Normal 76 5 2 2" xfId="5712" xr:uid="{00000000-0005-0000-0000-00001D6F0000}"/>
    <cellStyle name="Normal 76 5 2 2 2" xfId="5713" xr:uid="{00000000-0005-0000-0000-00001E6F0000}"/>
    <cellStyle name="Normal 76 5 2 2 2 2" xfId="9605" xr:uid="{00000000-0005-0000-0000-00001F6F0000}"/>
    <cellStyle name="Normal 76 5 2 2 2 2 2" xfId="18779" xr:uid="{00000000-0005-0000-0000-0000206F0000}"/>
    <cellStyle name="Normal 76 5 2 2 2 2 2 2" xfId="35353" xr:uid="{00000000-0005-0000-0000-0000216F0000}"/>
    <cellStyle name="Normal 76 5 2 2 2 2 3" xfId="27306" xr:uid="{00000000-0005-0000-0000-0000226F0000}"/>
    <cellStyle name="Normal 76 5 2 2 2 3" xfId="15013" xr:uid="{00000000-0005-0000-0000-0000236F0000}"/>
    <cellStyle name="Normal 76 5 2 2 2 3 2" xfId="31563" xr:uid="{00000000-0005-0000-0000-0000246F0000}"/>
    <cellStyle name="Normal 76 5 2 2 2 4" xfId="23520" xr:uid="{00000000-0005-0000-0000-0000256F0000}"/>
    <cellStyle name="Normal 76 5 2 2 3" xfId="9606" xr:uid="{00000000-0005-0000-0000-0000266F0000}"/>
    <cellStyle name="Normal 76 5 2 2 3 2" xfId="18780" xr:uid="{00000000-0005-0000-0000-0000276F0000}"/>
    <cellStyle name="Normal 76 5 2 2 3 2 2" xfId="35354" xr:uid="{00000000-0005-0000-0000-0000286F0000}"/>
    <cellStyle name="Normal 76 5 2 2 3 3" xfId="27307" xr:uid="{00000000-0005-0000-0000-0000296F0000}"/>
    <cellStyle name="Normal 76 5 2 2 4" xfId="15012" xr:uid="{00000000-0005-0000-0000-00002A6F0000}"/>
    <cellStyle name="Normal 76 5 2 2 4 2" xfId="31562" xr:uid="{00000000-0005-0000-0000-00002B6F0000}"/>
    <cellStyle name="Normal 76 5 2 2 5" xfId="23519" xr:uid="{00000000-0005-0000-0000-00002C6F0000}"/>
    <cellStyle name="Normal 76 5 2 3" xfId="5714" xr:uid="{00000000-0005-0000-0000-00002D6F0000}"/>
    <cellStyle name="Normal 76 5 2 3 2" xfId="9607" xr:uid="{00000000-0005-0000-0000-00002E6F0000}"/>
    <cellStyle name="Normal 76 5 2 3 2 2" xfId="18781" xr:uid="{00000000-0005-0000-0000-00002F6F0000}"/>
    <cellStyle name="Normal 76 5 2 3 2 2 2" xfId="35355" xr:uid="{00000000-0005-0000-0000-0000306F0000}"/>
    <cellStyle name="Normal 76 5 2 3 2 3" xfId="27308" xr:uid="{00000000-0005-0000-0000-0000316F0000}"/>
    <cellStyle name="Normal 76 5 2 3 3" xfId="15014" xr:uid="{00000000-0005-0000-0000-0000326F0000}"/>
    <cellStyle name="Normal 76 5 2 3 3 2" xfId="31564" xr:uid="{00000000-0005-0000-0000-0000336F0000}"/>
    <cellStyle name="Normal 76 5 2 3 4" xfId="23521" xr:uid="{00000000-0005-0000-0000-0000346F0000}"/>
    <cellStyle name="Normal 76 5 2 4" xfId="9608" xr:uid="{00000000-0005-0000-0000-0000356F0000}"/>
    <cellStyle name="Normal 76 5 2 4 2" xfId="18782" xr:uid="{00000000-0005-0000-0000-0000366F0000}"/>
    <cellStyle name="Normal 76 5 2 4 2 2" xfId="35356" xr:uid="{00000000-0005-0000-0000-0000376F0000}"/>
    <cellStyle name="Normal 76 5 2 4 3" xfId="27309" xr:uid="{00000000-0005-0000-0000-0000386F0000}"/>
    <cellStyle name="Normal 76 5 2 5" xfId="15011" xr:uid="{00000000-0005-0000-0000-0000396F0000}"/>
    <cellStyle name="Normal 76 5 2 5 2" xfId="31561" xr:uid="{00000000-0005-0000-0000-00003A6F0000}"/>
    <cellStyle name="Normal 76 5 2 6" xfId="23518" xr:uid="{00000000-0005-0000-0000-00003B6F0000}"/>
    <cellStyle name="Normal 76 5 3" xfId="5715" xr:uid="{00000000-0005-0000-0000-00003C6F0000}"/>
    <cellStyle name="Normal 76 5 3 2" xfId="5716" xr:uid="{00000000-0005-0000-0000-00003D6F0000}"/>
    <cellStyle name="Normal 76 5 3 2 2" xfId="9609" xr:uid="{00000000-0005-0000-0000-00003E6F0000}"/>
    <cellStyle name="Normal 76 5 3 2 2 2" xfId="18783" xr:uid="{00000000-0005-0000-0000-00003F6F0000}"/>
    <cellStyle name="Normal 76 5 3 2 2 2 2" xfId="35357" xr:uid="{00000000-0005-0000-0000-0000406F0000}"/>
    <cellStyle name="Normal 76 5 3 2 2 3" xfId="27310" xr:uid="{00000000-0005-0000-0000-0000416F0000}"/>
    <cellStyle name="Normal 76 5 3 2 3" xfId="15016" xr:uid="{00000000-0005-0000-0000-0000426F0000}"/>
    <cellStyle name="Normal 76 5 3 2 3 2" xfId="31566" xr:uid="{00000000-0005-0000-0000-0000436F0000}"/>
    <cellStyle name="Normal 76 5 3 2 4" xfId="23523" xr:uid="{00000000-0005-0000-0000-0000446F0000}"/>
    <cellStyle name="Normal 76 5 3 3" xfId="9610" xr:uid="{00000000-0005-0000-0000-0000456F0000}"/>
    <cellStyle name="Normal 76 5 3 3 2" xfId="18784" xr:uid="{00000000-0005-0000-0000-0000466F0000}"/>
    <cellStyle name="Normal 76 5 3 3 2 2" xfId="35358" xr:uid="{00000000-0005-0000-0000-0000476F0000}"/>
    <cellStyle name="Normal 76 5 3 3 3" xfId="27311" xr:uid="{00000000-0005-0000-0000-0000486F0000}"/>
    <cellStyle name="Normal 76 5 3 4" xfId="15015" xr:uid="{00000000-0005-0000-0000-0000496F0000}"/>
    <cellStyle name="Normal 76 5 3 4 2" xfId="31565" xr:uid="{00000000-0005-0000-0000-00004A6F0000}"/>
    <cellStyle name="Normal 76 5 3 5" xfId="23522" xr:uid="{00000000-0005-0000-0000-00004B6F0000}"/>
    <cellStyle name="Normal 76 5 4" xfId="5717" xr:uid="{00000000-0005-0000-0000-00004C6F0000}"/>
    <cellStyle name="Normal 76 5 4 2" xfId="9611" xr:uid="{00000000-0005-0000-0000-00004D6F0000}"/>
    <cellStyle name="Normal 76 5 4 2 2" xfId="18785" xr:uid="{00000000-0005-0000-0000-00004E6F0000}"/>
    <cellStyle name="Normal 76 5 4 2 2 2" xfId="35359" xr:uid="{00000000-0005-0000-0000-00004F6F0000}"/>
    <cellStyle name="Normal 76 5 4 2 3" xfId="27312" xr:uid="{00000000-0005-0000-0000-0000506F0000}"/>
    <cellStyle name="Normal 76 5 4 3" xfId="15017" xr:uid="{00000000-0005-0000-0000-0000516F0000}"/>
    <cellStyle name="Normal 76 5 4 3 2" xfId="31567" xr:uid="{00000000-0005-0000-0000-0000526F0000}"/>
    <cellStyle name="Normal 76 5 4 4" xfId="23524" xr:uid="{00000000-0005-0000-0000-0000536F0000}"/>
    <cellStyle name="Normal 76 5 5" xfId="9612" xr:uid="{00000000-0005-0000-0000-0000546F0000}"/>
    <cellStyle name="Normal 76 5 5 2" xfId="18786" xr:uid="{00000000-0005-0000-0000-0000556F0000}"/>
    <cellStyle name="Normal 76 5 5 2 2" xfId="35360" xr:uid="{00000000-0005-0000-0000-0000566F0000}"/>
    <cellStyle name="Normal 76 5 5 3" xfId="27313" xr:uid="{00000000-0005-0000-0000-0000576F0000}"/>
    <cellStyle name="Normal 76 5 6" xfId="15010" xr:uid="{00000000-0005-0000-0000-0000586F0000}"/>
    <cellStyle name="Normal 76 5 6 2" xfId="31560" xr:uid="{00000000-0005-0000-0000-0000596F0000}"/>
    <cellStyle name="Normal 76 5 7" xfId="23517" xr:uid="{00000000-0005-0000-0000-00005A6F0000}"/>
    <cellStyle name="Normal 76 6" xfId="5718" xr:uid="{00000000-0005-0000-0000-00005B6F0000}"/>
    <cellStyle name="Normal 76 6 2" xfId="5719" xr:uid="{00000000-0005-0000-0000-00005C6F0000}"/>
    <cellStyle name="Normal 76 6 2 2" xfId="5720" xr:uid="{00000000-0005-0000-0000-00005D6F0000}"/>
    <cellStyle name="Normal 76 6 2 2 2" xfId="9613" xr:uid="{00000000-0005-0000-0000-00005E6F0000}"/>
    <cellStyle name="Normal 76 6 2 2 2 2" xfId="18787" xr:uid="{00000000-0005-0000-0000-00005F6F0000}"/>
    <cellStyle name="Normal 76 6 2 2 2 2 2" xfId="35361" xr:uid="{00000000-0005-0000-0000-0000606F0000}"/>
    <cellStyle name="Normal 76 6 2 2 2 3" xfId="27314" xr:uid="{00000000-0005-0000-0000-0000616F0000}"/>
    <cellStyle name="Normal 76 6 2 2 3" xfId="15020" xr:uid="{00000000-0005-0000-0000-0000626F0000}"/>
    <cellStyle name="Normal 76 6 2 2 3 2" xfId="31570" xr:uid="{00000000-0005-0000-0000-0000636F0000}"/>
    <cellStyle name="Normal 76 6 2 2 4" xfId="23527" xr:uid="{00000000-0005-0000-0000-0000646F0000}"/>
    <cellStyle name="Normal 76 6 2 3" xfId="9614" xr:uid="{00000000-0005-0000-0000-0000656F0000}"/>
    <cellStyle name="Normal 76 6 2 3 2" xfId="18788" xr:uid="{00000000-0005-0000-0000-0000666F0000}"/>
    <cellStyle name="Normal 76 6 2 3 2 2" xfId="35362" xr:uid="{00000000-0005-0000-0000-0000676F0000}"/>
    <cellStyle name="Normal 76 6 2 3 3" xfId="27315" xr:uid="{00000000-0005-0000-0000-0000686F0000}"/>
    <cellStyle name="Normal 76 6 2 4" xfId="15019" xr:uid="{00000000-0005-0000-0000-0000696F0000}"/>
    <cellStyle name="Normal 76 6 2 4 2" xfId="31569" xr:uid="{00000000-0005-0000-0000-00006A6F0000}"/>
    <cellStyle name="Normal 76 6 2 5" xfId="23526" xr:uid="{00000000-0005-0000-0000-00006B6F0000}"/>
    <cellStyle name="Normal 76 6 3" xfId="5721" xr:uid="{00000000-0005-0000-0000-00006C6F0000}"/>
    <cellStyle name="Normal 76 6 3 2" xfId="9615" xr:uid="{00000000-0005-0000-0000-00006D6F0000}"/>
    <cellStyle name="Normal 76 6 3 2 2" xfId="18789" xr:uid="{00000000-0005-0000-0000-00006E6F0000}"/>
    <cellStyle name="Normal 76 6 3 2 2 2" xfId="35363" xr:uid="{00000000-0005-0000-0000-00006F6F0000}"/>
    <cellStyle name="Normal 76 6 3 2 3" xfId="27316" xr:uid="{00000000-0005-0000-0000-0000706F0000}"/>
    <cellStyle name="Normal 76 6 3 3" xfId="15021" xr:uid="{00000000-0005-0000-0000-0000716F0000}"/>
    <cellStyle name="Normal 76 6 3 3 2" xfId="31571" xr:uid="{00000000-0005-0000-0000-0000726F0000}"/>
    <cellStyle name="Normal 76 6 3 4" xfId="23528" xr:uid="{00000000-0005-0000-0000-0000736F0000}"/>
    <cellStyle name="Normal 76 6 4" xfId="9616" xr:uid="{00000000-0005-0000-0000-0000746F0000}"/>
    <cellStyle name="Normal 76 6 4 2" xfId="18790" xr:uid="{00000000-0005-0000-0000-0000756F0000}"/>
    <cellStyle name="Normal 76 6 4 2 2" xfId="35364" xr:uid="{00000000-0005-0000-0000-0000766F0000}"/>
    <cellStyle name="Normal 76 6 4 3" xfId="27317" xr:uid="{00000000-0005-0000-0000-0000776F0000}"/>
    <cellStyle name="Normal 76 6 5" xfId="15018" xr:uid="{00000000-0005-0000-0000-0000786F0000}"/>
    <cellStyle name="Normal 76 6 5 2" xfId="31568" xr:uid="{00000000-0005-0000-0000-0000796F0000}"/>
    <cellStyle name="Normal 76 6 6" xfId="23525" xr:uid="{00000000-0005-0000-0000-00007A6F0000}"/>
    <cellStyle name="Normal 76 7" xfId="5722" xr:uid="{00000000-0005-0000-0000-00007B6F0000}"/>
    <cellStyle name="Normal 76 7 2" xfId="5723" xr:uid="{00000000-0005-0000-0000-00007C6F0000}"/>
    <cellStyle name="Normal 76 7 2 2" xfId="9617" xr:uid="{00000000-0005-0000-0000-00007D6F0000}"/>
    <cellStyle name="Normal 76 7 2 2 2" xfId="18791" xr:uid="{00000000-0005-0000-0000-00007E6F0000}"/>
    <cellStyle name="Normal 76 7 2 2 2 2" xfId="35365" xr:uid="{00000000-0005-0000-0000-00007F6F0000}"/>
    <cellStyle name="Normal 76 7 2 2 3" xfId="27318" xr:uid="{00000000-0005-0000-0000-0000806F0000}"/>
    <cellStyle name="Normal 76 7 2 3" xfId="15023" xr:uid="{00000000-0005-0000-0000-0000816F0000}"/>
    <cellStyle name="Normal 76 7 2 3 2" xfId="31573" xr:uid="{00000000-0005-0000-0000-0000826F0000}"/>
    <cellStyle name="Normal 76 7 2 4" xfId="23530" xr:uid="{00000000-0005-0000-0000-0000836F0000}"/>
    <cellStyle name="Normal 76 7 3" xfId="9618" xr:uid="{00000000-0005-0000-0000-0000846F0000}"/>
    <cellStyle name="Normal 76 7 3 2" xfId="18792" xr:uid="{00000000-0005-0000-0000-0000856F0000}"/>
    <cellStyle name="Normal 76 7 3 2 2" xfId="35366" xr:uid="{00000000-0005-0000-0000-0000866F0000}"/>
    <cellStyle name="Normal 76 7 3 3" xfId="27319" xr:uid="{00000000-0005-0000-0000-0000876F0000}"/>
    <cellStyle name="Normal 76 7 4" xfId="15022" xr:uid="{00000000-0005-0000-0000-0000886F0000}"/>
    <cellStyle name="Normal 76 7 4 2" xfId="31572" xr:uid="{00000000-0005-0000-0000-0000896F0000}"/>
    <cellStyle name="Normal 76 7 5" xfId="23529" xr:uid="{00000000-0005-0000-0000-00008A6F0000}"/>
    <cellStyle name="Normal 76 8" xfId="5724" xr:uid="{00000000-0005-0000-0000-00008B6F0000}"/>
    <cellStyle name="Normal 76 8 2" xfId="9619" xr:uid="{00000000-0005-0000-0000-00008C6F0000}"/>
    <cellStyle name="Normal 76 8 2 2" xfId="18793" xr:uid="{00000000-0005-0000-0000-00008D6F0000}"/>
    <cellStyle name="Normal 76 8 2 2 2" xfId="35367" xr:uid="{00000000-0005-0000-0000-00008E6F0000}"/>
    <cellStyle name="Normal 76 8 2 3" xfId="27320" xr:uid="{00000000-0005-0000-0000-00008F6F0000}"/>
    <cellStyle name="Normal 76 8 3" xfId="15024" xr:uid="{00000000-0005-0000-0000-0000906F0000}"/>
    <cellStyle name="Normal 76 8 3 2" xfId="31574" xr:uid="{00000000-0005-0000-0000-0000916F0000}"/>
    <cellStyle name="Normal 76 8 4" xfId="23531" xr:uid="{00000000-0005-0000-0000-0000926F0000}"/>
    <cellStyle name="Normal 76 9" xfId="9620" xr:uid="{00000000-0005-0000-0000-0000936F0000}"/>
    <cellStyle name="Normal 76 9 2" xfId="18794" xr:uid="{00000000-0005-0000-0000-0000946F0000}"/>
    <cellStyle name="Normal 76 9 2 2" xfId="35368" xr:uid="{00000000-0005-0000-0000-0000956F0000}"/>
    <cellStyle name="Normal 76 9 3" xfId="27321" xr:uid="{00000000-0005-0000-0000-0000966F0000}"/>
    <cellStyle name="Normal 77" xfId="5725" xr:uid="{00000000-0005-0000-0000-0000976F0000}"/>
    <cellStyle name="Normal 77 10" xfId="15025" xr:uid="{00000000-0005-0000-0000-0000986F0000}"/>
    <cellStyle name="Normal 77 10 2" xfId="31575" xr:uid="{00000000-0005-0000-0000-0000996F0000}"/>
    <cellStyle name="Normal 77 11" xfId="23532" xr:uid="{00000000-0005-0000-0000-00009A6F0000}"/>
    <cellStyle name="Normal 77 2" xfId="5726" xr:uid="{00000000-0005-0000-0000-00009B6F0000}"/>
    <cellStyle name="Normal 77 2 2" xfId="5727" xr:uid="{00000000-0005-0000-0000-00009C6F0000}"/>
    <cellStyle name="Normal 77 2 3" xfId="15026" xr:uid="{00000000-0005-0000-0000-00009D6F0000}"/>
    <cellStyle name="Normal 77 2 3 2" xfId="31576" xr:uid="{00000000-0005-0000-0000-00009E6F0000}"/>
    <cellStyle name="Normal 77 2 4" xfId="23533" xr:uid="{00000000-0005-0000-0000-00009F6F0000}"/>
    <cellStyle name="Normal 77 3" xfId="5728" xr:uid="{00000000-0005-0000-0000-0000A06F0000}"/>
    <cellStyle name="Normal 77 3 2" xfId="5729" xr:uid="{00000000-0005-0000-0000-0000A16F0000}"/>
    <cellStyle name="Normal 77 3 2 2" xfId="5730" xr:uid="{00000000-0005-0000-0000-0000A26F0000}"/>
    <cellStyle name="Normal 77 3 2 2 2" xfId="5731" xr:uid="{00000000-0005-0000-0000-0000A36F0000}"/>
    <cellStyle name="Normal 77 3 2 2 2 2" xfId="9621" xr:uid="{00000000-0005-0000-0000-0000A46F0000}"/>
    <cellStyle name="Normal 77 3 2 2 2 2 2" xfId="18795" xr:uid="{00000000-0005-0000-0000-0000A56F0000}"/>
    <cellStyle name="Normal 77 3 2 2 2 2 2 2" xfId="35369" xr:uid="{00000000-0005-0000-0000-0000A66F0000}"/>
    <cellStyle name="Normal 77 3 2 2 2 2 3" xfId="27322" xr:uid="{00000000-0005-0000-0000-0000A76F0000}"/>
    <cellStyle name="Normal 77 3 2 2 2 3" xfId="15029" xr:uid="{00000000-0005-0000-0000-0000A86F0000}"/>
    <cellStyle name="Normal 77 3 2 2 2 3 2" xfId="31579" xr:uid="{00000000-0005-0000-0000-0000A96F0000}"/>
    <cellStyle name="Normal 77 3 2 2 2 4" xfId="23536" xr:uid="{00000000-0005-0000-0000-0000AA6F0000}"/>
    <cellStyle name="Normal 77 3 2 2 3" xfId="9622" xr:uid="{00000000-0005-0000-0000-0000AB6F0000}"/>
    <cellStyle name="Normal 77 3 2 2 3 2" xfId="18796" xr:uid="{00000000-0005-0000-0000-0000AC6F0000}"/>
    <cellStyle name="Normal 77 3 2 2 3 2 2" xfId="35370" xr:uid="{00000000-0005-0000-0000-0000AD6F0000}"/>
    <cellStyle name="Normal 77 3 2 2 3 3" xfId="27323" xr:uid="{00000000-0005-0000-0000-0000AE6F0000}"/>
    <cellStyle name="Normal 77 3 2 2 4" xfId="15028" xr:uid="{00000000-0005-0000-0000-0000AF6F0000}"/>
    <cellStyle name="Normal 77 3 2 2 4 2" xfId="31578" xr:uid="{00000000-0005-0000-0000-0000B06F0000}"/>
    <cellStyle name="Normal 77 3 2 2 5" xfId="23535" xr:uid="{00000000-0005-0000-0000-0000B16F0000}"/>
    <cellStyle name="Normal 77 3 2 3" xfId="5732" xr:uid="{00000000-0005-0000-0000-0000B26F0000}"/>
    <cellStyle name="Normal 77 3 2 3 2" xfId="9623" xr:uid="{00000000-0005-0000-0000-0000B36F0000}"/>
    <cellStyle name="Normal 77 3 2 3 2 2" xfId="18797" xr:uid="{00000000-0005-0000-0000-0000B46F0000}"/>
    <cellStyle name="Normal 77 3 2 3 2 2 2" xfId="35371" xr:uid="{00000000-0005-0000-0000-0000B56F0000}"/>
    <cellStyle name="Normal 77 3 2 3 2 3" xfId="27324" xr:uid="{00000000-0005-0000-0000-0000B66F0000}"/>
    <cellStyle name="Normal 77 3 2 3 3" xfId="15030" xr:uid="{00000000-0005-0000-0000-0000B76F0000}"/>
    <cellStyle name="Normal 77 3 2 3 3 2" xfId="31580" xr:uid="{00000000-0005-0000-0000-0000B86F0000}"/>
    <cellStyle name="Normal 77 3 2 3 4" xfId="23537" xr:uid="{00000000-0005-0000-0000-0000B96F0000}"/>
    <cellStyle name="Normal 77 3 2 4" xfId="9624" xr:uid="{00000000-0005-0000-0000-0000BA6F0000}"/>
    <cellStyle name="Normal 77 3 2 4 2" xfId="18798" xr:uid="{00000000-0005-0000-0000-0000BB6F0000}"/>
    <cellStyle name="Normal 77 3 2 4 2 2" xfId="35372" xr:uid="{00000000-0005-0000-0000-0000BC6F0000}"/>
    <cellStyle name="Normal 77 3 2 4 3" xfId="27325" xr:uid="{00000000-0005-0000-0000-0000BD6F0000}"/>
    <cellStyle name="Normal 77 3 2 5" xfId="15027" xr:uid="{00000000-0005-0000-0000-0000BE6F0000}"/>
    <cellStyle name="Normal 77 3 2 5 2" xfId="31577" xr:uid="{00000000-0005-0000-0000-0000BF6F0000}"/>
    <cellStyle name="Normal 77 3 2 6" xfId="23534" xr:uid="{00000000-0005-0000-0000-0000C06F0000}"/>
    <cellStyle name="Normal 77 3 3" xfId="5733" xr:uid="{00000000-0005-0000-0000-0000C16F0000}"/>
    <cellStyle name="Normal 77 3 3 2" xfId="5734" xr:uid="{00000000-0005-0000-0000-0000C26F0000}"/>
    <cellStyle name="Normal 77 3 3 2 2" xfId="9625" xr:uid="{00000000-0005-0000-0000-0000C36F0000}"/>
    <cellStyle name="Normal 77 3 3 2 2 2" xfId="18799" xr:uid="{00000000-0005-0000-0000-0000C46F0000}"/>
    <cellStyle name="Normal 77 3 3 2 2 2 2" xfId="35373" xr:uid="{00000000-0005-0000-0000-0000C56F0000}"/>
    <cellStyle name="Normal 77 3 3 2 2 3" xfId="27326" xr:uid="{00000000-0005-0000-0000-0000C66F0000}"/>
    <cellStyle name="Normal 77 3 3 2 3" xfId="15032" xr:uid="{00000000-0005-0000-0000-0000C76F0000}"/>
    <cellStyle name="Normal 77 3 3 2 3 2" xfId="31582" xr:uid="{00000000-0005-0000-0000-0000C86F0000}"/>
    <cellStyle name="Normal 77 3 3 2 4" xfId="23539" xr:uid="{00000000-0005-0000-0000-0000C96F0000}"/>
    <cellStyle name="Normal 77 3 3 3" xfId="9626" xr:uid="{00000000-0005-0000-0000-0000CA6F0000}"/>
    <cellStyle name="Normal 77 3 3 3 2" xfId="18800" xr:uid="{00000000-0005-0000-0000-0000CB6F0000}"/>
    <cellStyle name="Normal 77 3 3 3 2 2" xfId="35374" xr:uid="{00000000-0005-0000-0000-0000CC6F0000}"/>
    <cellStyle name="Normal 77 3 3 3 3" xfId="27327" xr:uid="{00000000-0005-0000-0000-0000CD6F0000}"/>
    <cellStyle name="Normal 77 3 3 4" xfId="15031" xr:uid="{00000000-0005-0000-0000-0000CE6F0000}"/>
    <cellStyle name="Normal 77 3 3 4 2" xfId="31581" xr:uid="{00000000-0005-0000-0000-0000CF6F0000}"/>
    <cellStyle name="Normal 77 3 3 5" xfId="23538" xr:uid="{00000000-0005-0000-0000-0000D06F0000}"/>
    <cellStyle name="Normal 77 3 4" xfId="5735" xr:uid="{00000000-0005-0000-0000-0000D16F0000}"/>
    <cellStyle name="Normal 77 3 4 2" xfId="9627" xr:uid="{00000000-0005-0000-0000-0000D26F0000}"/>
    <cellStyle name="Normal 77 3 4 2 2" xfId="18801" xr:uid="{00000000-0005-0000-0000-0000D36F0000}"/>
    <cellStyle name="Normal 77 3 4 2 2 2" xfId="35375" xr:uid="{00000000-0005-0000-0000-0000D46F0000}"/>
    <cellStyle name="Normal 77 3 4 2 3" xfId="27328" xr:uid="{00000000-0005-0000-0000-0000D56F0000}"/>
    <cellStyle name="Normal 77 3 4 3" xfId="15033" xr:uid="{00000000-0005-0000-0000-0000D66F0000}"/>
    <cellStyle name="Normal 77 3 4 3 2" xfId="31583" xr:uid="{00000000-0005-0000-0000-0000D76F0000}"/>
    <cellStyle name="Normal 77 3 4 4" xfId="23540" xr:uid="{00000000-0005-0000-0000-0000D86F0000}"/>
    <cellStyle name="Normal 77 3 5" xfId="5736" xr:uid="{00000000-0005-0000-0000-0000D96F0000}"/>
    <cellStyle name="Normal 77 3 5 2" xfId="15034" xr:uid="{00000000-0005-0000-0000-0000DA6F0000}"/>
    <cellStyle name="Normal 77 3 5 2 2" xfId="31584" xr:uid="{00000000-0005-0000-0000-0000DB6F0000}"/>
    <cellStyle name="Normal 77 3 5 3" xfId="23541" xr:uid="{00000000-0005-0000-0000-0000DC6F0000}"/>
    <cellStyle name="Normal 77 4" xfId="5737" xr:uid="{00000000-0005-0000-0000-0000DD6F0000}"/>
    <cellStyle name="Normal 77 4 2" xfId="5738" xr:uid="{00000000-0005-0000-0000-0000DE6F0000}"/>
    <cellStyle name="Normal 77 4 2 2" xfId="5739" xr:uid="{00000000-0005-0000-0000-0000DF6F0000}"/>
    <cellStyle name="Normal 77 4 2 2 2" xfId="5740" xr:uid="{00000000-0005-0000-0000-0000E06F0000}"/>
    <cellStyle name="Normal 77 4 2 2 2 2" xfId="9628" xr:uid="{00000000-0005-0000-0000-0000E16F0000}"/>
    <cellStyle name="Normal 77 4 2 2 2 2 2" xfId="18802" xr:uid="{00000000-0005-0000-0000-0000E26F0000}"/>
    <cellStyle name="Normal 77 4 2 2 2 2 2 2" xfId="35376" xr:uid="{00000000-0005-0000-0000-0000E36F0000}"/>
    <cellStyle name="Normal 77 4 2 2 2 2 3" xfId="27329" xr:uid="{00000000-0005-0000-0000-0000E46F0000}"/>
    <cellStyle name="Normal 77 4 2 2 2 3" xfId="15038" xr:uid="{00000000-0005-0000-0000-0000E56F0000}"/>
    <cellStyle name="Normal 77 4 2 2 2 3 2" xfId="31588" xr:uid="{00000000-0005-0000-0000-0000E66F0000}"/>
    <cellStyle name="Normal 77 4 2 2 2 4" xfId="23545" xr:uid="{00000000-0005-0000-0000-0000E76F0000}"/>
    <cellStyle name="Normal 77 4 2 2 3" xfId="9629" xr:uid="{00000000-0005-0000-0000-0000E86F0000}"/>
    <cellStyle name="Normal 77 4 2 2 3 2" xfId="18803" xr:uid="{00000000-0005-0000-0000-0000E96F0000}"/>
    <cellStyle name="Normal 77 4 2 2 3 2 2" xfId="35377" xr:uid="{00000000-0005-0000-0000-0000EA6F0000}"/>
    <cellStyle name="Normal 77 4 2 2 3 3" xfId="27330" xr:uid="{00000000-0005-0000-0000-0000EB6F0000}"/>
    <cellStyle name="Normal 77 4 2 2 4" xfId="15037" xr:uid="{00000000-0005-0000-0000-0000EC6F0000}"/>
    <cellStyle name="Normal 77 4 2 2 4 2" xfId="31587" xr:uid="{00000000-0005-0000-0000-0000ED6F0000}"/>
    <cellStyle name="Normal 77 4 2 2 5" xfId="23544" xr:uid="{00000000-0005-0000-0000-0000EE6F0000}"/>
    <cellStyle name="Normal 77 4 2 3" xfId="5741" xr:uid="{00000000-0005-0000-0000-0000EF6F0000}"/>
    <cellStyle name="Normal 77 4 2 3 2" xfId="9630" xr:uid="{00000000-0005-0000-0000-0000F06F0000}"/>
    <cellStyle name="Normal 77 4 2 3 2 2" xfId="18804" xr:uid="{00000000-0005-0000-0000-0000F16F0000}"/>
    <cellStyle name="Normal 77 4 2 3 2 2 2" xfId="35378" xr:uid="{00000000-0005-0000-0000-0000F26F0000}"/>
    <cellStyle name="Normal 77 4 2 3 2 3" xfId="27331" xr:uid="{00000000-0005-0000-0000-0000F36F0000}"/>
    <cellStyle name="Normal 77 4 2 3 3" xfId="15039" xr:uid="{00000000-0005-0000-0000-0000F46F0000}"/>
    <cellStyle name="Normal 77 4 2 3 3 2" xfId="31589" xr:uid="{00000000-0005-0000-0000-0000F56F0000}"/>
    <cellStyle name="Normal 77 4 2 3 4" xfId="23546" xr:uid="{00000000-0005-0000-0000-0000F66F0000}"/>
    <cellStyle name="Normal 77 4 2 4" xfId="9631" xr:uid="{00000000-0005-0000-0000-0000F76F0000}"/>
    <cellStyle name="Normal 77 4 2 4 2" xfId="18805" xr:uid="{00000000-0005-0000-0000-0000F86F0000}"/>
    <cellStyle name="Normal 77 4 2 4 2 2" xfId="35379" xr:uid="{00000000-0005-0000-0000-0000F96F0000}"/>
    <cellStyle name="Normal 77 4 2 4 3" xfId="27332" xr:uid="{00000000-0005-0000-0000-0000FA6F0000}"/>
    <cellStyle name="Normal 77 4 2 5" xfId="15036" xr:uid="{00000000-0005-0000-0000-0000FB6F0000}"/>
    <cellStyle name="Normal 77 4 2 5 2" xfId="31586" xr:uid="{00000000-0005-0000-0000-0000FC6F0000}"/>
    <cellStyle name="Normal 77 4 2 6" xfId="23543" xr:uid="{00000000-0005-0000-0000-0000FD6F0000}"/>
    <cellStyle name="Normal 77 4 3" xfId="5742" xr:uid="{00000000-0005-0000-0000-0000FE6F0000}"/>
    <cellStyle name="Normal 77 4 3 2" xfId="5743" xr:uid="{00000000-0005-0000-0000-0000FF6F0000}"/>
    <cellStyle name="Normal 77 4 3 2 2" xfId="9632" xr:uid="{00000000-0005-0000-0000-000000700000}"/>
    <cellStyle name="Normal 77 4 3 2 2 2" xfId="18806" xr:uid="{00000000-0005-0000-0000-000001700000}"/>
    <cellStyle name="Normal 77 4 3 2 2 2 2" xfId="35380" xr:uid="{00000000-0005-0000-0000-000002700000}"/>
    <cellStyle name="Normal 77 4 3 2 2 3" xfId="27333" xr:uid="{00000000-0005-0000-0000-000003700000}"/>
    <cellStyle name="Normal 77 4 3 2 3" xfId="15041" xr:uid="{00000000-0005-0000-0000-000004700000}"/>
    <cellStyle name="Normal 77 4 3 2 3 2" xfId="31591" xr:uid="{00000000-0005-0000-0000-000005700000}"/>
    <cellStyle name="Normal 77 4 3 2 4" xfId="23548" xr:uid="{00000000-0005-0000-0000-000006700000}"/>
    <cellStyle name="Normal 77 4 3 3" xfId="9633" xr:uid="{00000000-0005-0000-0000-000007700000}"/>
    <cellStyle name="Normal 77 4 3 3 2" xfId="18807" xr:uid="{00000000-0005-0000-0000-000008700000}"/>
    <cellStyle name="Normal 77 4 3 3 2 2" xfId="35381" xr:uid="{00000000-0005-0000-0000-000009700000}"/>
    <cellStyle name="Normal 77 4 3 3 3" xfId="27334" xr:uid="{00000000-0005-0000-0000-00000A700000}"/>
    <cellStyle name="Normal 77 4 3 4" xfId="15040" xr:uid="{00000000-0005-0000-0000-00000B700000}"/>
    <cellStyle name="Normal 77 4 3 4 2" xfId="31590" xr:uid="{00000000-0005-0000-0000-00000C700000}"/>
    <cellStyle name="Normal 77 4 3 5" xfId="23547" xr:uid="{00000000-0005-0000-0000-00000D700000}"/>
    <cellStyle name="Normal 77 4 4" xfId="5744" xr:uid="{00000000-0005-0000-0000-00000E700000}"/>
    <cellStyle name="Normal 77 4 4 2" xfId="9634" xr:uid="{00000000-0005-0000-0000-00000F700000}"/>
    <cellStyle name="Normal 77 4 4 2 2" xfId="18808" xr:uid="{00000000-0005-0000-0000-000010700000}"/>
    <cellStyle name="Normal 77 4 4 2 2 2" xfId="35382" xr:uid="{00000000-0005-0000-0000-000011700000}"/>
    <cellStyle name="Normal 77 4 4 2 3" xfId="27335" xr:uid="{00000000-0005-0000-0000-000012700000}"/>
    <cellStyle name="Normal 77 4 4 3" xfId="15042" xr:uid="{00000000-0005-0000-0000-000013700000}"/>
    <cellStyle name="Normal 77 4 4 3 2" xfId="31592" xr:uid="{00000000-0005-0000-0000-000014700000}"/>
    <cellStyle name="Normal 77 4 4 4" xfId="23549" xr:uid="{00000000-0005-0000-0000-000015700000}"/>
    <cellStyle name="Normal 77 4 5" xfId="9635" xr:uid="{00000000-0005-0000-0000-000016700000}"/>
    <cellStyle name="Normal 77 4 5 2" xfId="18809" xr:uid="{00000000-0005-0000-0000-000017700000}"/>
    <cellStyle name="Normal 77 4 5 2 2" xfId="35383" xr:uid="{00000000-0005-0000-0000-000018700000}"/>
    <cellStyle name="Normal 77 4 5 3" xfId="27336" xr:uid="{00000000-0005-0000-0000-000019700000}"/>
    <cellStyle name="Normal 77 4 6" xfId="15035" xr:uid="{00000000-0005-0000-0000-00001A700000}"/>
    <cellStyle name="Normal 77 4 6 2" xfId="31585" xr:uid="{00000000-0005-0000-0000-00001B700000}"/>
    <cellStyle name="Normal 77 4 7" xfId="23542" xr:uid="{00000000-0005-0000-0000-00001C700000}"/>
    <cellStyle name="Normal 77 5" xfId="5745" xr:uid="{00000000-0005-0000-0000-00001D700000}"/>
    <cellStyle name="Normal 77 5 2" xfId="5746" xr:uid="{00000000-0005-0000-0000-00001E700000}"/>
    <cellStyle name="Normal 77 5 2 2" xfId="5747" xr:uid="{00000000-0005-0000-0000-00001F700000}"/>
    <cellStyle name="Normal 77 5 2 2 2" xfId="5748" xr:uid="{00000000-0005-0000-0000-000020700000}"/>
    <cellStyle name="Normal 77 5 2 2 2 2" xfId="9636" xr:uid="{00000000-0005-0000-0000-000021700000}"/>
    <cellStyle name="Normal 77 5 2 2 2 2 2" xfId="18810" xr:uid="{00000000-0005-0000-0000-000022700000}"/>
    <cellStyle name="Normal 77 5 2 2 2 2 2 2" xfId="35384" xr:uid="{00000000-0005-0000-0000-000023700000}"/>
    <cellStyle name="Normal 77 5 2 2 2 2 3" xfId="27337" xr:uid="{00000000-0005-0000-0000-000024700000}"/>
    <cellStyle name="Normal 77 5 2 2 2 3" xfId="15046" xr:uid="{00000000-0005-0000-0000-000025700000}"/>
    <cellStyle name="Normal 77 5 2 2 2 3 2" xfId="31596" xr:uid="{00000000-0005-0000-0000-000026700000}"/>
    <cellStyle name="Normal 77 5 2 2 2 4" xfId="23553" xr:uid="{00000000-0005-0000-0000-000027700000}"/>
    <cellStyle name="Normal 77 5 2 2 3" xfId="9637" xr:uid="{00000000-0005-0000-0000-000028700000}"/>
    <cellStyle name="Normal 77 5 2 2 3 2" xfId="18811" xr:uid="{00000000-0005-0000-0000-000029700000}"/>
    <cellStyle name="Normal 77 5 2 2 3 2 2" xfId="35385" xr:uid="{00000000-0005-0000-0000-00002A700000}"/>
    <cellStyle name="Normal 77 5 2 2 3 3" xfId="27338" xr:uid="{00000000-0005-0000-0000-00002B700000}"/>
    <cellStyle name="Normal 77 5 2 2 4" xfId="15045" xr:uid="{00000000-0005-0000-0000-00002C700000}"/>
    <cellStyle name="Normal 77 5 2 2 4 2" xfId="31595" xr:uid="{00000000-0005-0000-0000-00002D700000}"/>
    <cellStyle name="Normal 77 5 2 2 5" xfId="23552" xr:uid="{00000000-0005-0000-0000-00002E700000}"/>
    <cellStyle name="Normal 77 5 2 3" xfId="5749" xr:uid="{00000000-0005-0000-0000-00002F700000}"/>
    <cellStyle name="Normal 77 5 2 3 2" xfId="9638" xr:uid="{00000000-0005-0000-0000-000030700000}"/>
    <cellStyle name="Normal 77 5 2 3 2 2" xfId="18812" xr:uid="{00000000-0005-0000-0000-000031700000}"/>
    <cellStyle name="Normal 77 5 2 3 2 2 2" xfId="35386" xr:uid="{00000000-0005-0000-0000-000032700000}"/>
    <cellStyle name="Normal 77 5 2 3 2 3" xfId="27339" xr:uid="{00000000-0005-0000-0000-000033700000}"/>
    <cellStyle name="Normal 77 5 2 3 3" xfId="15047" xr:uid="{00000000-0005-0000-0000-000034700000}"/>
    <cellStyle name="Normal 77 5 2 3 3 2" xfId="31597" xr:uid="{00000000-0005-0000-0000-000035700000}"/>
    <cellStyle name="Normal 77 5 2 3 4" xfId="23554" xr:uid="{00000000-0005-0000-0000-000036700000}"/>
    <cellStyle name="Normal 77 5 2 4" xfId="9639" xr:uid="{00000000-0005-0000-0000-000037700000}"/>
    <cellStyle name="Normal 77 5 2 4 2" xfId="18813" xr:uid="{00000000-0005-0000-0000-000038700000}"/>
    <cellStyle name="Normal 77 5 2 4 2 2" xfId="35387" xr:uid="{00000000-0005-0000-0000-000039700000}"/>
    <cellStyle name="Normal 77 5 2 4 3" xfId="27340" xr:uid="{00000000-0005-0000-0000-00003A700000}"/>
    <cellStyle name="Normal 77 5 2 5" xfId="15044" xr:uid="{00000000-0005-0000-0000-00003B700000}"/>
    <cellStyle name="Normal 77 5 2 5 2" xfId="31594" xr:uid="{00000000-0005-0000-0000-00003C700000}"/>
    <cellStyle name="Normal 77 5 2 6" xfId="23551" xr:uid="{00000000-0005-0000-0000-00003D700000}"/>
    <cellStyle name="Normal 77 5 3" xfId="5750" xr:uid="{00000000-0005-0000-0000-00003E700000}"/>
    <cellStyle name="Normal 77 5 3 2" xfId="5751" xr:uid="{00000000-0005-0000-0000-00003F700000}"/>
    <cellStyle name="Normal 77 5 3 2 2" xfId="9640" xr:uid="{00000000-0005-0000-0000-000040700000}"/>
    <cellStyle name="Normal 77 5 3 2 2 2" xfId="18814" xr:uid="{00000000-0005-0000-0000-000041700000}"/>
    <cellStyle name="Normal 77 5 3 2 2 2 2" xfId="35388" xr:uid="{00000000-0005-0000-0000-000042700000}"/>
    <cellStyle name="Normal 77 5 3 2 2 3" xfId="27341" xr:uid="{00000000-0005-0000-0000-000043700000}"/>
    <cellStyle name="Normal 77 5 3 2 3" xfId="15049" xr:uid="{00000000-0005-0000-0000-000044700000}"/>
    <cellStyle name="Normal 77 5 3 2 3 2" xfId="31599" xr:uid="{00000000-0005-0000-0000-000045700000}"/>
    <cellStyle name="Normal 77 5 3 2 4" xfId="23556" xr:uid="{00000000-0005-0000-0000-000046700000}"/>
    <cellStyle name="Normal 77 5 3 3" xfId="9641" xr:uid="{00000000-0005-0000-0000-000047700000}"/>
    <cellStyle name="Normal 77 5 3 3 2" xfId="18815" xr:uid="{00000000-0005-0000-0000-000048700000}"/>
    <cellStyle name="Normal 77 5 3 3 2 2" xfId="35389" xr:uid="{00000000-0005-0000-0000-000049700000}"/>
    <cellStyle name="Normal 77 5 3 3 3" xfId="27342" xr:uid="{00000000-0005-0000-0000-00004A700000}"/>
    <cellStyle name="Normal 77 5 3 4" xfId="15048" xr:uid="{00000000-0005-0000-0000-00004B700000}"/>
    <cellStyle name="Normal 77 5 3 4 2" xfId="31598" xr:uid="{00000000-0005-0000-0000-00004C700000}"/>
    <cellStyle name="Normal 77 5 3 5" xfId="23555" xr:uid="{00000000-0005-0000-0000-00004D700000}"/>
    <cellStyle name="Normal 77 5 4" xfId="5752" xr:uid="{00000000-0005-0000-0000-00004E700000}"/>
    <cellStyle name="Normal 77 5 4 2" xfId="9642" xr:uid="{00000000-0005-0000-0000-00004F700000}"/>
    <cellStyle name="Normal 77 5 4 2 2" xfId="18816" xr:uid="{00000000-0005-0000-0000-000050700000}"/>
    <cellStyle name="Normal 77 5 4 2 2 2" xfId="35390" xr:uid="{00000000-0005-0000-0000-000051700000}"/>
    <cellStyle name="Normal 77 5 4 2 3" xfId="27343" xr:uid="{00000000-0005-0000-0000-000052700000}"/>
    <cellStyle name="Normal 77 5 4 3" xfId="15050" xr:uid="{00000000-0005-0000-0000-000053700000}"/>
    <cellStyle name="Normal 77 5 4 3 2" xfId="31600" xr:uid="{00000000-0005-0000-0000-000054700000}"/>
    <cellStyle name="Normal 77 5 4 4" xfId="23557" xr:uid="{00000000-0005-0000-0000-000055700000}"/>
    <cellStyle name="Normal 77 5 5" xfId="9643" xr:uid="{00000000-0005-0000-0000-000056700000}"/>
    <cellStyle name="Normal 77 5 5 2" xfId="18817" xr:uid="{00000000-0005-0000-0000-000057700000}"/>
    <cellStyle name="Normal 77 5 5 2 2" xfId="35391" xr:uid="{00000000-0005-0000-0000-000058700000}"/>
    <cellStyle name="Normal 77 5 5 3" xfId="27344" xr:uid="{00000000-0005-0000-0000-000059700000}"/>
    <cellStyle name="Normal 77 5 6" xfId="15043" xr:uid="{00000000-0005-0000-0000-00005A700000}"/>
    <cellStyle name="Normal 77 5 6 2" xfId="31593" xr:uid="{00000000-0005-0000-0000-00005B700000}"/>
    <cellStyle name="Normal 77 5 7" xfId="23550" xr:uid="{00000000-0005-0000-0000-00005C700000}"/>
    <cellStyle name="Normal 77 6" xfId="5753" xr:uid="{00000000-0005-0000-0000-00005D700000}"/>
    <cellStyle name="Normal 77 6 2" xfId="5754" xr:uid="{00000000-0005-0000-0000-00005E700000}"/>
    <cellStyle name="Normal 77 6 2 2" xfId="5755" xr:uid="{00000000-0005-0000-0000-00005F700000}"/>
    <cellStyle name="Normal 77 6 2 2 2" xfId="9644" xr:uid="{00000000-0005-0000-0000-000060700000}"/>
    <cellStyle name="Normal 77 6 2 2 2 2" xfId="18818" xr:uid="{00000000-0005-0000-0000-000061700000}"/>
    <cellStyle name="Normal 77 6 2 2 2 2 2" xfId="35392" xr:uid="{00000000-0005-0000-0000-000062700000}"/>
    <cellStyle name="Normal 77 6 2 2 2 3" xfId="27345" xr:uid="{00000000-0005-0000-0000-000063700000}"/>
    <cellStyle name="Normal 77 6 2 2 3" xfId="15053" xr:uid="{00000000-0005-0000-0000-000064700000}"/>
    <cellStyle name="Normal 77 6 2 2 3 2" xfId="31603" xr:uid="{00000000-0005-0000-0000-000065700000}"/>
    <cellStyle name="Normal 77 6 2 2 4" xfId="23560" xr:uid="{00000000-0005-0000-0000-000066700000}"/>
    <cellStyle name="Normal 77 6 2 3" xfId="9645" xr:uid="{00000000-0005-0000-0000-000067700000}"/>
    <cellStyle name="Normal 77 6 2 3 2" xfId="18819" xr:uid="{00000000-0005-0000-0000-000068700000}"/>
    <cellStyle name="Normal 77 6 2 3 2 2" xfId="35393" xr:uid="{00000000-0005-0000-0000-000069700000}"/>
    <cellStyle name="Normal 77 6 2 3 3" xfId="27346" xr:uid="{00000000-0005-0000-0000-00006A700000}"/>
    <cellStyle name="Normal 77 6 2 4" xfId="15052" xr:uid="{00000000-0005-0000-0000-00006B700000}"/>
    <cellStyle name="Normal 77 6 2 4 2" xfId="31602" xr:uid="{00000000-0005-0000-0000-00006C700000}"/>
    <cellStyle name="Normal 77 6 2 5" xfId="23559" xr:uid="{00000000-0005-0000-0000-00006D700000}"/>
    <cellStyle name="Normal 77 6 3" xfId="5756" xr:uid="{00000000-0005-0000-0000-00006E700000}"/>
    <cellStyle name="Normal 77 6 3 2" xfId="9646" xr:uid="{00000000-0005-0000-0000-00006F700000}"/>
    <cellStyle name="Normal 77 6 3 2 2" xfId="18820" xr:uid="{00000000-0005-0000-0000-000070700000}"/>
    <cellStyle name="Normal 77 6 3 2 2 2" xfId="35394" xr:uid="{00000000-0005-0000-0000-000071700000}"/>
    <cellStyle name="Normal 77 6 3 2 3" xfId="27347" xr:uid="{00000000-0005-0000-0000-000072700000}"/>
    <cellStyle name="Normal 77 6 3 3" xfId="15054" xr:uid="{00000000-0005-0000-0000-000073700000}"/>
    <cellStyle name="Normal 77 6 3 3 2" xfId="31604" xr:uid="{00000000-0005-0000-0000-000074700000}"/>
    <cellStyle name="Normal 77 6 3 4" xfId="23561" xr:uid="{00000000-0005-0000-0000-000075700000}"/>
    <cellStyle name="Normal 77 6 4" xfId="9647" xr:uid="{00000000-0005-0000-0000-000076700000}"/>
    <cellStyle name="Normal 77 6 4 2" xfId="18821" xr:uid="{00000000-0005-0000-0000-000077700000}"/>
    <cellStyle name="Normal 77 6 4 2 2" xfId="35395" xr:uid="{00000000-0005-0000-0000-000078700000}"/>
    <cellStyle name="Normal 77 6 4 3" xfId="27348" xr:uid="{00000000-0005-0000-0000-000079700000}"/>
    <cellStyle name="Normal 77 6 5" xfId="15051" xr:uid="{00000000-0005-0000-0000-00007A700000}"/>
    <cellStyle name="Normal 77 6 5 2" xfId="31601" xr:uid="{00000000-0005-0000-0000-00007B700000}"/>
    <cellStyle name="Normal 77 6 6" xfId="23558" xr:uid="{00000000-0005-0000-0000-00007C700000}"/>
    <cellStyle name="Normal 77 7" xfId="5757" xr:uid="{00000000-0005-0000-0000-00007D700000}"/>
    <cellStyle name="Normal 77 7 2" xfId="5758" xr:uid="{00000000-0005-0000-0000-00007E700000}"/>
    <cellStyle name="Normal 77 7 2 2" xfId="9648" xr:uid="{00000000-0005-0000-0000-00007F700000}"/>
    <cellStyle name="Normal 77 7 2 2 2" xfId="18822" xr:uid="{00000000-0005-0000-0000-000080700000}"/>
    <cellStyle name="Normal 77 7 2 2 2 2" xfId="35396" xr:uid="{00000000-0005-0000-0000-000081700000}"/>
    <cellStyle name="Normal 77 7 2 2 3" xfId="27349" xr:uid="{00000000-0005-0000-0000-000082700000}"/>
    <cellStyle name="Normal 77 7 2 3" xfId="15056" xr:uid="{00000000-0005-0000-0000-000083700000}"/>
    <cellStyle name="Normal 77 7 2 3 2" xfId="31606" xr:uid="{00000000-0005-0000-0000-000084700000}"/>
    <cellStyle name="Normal 77 7 2 4" xfId="23563" xr:uid="{00000000-0005-0000-0000-000085700000}"/>
    <cellStyle name="Normal 77 7 3" xfId="9649" xr:uid="{00000000-0005-0000-0000-000086700000}"/>
    <cellStyle name="Normal 77 7 3 2" xfId="18823" xr:uid="{00000000-0005-0000-0000-000087700000}"/>
    <cellStyle name="Normal 77 7 3 2 2" xfId="35397" xr:uid="{00000000-0005-0000-0000-000088700000}"/>
    <cellStyle name="Normal 77 7 3 3" xfId="27350" xr:uid="{00000000-0005-0000-0000-000089700000}"/>
    <cellStyle name="Normal 77 7 4" xfId="15055" xr:uid="{00000000-0005-0000-0000-00008A700000}"/>
    <cellStyle name="Normal 77 7 4 2" xfId="31605" xr:uid="{00000000-0005-0000-0000-00008B700000}"/>
    <cellStyle name="Normal 77 7 5" xfId="23562" xr:uid="{00000000-0005-0000-0000-00008C700000}"/>
    <cellStyle name="Normal 77 8" xfId="5759" xr:uid="{00000000-0005-0000-0000-00008D700000}"/>
    <cellStyle name="Normal 77 8 2" xfId="9650" xr:uid="{00000000-0005-0000-0000-00008E700000}"/>
    <cellStyle name="Normal 77 8 2 2" xfId="18824" xr:uid="{00000000-0005-0000-0000-00008F700000}"/>
    <cellStyle name="Normal 77 8 2 2 2" xfId="35398" xr:uid="{00000000-0005-0000-0000-000090700000}"/>
    <cellStyle name="Normal 77 8 2 3" xfId="27351" xr:uid="{00000000-0005-0000-0000-000091700000}"/>
    <cellStyle name="Normal 77 8 3" xfId="15057" xr:uid="{00000000-0005-0000-0000-000092700000}"/>
    <cellStyle name="Normal 77 8 3 2" xfId="31607" xr:uid="{00000000-0005-0000-0000-000093700000}"/>
    <cellStyle name="Normal 77 8 4" xfId="23564" xr:uid="{00000000-0005-0000-0000-000094700000}"/>
    <cellStyle name="Normal 77 9" xfId="9651" xr:uid="{00000000-0005-0000-0000-000095700000}"/>
    <cellStyle name="Normal 77 9 2" xfId="18825" xr:uid="{00000000-0005-0000-0000-000096700000}"/>
    <cellStyle name="Normal 77 9 2 2" xfId="35399" xr:uid="{00000000-0005-0000-0000-000097700000}"/>
    <cellStyle name="Normal 77 9 3" xfId="27352" xr:uid="{00000000-0005-0000-0000-000098700000}"/>
    <cellStyle name="Normal 78" xfId="5760" xr:uid="{00000000-0005-0000-0000-000099700000}"/>
    <cellStyle name="Normal 78 10" xfId="15058" xr:uid="{00000000-0005-0000-0000-00009A700000}"/>
    <cellStyle name="Normal 78 10 2" xfId="31608" xr:uid="{00000000-0005-0000-0000-00009B700000}"/>
    <cellStyle name="Normal 78 11" xfId="23565" xr:uid="{00000000-0005-0000-0000-00009C700000}"/>
    <cellStyle name="Normal 78 2" xfId="5761" xr:uid="{00000000-0005-0000-0000-00009D700000}"/>
    <cellStyle name="Normal 78 2 2" xfId="5762" xr:uid="{00000000-0005-0000-0000-00009E700000}"/>
    <cellStyle name="Normal 78 2 3" xfId="15059" xr:uid="{00000000-0005-0000-0000-00009F700000}"/>
    <cellStyle name="Normal 78 2 3 2" xfId="31609" xr:uid="{00000000-0005-0000-0000-0000A0700000}"/>
    <cellStyle name="Normal 78 2 4" xfId="23566" xr:uid="{00000000-0005-0000-0000-0000A1700000}"/>
    <cellStyle name="Normal 78 3" xfId="5763" xr:uid="{00000000-0005-0000-0000-0000A2700000}"/>
    <cellStyle name="Normal 78 3 2" xfId="5764" xr:uid="{00000000-0005-0000-0000-0000A3700000}"/>
    <cellStyle name="Normal 78 3 2 2" xfId="5765" xr:uid="{00000000-0005-0000-0000-0000A4700000}"/>
    <cellStyle name="Normal 78 3 2 2 2" xfId="5766" xr:uid="{00000000-0005-0000-0000-0000A5700000}"/>
    <cellStyle name="Normal 78 3 2 2 2 2" xfId="9652" xr:uid="{00000000-0005-0000-0000-0000A6700000}"/>
    <cellStyle name="Normal 78 3 2 2 2 2 2" xfId="18826" xr:uid="{00000000-0005-0000-0000-0000A7700000}"/>
    <cellStyle name="Normal 78 3 2 2 2 2 2 2" xfId="35400" xr:uid="{00000000-0005-0000-0000-0000A8700000}"/>
    <cellStyle name="Normal 78 3 2 2 2 2 3" xfId="27353" xr:uid="{00000000-0005-0000-0000-0000A9700000}"/>
    <cellStyle name="Normal 78 3 2 2 2 3" xfId="15062" xr:uid="{00000000-0005-0000-0000-0000AA700000}"/>
    <cellStyle name="Normal 78 3 2 2 2 3 2" xfId="31612" xr:uid="{00000000-0005-0000-0000-0000AB700000}"/>
    <cellStyle name="Normal 78 3 2 2 2 4" xfId="23569" xr:uid="{00000000-0005-0000-0000-0000AC700000}"/>
    <cellStyle name="Normal 78 3 2 2 3" xfId="9653" xr:uid="{00000000-0005-0000-0000-0000AD700000}"/>
    <cellStyle name="Normal 78 3 2 2 3 2" xfId="18827" xr:uid="{00000000-0005-0000-0000-0000AE700000}"/>
    <cellStyle name="Normal 78 3 2 2 3 2 2" xfId="35401" xr:uid="{00000000-0005-0000-0000-0000AF700000}"/>
    <cellStyle name="Normal 78 3 2 2 3 3" xfId="27354" xr:uid="{00000000-0005-0000-0000-0000B0700000}"/>
    <cellStyle name="Normal 78 3 2 2 4" xfId="15061" xr:uid="{00000000-0005-0000-0000-0000B1700000}"/>
    <cellStyle name="Normal 78 3 2 2 4 2" xfId="31611" xr:uid="{00000000-0005-0000-0000-0000B2700000}"/>
    <cellStyle name="Normal 78 3 2 2 5" xfId="23568" xr:uid="{00000000-0005-0000-0000-0000B3700000}"/>
    <cellStyle name="Normal 78 3 2 3" xfId="5767" xr:uid="{00000000-0005-0000-0000-0000B4700000}"/>
    <cellStyle name="Normal 78 3 2 3 2" xfId="9654" xr:uid="{00000000-0005-0000-0000-0000B5700000}"/>
    <cellStyle name="Normal 78 3 2 3 2 2" xfId="18828" xr:uid="{00000000-0005-0000-0000-0000B6700000}"/>
    <cellStyle name="Normal 78 3 2 3 2 2 2" xfId="35402" xr:uid="{00000000-0005-0000-0000-0000B7700000}"/>
    <cellStyle name="Normal 78 3 2 3 2 3" xfId="27355" xr:uid="{00000000-0005-0000-0000-0000B8700000}"/>
    <cellStyle name="Normal 78 3 2 3 3" xfId="15063" xr:uid="{00000000-0005-0000-0000-0000B9700000}"/>
    <cellStyle name="Normal 78 3 2 3 3 2" xfId="31613" xr:uid="{00000000-0005-0000-0000-0000BA700000}"/>
    <cellStyle name="Normal 78 3 2 3 4" xfId="23570" xr:uid="{00000000-0005-0000-0000-0000BB700000}"/>
    <cellStyle name="Normal 78 3 2 4" xfId="9655" xr:uid="{00000000-0005-0000-0000-0000BC700000}"/>
    <cellStyle name="Normal 78 3 2 4 2" xfId="18829" xr:uid="{00000000-0005-0000-0000-0000BD700000}"/>
    <cellStyle name="Normal 78 3 2 4 2 2" xfId="35403" xr:uid="{00000000-0005-0000-0000-0000BE700000}"/>
    <cellStyle name="Normal 78 3 2 4 3" xfId="27356" xr:uid="{00000000-0005-0000-0000-0000BF700000}"/>
    <cellStyle name="Normal 78 3 2 5" xfId="15060" xr:uid="{00000000-0005-0000-0000-0000C0700000}"/>
    <cellStyle name="Normal 78 3 2 5 2" xfId="31610" xr:uid="{00000000-0005-0000-0000-0000C1700000}"/>
    <cellStyle name="Normal 78 3 2 6" xfId="23567" xr:uid="{00000000-0005-0000-0000-0000C2700000}"/>
    <cellStyle name="Normal 78 3 3" xfId="5768" xr:uid="{00000000-0005-0000-0000-0000C3700000}"/>
    <cellStyle name="Normal 78 3 3 2" xfId="5769" xr:uid="{00000000-0005-0000-0000-0000C4700000}"/>
    <cellStyle name="Normal 78 3 3 2 2" xfId="9656" xr:uid="{00000000-0005-0000-0000-0000C5700000}"/>
    <cellStyle name="Normal 78 3 3 2 2 2" xfId="18830" xr:uid="{00000000-0005-0000-0000-0000C6700000}"/>
    <cellStyle name="Normal 78 3 3 2 2 2 2" xfId="35404" xr:uid="{00000000-0005-0000-0000-0000C7700000}"/>
    <cellStyle name="Normal 78 3 3 2 2 3" xfId="27357" xr:uid="{00000000-0005-0000-0000-0000C8700000}"/>
    <cellStyle name="Normal 78 3 3 2 3" xfId="15065" xr:uid="{00000000-0005-0000-0000-0000C9700000}"/>
    <cellStyle name="Normal 78 3 3 2 3 2" xfId="31615" xr:uid="{00000000-0005-0000-0000-0000CA700000}"/>
    <cellStyle name="Normal 78 3 3 2 4" xfId="23572" xr:uid="{00000000-0005-0000-0000-0000CB700000}"/>
    <cellStyle name="Normal 78 3 3 3" xfId="9657" xr:uid="{00000000-0005-0000-0000-0000CC700000}"/>
    <cellStyle name="Normal 78 3 3 3 2" xfId="18831" xr:uid="{00000000-0005-0000-0000-0000CD700000}"/>
    <cellStyle name="Normal 78 3 3 3 2 2" xfId="35405" xr:uid="{00000000-0005-0000-0000-0000CE700000}"/>
    <cellStyle name="Normal 78 3 3 3 3" xfId="27358" xr:uid="{00000000-0005-0000-0000-0000CF700000}"/>
    <cellStyle name="Normal 78 3 3 4" xfId="15064" xr:uid="{00000000-0005-0000-0000-0000D0700000}"/>
    <cellStyle name="Normal 78 3 3 4 2" xfId="31614" xr:uid="{00000000-0005-0000-0000-0000D1700000}"/>
    <cellStyle name="Normal 78 3 3 5" xfId="23571" xr:uid="{00000000-0005-0000-0000-0000D2700000}"/>
    <cellStyle name="Normal 78 3 4" xfId="5770" xr:uid="{00000000-0005-0000-0000-0000D3700000}"/>
    <cellStyle name="Normal 78 3 4 2" xfId="9658" xr:uid="{00000000-0005-0000-0000-0000D4700000}"/>
    <cellStyle name="Normal 78 3 4 2 2" xfId="18832" xr:uid="{00000000-0005-0000-0000-0000D5700000}"/>
    <cellStyle name="Normal 78 3 4 2 2 2" xfId="35406" xr:uid="{00000000-0005-0000-0000-0000D6700000}"/>
    <cellStyle name="Normal 78 3 4 2 3" xfId="27359" xr:uid="{00000000-0005-0000-0000-0000D7700000}"/>
    <cellStyle name="Normal 78 3 4 3" xfId="15066" xr:uid="{00000000-0005-0000-0000-0000D8700000}"/>
    <cellStyle name="Normal 78 3 4 3 2" xfId="31616" xr:uid="{00000000-0005-0000-0000-0000D9700000}"/>
    <cellStyle name="Normal 78 3 4 4" xfId="23573" xr:uid="{00000000-0005-0000-0000-0000DA700000}"/>
    <cellStyle name="Normal 78 3 5" xfId="5771" xr:uid="{00000000-0005-0000-0000-0000DB700000}"/>
    <cellStyle name="Normal 78 3 5 2" xfId="15067" xr:uid="{00000000-0005-0000-0000-0000DC700000}"/>
    <cellStyle name="Normal 78 3 5 2 2" xfId="31617" xr:uid="{00000000-0005-0000-0000-0000DD700000}"/>
    <cellStyle name="Normal 78 3 5 3" xfId="23574" xr:uid="{00000000-0005-0000-0000-0000DE700000}"/>
    <cellStyle name="Normal 78 4" xfId="5772" xr:uid="{00000000-0005-0000-0000-0000DF700000}"/>
    <cellStyle name="Normal 78 4 2" xfId="5773" xr:uid="{00000000-0005-0000-0000-0000E0700000}"/>
    <cellStyle name="Normal 78 4 2 2" xfId="5774" xr:uid="{00000000-0005-0000-0000-0000E1700000}"/>
    <cellStyle name="Normal 78 4 2 2 2" xfId="5775" xr:uid="{00000000-0005-0000-0000-0000E2700000}"/>
    <cellStyle name="Normal 78 4 2 2 2 2" xfId="9659" xr:uid="{00000000-0005-0000-0000-0000E3700000}"/>
    <cellStyle name="Normal 78 4 2 2 2 2 2" xfId="18833" xr:uid="{00000000-0005-0000-0000-0000E4700000}"/>
    <cellStyle name="Normal 78 4 2 2 2 2 2 2" xfId="35407" xr:uid="{00000000-0005-0000-0000-0000E5700000}"/>
    <cellStyle name="Normal 78 4 2 2 2 2 3" xfId="27360" xr:uid="{00000000-0005-0000-0000-0000E6700000}"/>
    <cellStyle name="Normal 78 4 2 2 2 3" xfId="15071" xr:uid="{00000000-0005-0000-0000-0000E7700000}"/>
    <cellStyle name="Normal 78 4 2 2 2 3 2" xfId="31621" xr:uid="{00000000-0005-0000-0000-0000E8700000}"/>
    <cellStyle name="Normal 78 4 2 2 2 4" xfId="23578" xr:uid="{00000000-0005-0000-0000-0000E9700000}"/>
    <cellStyle name="Normal 78 4 2 2 3" xfId="9660" xr:uid="{00000000-0005-0000-0000-0000EA700000}"/>
    <cellStyle name="Normal 78 4 2 2 3 2" xfId="18834" xr:uid="{00000000-0005-0000-0000-0000EB700000}"/>
    <cellStyle name="Normal 78 4 2 2 3 2 2" xfId="35408" xr:uid="{00000000-0005-0000-0000-0000EC700000}"/>
    <cellStyle name="Normal 78 4 2 2 3 3" xfId="27361" xr:uid="{00000000-0005-0000-0000-0000ED700000}"/>
    <cellStyle name="Normal 78 4 2 2 4" xfId="15070" xr:uid="{00000000-0005-0000-0000-0000EE700000}"/>
    <cellStyle name="Normal 78 4 2 2 4 2" xfId="31620" xr:uid="{00000000-0005-0000-0000-0000EF700000}"/>
    <cellStyle name="Normal 78 4 2 2 5" xfId="23577" xr:uid="{00000000-0005-0000-0000-0000F0700000}"/>
    <cellStyle name="Normal 78 4 2 3" xfId="5776" xr:uid="{00000000-0005-0000-0000-0000F1700000}"/>
    <cellStyle name="Normal 78 4 2 3 2" xfId="9661" xr:uid="{00000000-0005-0000-0000-0000F2700000}"/>
    <cellStyle name="Normal 78 4 2 3 2 2" xfId="18835" xr:uid="{00000000-0005-0000-0000-0000F3700000}"/>
    <cellStyle name="Normal 78 4 2 3 2 2 2" xfId="35409" xr:uid="{00000000-0005-0000-0000-0000F4700000}"/>
    <cellStyle name="Normal 78 4 2 3 2 3" xfId="27362" xr:uid="{00000000-0005-0000-0000-0000F5700000}"/>
    <cellStyle name="Normal 78 4 2 3 3" xfId="15072" xr:uid="{00000000-0005-0000-0000-0000F6700000}"/>
    <cellStyle name="Normal 78 4 2 3 3 2" xfId="31622" xr:uid="{00000000-0005-0000-0000-0000F7700000}"/>
    <cellStyle name="Normal 78 4 2 3 4" xfId="23579" xr:uid="{00000000-0005-0000-0000-0000F8700000}"/>
    <cellStyle name="Normal 78 4 2 4" xfId="9662" xr:uid="{00000000-0005-0000-0000-0000F9700000}"/>
    <cellStyle name="Normal 78 4 2 4 2" xfId="18836" xr:uid="{00000000-0005-0000-0000-0000FA700000}"/>
    <cellStyle name="Normal 78 4 2 4 2 2" xfId="35410" xr:uid="{00000000-0005-0000-0000-0000FB700000}"/>
    <cellStyle name="Normal 78 4 2 4 3" xfId="27363" xr:uid="{00000000-0005-0000-0000-0000FC700000}"/>
    <cellStyle name="Normal 78 4 2 5" xfId="15069" xr:uid="{00000000-0005-0000-0000-0000FD700000}"/>
    <cellStyle name="Normal 78 4 2 5 2" xfId="31619" xr:uid="{00000000-0005-0000-0000-0000FE700000}"/>
    <cellStyle name="Normal 78 4 2 6" xfId="23576" xr:uid="{00000000-0005-0000-0000-0000FF700000}"/>
    <cellStyle name="Normal 78 4 3" xfId="5777" xr:uid="{00000000-0005-0000-0000-000000710000}"/>
    <cellStyle name="Normal 78 4 3 2" xfId="5778" xr:uid="{00000000-0005-0000-0000-000001710000}"/>
    <cellStyle name="Normal 78 4 3 2 2" xfId="9663" xr:uid="{00000000-0005-0000-0000-000002710000}"/>
    <cellStyle name="Normal 78 4 3 2 2 2" xfId="18837" xr:uid="{00000000-0005-0000-0000-000003710000}"/>
    <cellStyle name="Normal 78 4 3 2 2 2 2" xfId="35411" xr:uid="{00000000-0005-0000-0000-000004710000}"/>
    <cellStyle name="Normal 78 4 3 2 2 3" xfId="27364" xr:uid="{00000000-0005-0000-0000-000005710000}"/>
    <cellStyle name="Normal 78 4 3 2 3" xfId="15074" xr:uid="{00000000-0005-0000-0000-000006710000}"/>
    <cellStyle name="Normal 78 4 3 2 3 2" xfId="31624" xr:uid="{00000000-0005-0000-0000-000007710000}"/>
    <cellStyle name="Normal 78 4 3 2 4" xfId="23581" xr:uid="{00000000-0005-0000-0000-000008710000}"/>
    <cellStyle name="Normal 78 4 3 3" xfId="9664" xr:uid="{00000000-0005-0000-0000-000009710000}"/>
    <cellStyle name="Normal 78 4 3 3 2" xfId="18838" xr:uid="{00000000-0005-0000-0000-00000A710000}"/>
    <cellStyle name="Normal 78 4 3 3 2 2" xfId="35412" xr:uid="{00000000-0005-0000-0000-00000B710000}"/>
    <cellStyle name="Normal 78 4 3 3 3" xfId="27365" xr:uid="{00000000-0005-0000-0000-00000C710000}"/>
    <cellStyle name="Normal 78 4 3 4" xfId="15073" xr:uid="{00000000-0005-0000-0000-00000D710000}"/>
    <cellStyle name="Normal 78 4 3 4 2" xfId="31623" xr:uid="{00000000-0005-0000-0000-00000E710000}"/>
    <cellStyle name="Normal 78 4 3 5" xfId="23580" xr:uid="{00000000-0005-0000-0000-00000F710000}"/>
    <cellStyle name="Normal 78 4 4" xfId="5779" xr:uid="{00000000-0005-0000-0000-000010710000}"/>
    <cellStyle name="Normal 78 4 4 2" xfId="9665" xr:uid="{00000000-0005-0000-0000-000011710000}"/>
    <cellStyle name="Normal 78 4 4 2 2" xfId="18839" xr:uid="{00000000-0005-0000-0000-000012710000}"/>
    <cellStyle name="Normal 78 4 4 2 2 2" xfId="35413" xr:uid="{00000000-0005-0000-0000-000013710000}"/>
    <cellStyle name="Normal 78 4 4 2 3" xfId="27366" xr:uid="{00000000-0005-0000-0000-000014710000}"/>
    <cellStyle name="Normal 78 4 4 3" xfId="15075" xr:uid="{00000000-0005-0000-0000-000015710000}"/>
    <cellStyle name="Normal 78 4 4 3 2" xfId="31625" xr:uid="{00000000-0005-0000-0000-000016710000}"/>
    <cellStyle name="Normal 78 4 4 4" xfId="23582" xr:uid="{00000000-0005-0000-0000-000017710000}"/>
    <cellStyle name="Normal 78 4 5" xfId="9666" xr:uid="{00000000-0005-0000-0000-000018710000}"/>
    <cellStyle name="Normal 78 4 5 2" xfId="18840" xr:uid="{00000000-0005-0000-0000-000019710000}"/>
    <cellStyle name="Normal 78 4 5 2 2" xfId="35414" xr:uid="{00000000-0005-0000-0000-00001A710000}"/>
    <cellStyle name="Normal 78 4 5 3" xfId="27367" xr:uid="{00000000-0005-0000-0000-00001B710000}"/>
    <cellStyle name="Normal 78 4 6" xfId="15068" xr:uid="{00000000-0005-0000-0000-00001C710000}"/>
    <cellStyle name="Normal 78 4 6 2" xfId="31618" xr:uid="{00000000-0005-0000-0000-00001D710000}"/>
    <cellStyle name="Normal 78 4 7" xfId="23575" xr:uid="{00000000-0005-0000-0000-00001E710000}"/>
    <cellStyle name="Normal 78 5" xfId="5780" xr:uid="{00000000-0005-0000-0000-00001F710000}"/>
    <cellStyle name="Normal 78 5 2" xfId="5781" xr:uid="{00000000-0005-0000-0000-000020710000}"/>
    <cellStyle name="Normal 78 5 2 2" xfId="5782" xr:uid="{00000000-0005-0000-0000-000021710000}"/>
    <cellStyle name="Normal 78 5 2 2 2" xfId="5783" xr:uid="{00000000-0005-0000-0000-000022710000}"/>
    <cellStyle name="Normal 78 5 2 2 2 2" xfId="9667" xr:uid="{00000000-0005-0000-0000-000023710000}"/>
    <cellStyle name="Normal 78 5 2 2 2 2 2" xfId="18841" xr:uid="{00000000-0005-0000-0000-000024710000}"/>
    <cellStyle name="Normal 78 5 2 2 2 2 2 2" xfId="35415" xr:uid="{00000000-0005-0000-0000-000025710000}"/>
    <cellStyle name="Normal 78 5 2 2 2 2 3" xfId="27368" xr:uid="{00000000-0005-0000-0000-000026710000}"/>
    <cellStyle name="Normal 78 5 2 2 2 3" xfId="15079" xr:uid="{00000000-0005-0000-0000-000027710000}"/>
    <cellStyle name="Normal 78 5 2 2 2 3 2" xfId="31629" xr:uid="{00000000-0005-0000-0000-000028710000}"/>
    <cellStyle name="Normal 78 5 2 2 2 4" xfId="23586" xr:uid="{00000000-0005-0000-0000-000029710000}"/>
    <cellStyle name="Normal 78 5 2 2 3" xfId="9668" xr:uid="{00000000-0005-0000-0000-00002A710000}"/>
    <cellStyle name="Normal 78 5 2 2 3 2" xfId="18842" xr:uid="{00000000-0005-0000-0000-00002B710000}"/>
    <cellStyle name="Normal 78 5 2 2 3 2 2" xfId="35416" xr:uid="{00000000-0005-0000-0000-00002C710000}"/>
    <cellStyle name="Normal 78 5 2 2 3 3" xfId="27369" xr:uid="{00000000-0005-0000-0000-00002D710000}"/>
    <cellStyle name="Normal 78 5 2 2 4" xfId="15078" xr:uid="{00000000-0005-0000-0000-00002E710000}"/>
    <cellStyle name="Normal 78 5 2 2 4 2" xfId="31628" xr:uid="{00000000-0005-0000-0000-00002F710000}"/>
    <cellStyle name="Normal 78 5 2 2 5" xfId="23585" xr:uid="{00000000-0005-0000-0000-000030710000}"/>
    <cellStyle name="Normal 78 5 2 3" xfId="5784" xr:uid="{00000000-0005-0000-0000-000031710000}"/>
    <cellStyle name="Normal 78 5 2 3 2" xfId="9669" xr:uid="{00000000-0005-0000-0000-000032710000}"/>
    <cellStyle name="Normal 78 5 2 3 2 2" xfId="18843" xr:uid="{00000000-0005-0000-0000-000033710000}"/>
    <cellStyle name="Normal 78 5 2 3 2 2 2" xfId="35417" xr:uid="{00000000-0005-0000-0000-000034710000}"/>
    <cellStyle name="Normal 78 5 2 3 2 3" xfId="27370" xr:uid="{00000000-0005-0000-0000-000035710000}"/>
    <cellStyle name="Normal 78 5 2 3 3" xfId="15080" xr:uid="{00000000-0005-0000-0000-000036710000}"/>
    <cellStyle name="Normal 78 5 2 3 3 2" xfId="31630" xr:uid="{00000000-0005-0000-0000-000037710000}"/>
    <cellStyle name="Normal 78 5 2 3 4" xfId="23587" xr:uid="{00000000-0005-0000-0000-000038710000}"/>
    <cellStyle name="Normal 78 5 2 4" xfId="9670" xr:uid="{00000000-0005-0000-0000-000039710000}"/>
    <cellStyle name="Normal 78 5 2 4 2" xfId="18844" xr:uid="{00000000-0005-0000-0000-00003A710000}"/>
    <cellStyle name="Normal 78 5 2 4 2 2" xfId="35418" xr:uid="{00000000-0005-0000-0000-00003B710000}"/>
    <cellStyle name="Normal 78 5 2 4 3" xfId="27371" xr:uid="{00000000-0005-0000-0000-00003C710000}"/>
    <cellStyle name="Normal 78 5 2 5" xfId="15077" xr:uid="{00000000-0005-0000-0000-00003D710000}"/>
    <cellStyle name="Normal 78 5 2 5 2" xfId="31627" xr:uid="{00000000-0005-0000-0000-00003E710000}"/>
    <cellStyle name="Normal 78 5 2 6" xfId="23584" xr:uid="{00000000-0005-0000-0000-00003F710000}"/>
    <cellStyle name="Normal 78 5 3" xfId="5785" xr:uid="{00000000-0005-0000-0000-000040710000}"/>
    <cellStyle name="Normal 78 5 3 2" xfId="5786" xr:uid="{00000000-0005-0000-0000-000041710000}"/>
    <cellStyle name="Normal 78 5 3 2 2" xfId="9671" xr:uid="{00000000-0005-0000-0000-000042710000}"/>
    <cellStyle name="Normal 78 5 3 2 2 2" xfId="18845" xr:uid="{00000000-0005-0000-0000-000043710000}"/>
    <cellStyle name="Normal 78 5 3 2 2 2 2" xfId="35419" xr:uid="{00000000-0005-0000-0000-000044710000}"/>
    <cellStyle name="Normal 78 5 3 2 2 3" xfId="27372" xr:uid="{00000000-0005-0000-0000-000045710000}"/>
    <cellStyle name="Normal 78 5 3 2 3" xfId="15082" xr:uid="{00000000-0005-0000-0000-000046710000}"/>
    <cellStyle name="Normal 78 5 3 2 3 2" xfId="31632" xr:uid="{00000000-0005-0000-0000-000047710000}"/>
    <cellStyle name="Normal 78 5 3 2 4" xfId="23589" xr:uid="{00000000-0005-0000-0000-000048710000}"/>
    <cellStyle name="Normal 78 5 3 3" xfId="9672" xr:uid="{00000000-0005-0000-0000-000049710000}"/>
    <cellStyle name="Normal 78 5 3 3 2" xfId="18846" xr:uid="{00000000-0005-0000-0000-00004A710000}"/>
    <cellStyle name="Normal 78 5 3 3 2 2" xfId="35420" xr:uid="{00000000-0005-0000-0000-00004B710000}"/>
    <cellStyle name="Normal 78 5 3 3 3" xfId="27373" xr:uid="{00000000-0005-0000-0000-00004C710000}"/>
    <cellStyle name="Normal 78 5 3 4" xfId="15081" xr:uid="{00000000-0005-0000-0000-00004D710000}"/>
    <cellStyle name="Normal 78 5 3 4 2" xfId="31631" xr:uid="{00000000-0005-0000-0000-00004E710000}"/>
    <cellStyle name="Normal 78 5 3 5" xfId="23588" xr:uid="{00000000-0005-0000-0000-00004F710000}"/>
    <cellStyle name="Normal 78 5 4" xfId="5787" xr:uid="{00000000-0005-0000-0000-000050710000}"/>
    <cellStyle name="Normal 78 5 4 2" xfId="9673" xr:uid="{00000000-0005-0000-0000-000051710000}"/>
    <cellStyle name="Normal 78 5 4 2 2" xfId="18847" xr:uid="{00000000-0005-0000-0000-000052710000}"/>
    <cellStyle name="Normal 78 5 4 2 2 2" xfId="35421" xr:uid="{00000000-0005-0000-0000-000053710000}"/>
    <cellStyle name="Normal 78 5 4 2 3" xfId="27374" xr:uid="{00000000-0005-0000-0000-000054710000}"/>
    <cellStyle name="Normal 78 5 4 3" xfId="15083" xr:uid="{00000000-0005-0000-0000-000055710000}"/>
    <cellStyle name="Normal 78 5 4 3 2" xfId="31633" xr:uid="{00000000-0005-0000-0000-000056710000}"/>
    <cellStyle name="Normal 78 5 4 4" xfId="23590" xr:uid="{00000000-0005-0000-0000-000057710000}"/>
    <cellStyle name="Normal 78 5 5" xfId="9674" xr:uid="{00000000-0005-0000-0000-000058710000}"/>
    <cellStyle name="Normal 78 5 5 2" xfId="18848" xr:uid="{00000000-0005-0000-0000-000059710000}"/>
    <cellStyle name="Normal 78 5 5 2 2" xfId="35422" xr:uid="{00000000-0005-0000-0000-00005A710000}"/>
    <cellStyle name="Normal 78 5 5 3" xfId="27375" xr:uid="{00000000-0005-0000-0000-00005B710000}"/>
    <cellStyle name="Normal 78 5 6" xfId="15076" xr:uid="{00000000-0005-0000-0000-00005C710000}"/>
    <cellStyle name="Normal 78 5 6 2" xfId="31626" xr:uid="{00000000-0005-0000-0000-00005D710000}"/>
    <cellStyle name="Normal 78 5 7" xfId="23583" xr:uid="{00000000-0005-0000-0000-00005E710000}"/>
    <cellStyle name="Normal 78 6" xfId="5788" xr:uid="{00000000-0005-0000-0000-00005F710000}"/>
    <cellStyle name="Normal 78 6 2" xfId="5789" xr:uid="{00000000-0005-0000-0000-000060710000}"/>
    <cellStyle name="Normal 78 6 2 2" xfId="5790" xr:uid="{00000000-0005-0000-0000-000061710000}"/>
    <cellStyle name="Normal 78 6 2 2 2" xfId="9675" xr:uid="{00000000-0005-0000-0000-000062710000}"/>
    <cellStyle name="Normal 78 6 2 2 2 2" xfId="18849" xr:uid="{00000000-0005-0000-0000-000063710000}"/>
    <cellStyle name="Normal 78 6 2 2 2 2 2" xfId="35423" xr:uid="{00000000-0005-0000-0000-000064710000}"/>
    <cellStyle name="Normal 78 6 2 2 2 3" xfId="27376" xr:uid="{00000000-0005-0000-0000-000065710000}"/>
    <cellStyle name="Normal 78 6 2 2 3" xfId="15086" xr:uid="{00000000-0005-0000-0000-000066710000}"/>
    <cellStyle name="Normal 78 6 2 2 3 2" xfId="31636" xr:uid="{00000000-0005-0000-0000-000067710000}"/>
    <cellStyle name="Normal 78 6 2 2 4" xfId="23593" xr:uid="{00000000-0005-0000-0000-000068710000}"/>
    <cellStyle name="Normal 78 6 2 3" xfId="9676" xr:uid="{00000000-0005-0000-0000-000069710000}"/>
    <cellStyle name="Normal 78 6 2 3 2" xfId="18850" xr:uid="{00000000-0005-0000-0000-00006A710000}"/>
    <cellStyle name="Normal 78 6 2 3 2 2" xfId="35424" xr:uid="{00000000-0005-0000-0000-00006B710000}"/>
    <cellStyle name="Normal 78 6 2 3 3" xfId="27377" xr:uid="{00000000-0005-0000-0000-00006C710000}"/>
    <cellStyle name="Normal 78 6 2 4" xfId="15085" xr:uid="{00000000-0005-0000-0000-00006D710000}"/>
    <cellStyle name="Normal 78 6 2 4 2" xfId="31635" xr:uid="{00000000-0005-0000-0000-00006E710000}"/>
    <cellStyle name="Normal 78 6 2 5" xfId="23592" xr:uid="{00000000-0005-0000-0000-00006F710000}"/>
    <cellStyle name="Normal 78 6 3" xfId="5791" xr:uid="{00000000-0005-0000-0000-000070710000}"/>
    <cellStyle name="Normal 78 6 3 2" xfId="9677" xr:uid="{00000000-0005-0000-0000-000071710000}"/>
    <cellStyle name="Normal 78 6 3 2 2" xfId="18851" xr:uid="{00000000-0005-0000-0000-000072710000}"/>
    <cellStyle name="Normal 78 6 3 2 2 2" xfId="35425" xr:uid="{00000000-0005-0000-0000-000073710000}"/>
    <cellStyle name="Normal 78 6 3 2 3" xfId="27378" xr:uid="{00000000-0005-0000-0000-000074710000}"/>
    <cellStyle name="Normal 78 6 3 3" xfId="15087" xr:uid="{00000000-0005-0000-0000-000075710000}"/>
    <cellStyle name="Normal 78 6 3 3 2" xfId="31637" xr:uid="{00000000-0005-0000-0000-000076710000}"/>
    <cellStyle name="Normal 78 6 3 4" xfId="23594" xr:uid="{00000000-0005-0000-0000-000077710000}"/>
    <cellStyle name="Normal 78 6 4" xfId="9678" xr:uid="{00000000-0005-0000-0000-000078710000}"/>
    <cellStyle name="Normal 78 6 4 2" xfId="18852" xr:uid="{00000000-0005-0000-0000-000079710000}"/>
    <cellStyle name="Normal 78 6 4 2 2" xfId="35426" xr:uid="{00000000-0005-0000-0000-00007A710000}"/>
    <cellStyle name="Normal 78 6 4 3" xfId="27379" xr:uid="{00000000-0005-0000-0000-00007B710000}"/>
    <cellStyle name="Normal 78 6 5" xfId="15084" xr:uid="{00000000-0005-0000-0000-00007C710000}"/>
    <cellStyle name="Normal 78 6 5 2" xfId="31634" xr:uid="{00000000-0005-0000-0000-00007D710000}"/>
    <cellStyle name="Normal 78 6 6" xfId="23591" xr:uid="{00000000-0005-0000-0000-00007E710000}"/>
    <cellStyle name="Normal 78 7" xfId="5792" xr:uid="{00000000-0005-0000-0000-00007F710000}"/>
    <cellStyle name="Normal 78 7 2" xfId="5793" xr:uid="{00000000-0005-0000-0000-000080710000}"/>
    <cellStyle name="Normal 78 7 2 2" xfId="9679" xr:uid="{00000000-0005-0000-0000-000081710000}"/>
    <cellStyle name="Normal 78 7 2 2 2" xfId="18853" xr:uid="{00000000-0005-0000-0000-000082710000}"/>
    <cellStyle name="Normal 78 7 2 2 2 2" xfId="35427" xr:uid="{00000000-0005-0000-0000-000083710000}"/>
    <cellStyle name="Normal 78 7 2 2 3" xfId="27380" xr:uid="{00000000-0005-0000-0000-000084710000}"/>
    <cellStyle name="Normal 78 7 2 3" xfId="15089" xr:uid="{00000000-0005-0000-0000-000085710000}"/>
    <cellStyle name="Normal 78 7 2 3 2" xfId="31639" xr:uid="{00000000-0005-0000-0000-000086710000}"/>
    <cellStyle name="Normal 78 7 2 4" xfId="23596" xr:uid="{00000000-0005-0000-0000-000087710000}"/>
    <cellStyle name="Normal 78 7 3" xfId="9680" xr:uid="{00000000-0005-0000-0000-000088710000}"/>
    <cellStyle name="Normal 78 7 3 2" xfId="18854" xr:uid="{00000000-0005-0000-0000-000089710000}"/>
    <cellStyle name="Normal 78 7 3 2 2" xfId="35428" xr:uid="{00000000-0005-0000-0000-00008A710000}"/>
    <cellStyle name="Normal 78 7 3 3" xfId="27381" xr:uid="{00000000-0005-0000-0000-00008B710000}"/>
    <cellStyle name="Normal 78 7 4" xfId="15088" xr:uid="{00000000-0005-0000-0000-00008C710000}"/>
    <cellStyle name="Normal 78 7 4 2" xfId="31638" xr:uid="{00000000-0005-0000-0000-00008D710000}"/>
    <cellStyle name="Normal 78 7 5" xfId="23595" xr:uid="{00000000-0005-0000-0000-00008E710000}"/>
    <cellStyle name="Normal 78 8" xfId="5794" xr:uid="{00000000-0005-0000-0000-00008F710000}"/>
    <cellStyle name="Normal 78 8 2" xfId="9681" xr:uid="{00000000-0005-0000-0000-000090710000}"/>
    <cellStyle name="Normal 78 8 2 2" xfId="18855" xr:uid="{00000000-0005-0000-0000-000091710000}"/>
    <cellStyle name="Normal 78 8 2 2 2" xfId="35429" xr:uid="{00000000-0005-0000-0000-000092710000}"/>
    <cellStyle name="Normal 78 8 2 3" xfId="27382" xr:uid="{00000000-0005-0000-0000-000093710000}"/>
    <cellStyle name="Normal 78 8 3" xfId="15090" xr:uid="{00000000-0005-0000-0000-000094710000}"/>
    <cellStyle name="Normal 78 8 3 2" xfId="31640" xr:uid="{00000000-0005-0000-0000-000095710000}"/>
    <cellStyle name="Normal 78 8 4" xfId="23597" xr:uid="{00000000-0005-0000-0000-000096710000}"/>
    <cellStyle name="Normal 78 9" xfId="9682" xr:uid="{00000000-0005-0000-0000-000097710000}"/>
    <cellStyle name="Normal 78 9 2" xfId="18856" xr:uid="{00000000-0005-0000-0000-000098710000}"/>
    <cellStyle name="Normal 78 9 2 2" xfId="35430" xr:uid="{00000000-0005-0000-0000-000099710000}"/>
    <cellStyle name="Normal 78 9 3" xfId="27383" xr:uid="{00000000-0005-0000-0000-00009A710000}"/>
    <cellStyle name="Normal 79" xfId="5795" xr:uid="{00000000-0005-0000-0000-00009B710000}"/>
    <cellStyle name="Normal 79 10" xfId="15091" xr:uid="{00000000-0005-0000-0000-00009C710000}"/>
    <cellStyle name="Normal 79 10 2" xfId="31641" xr:uid="{00000000-0005-0000-0000-00009D710000}"/>
    <cellStyle name="Normal 79 11" xfId="23598" xr:uid="{00000000-0005-0000-0000-00009E710000}"/>
    <cellStyle name="Normal 79 2" xfId="5796" xr:uid="{00000000-0005-0000-0000-00009F710000}"/>
    <cellStyle name="Normal 79 2 2" xfId="5797" xr:uid="{00000000-0005-0000-0000-0000A0710000}"/>
    <cellStyle name="Normal 79 2 3" xfId="15092" xr:uid="{00000000-0005-0000-0000-0000A1710000}"/>
    <cellStyle name="Normal 79 2 3 2" xfId="31642" xr:uid="{00000000-0005-0000-0000-0000A2710000}"/>
    <cellStyle name="Normal 79 2 4" xfId="23599" xr:uid="{00000000-0005-0000-0000-0000A3710000}"/>
    <cellStyle name="Normal 79 3" xfId="5798" xr:uid="{00000000-0005-0000-0000-0000A4710000}"/>
    <cellStyle name="Normal 79 3 2" xfId="5799" xr:uid="{00000000-0005-0000-0000-0000A5710000}"/>
    <cellStyle name="Normal 79 3 2 2" xfId="5800" xr:uid="{00000000-0005-0000-0000-0000A6710000}"/>
    <cellStyle name="Normal 79 3 2 2 2" xfId="5801" xr:uid="{00000000-0005-0000-0000-0000A7710000}"/>
    <cellStyle name="Normal 79 3 2 2 2 2" xfId="9683" xr:uid="{00000000-0005-0000-0000-0000A8710000}"/>
    <cellStyle name="Normal 79 3 2 2 2 2 2" xfId="18857" xr:uid="{00000000-0005-0000-0000-0000A9710000}"/>
    <cellStyle name="Normal 79 3 2 2 2 2 2 2" xfId="35431" xr:uid="{00000000-0005-0000-0000-0000AA710000}"/>
    <cellStyle name="Normal 79 3 2 2 2 2 3" xfId="27384" xr:uid="{00000000-0005-0000-0000-0000AB710000}"/>
    <cellStyle name="Normal 79 3 2 2 2 3" xfId="15095" xr:uid="{00000000-0005-0000-0000-0000AC710000}"/>
    <cellStyle name="Normal 79 3 2 2 2 3 2" xfId="31645" xr:uid="{00000000-0005-0000-0000-0000AD710000}"/>
    <cellStyle name="Normal 79 3 2 2 2 4" xfId="23602" xr:uid="{00000000-0005-0000-0000-0000AE710000}"/>
    <cellStyle name="Normal 79 3 2 2 3" xfId="9684" xr:uid="{00000000-0005-0000-0000-0000AF710000}"/>
    <cellStyle name="Normal 79 3 2 2 3 2" xfId="18858" xr:uid="{00000000-0005-0000-0000-0000B0710000}"/>
    <cellStyle name="Normal 79 3 2 2 3 2 2" xfId="35432" xr:uid="{00000000-0005-0000-0000-0000B1710000}"/>
    <cellStyle name="Normal 79 3 2 2 3 3" xfId="27385" xr:uid="{00000000-0005-0000-0000-0000B2710000}"/>
    <cellStyle name="Normal 79 3 2 2 4" xfId="15094" xr:uid="{00000000-0005-0000-0000-0000B3710000}"/>
    <cellStyle name="Normal 79 3 2 2 4 2" xfId="31644" xr:uid="{00000000-0005-0000-0000-0000B4710000}"/>
    <cellStyle name="Normal 79 3 2 2 5" xfId="23601" xr:uid="{00000000-0005-0000-0000-0000B5710000}"/>
    <cellStyle name="Normal 79 3 2 3" xfId="5802" xr:uid="{00000000-0005-0000-0000-0000B6710000}"/>
    <cellStyle name="Normal 79 3 2 3 2" xfId="9685" xr:uid="{00000000-0005-0000-0000-0000B7710000}"/>
    <cellStyle name="Normal 79 3 2 3 2 2" xfId="18859" xr:uid="{00000000-0005-0000-0000-0000B8710000}"/>
    <cellStyle name="Normal 79 3 2 3 2 2 2" xfId="35433" xr:uid="{00000000-0005-0000-0000-0000B9710000}"/>
    <cellStyle name="Normal 79 3 2 3 2 3" xfId="27386" xr:uid="{00000000-0005-0000-0000-0000BA710000}"/>
    <cellStyle name="Normal 79 3 2 3 3" xfId="15096" xr:uid="{00000000-0005-0000-0000-0000BB710000}"/>
    <cellStyle name="Normal 79 3 2 3 3 2" xfId="31646" xr:uid="{00000000-0005-0000-0000-0000BC710000}"/>
    <cellStyle name="Normal 79 3 2 3 4" xfId="23603" xr:uid="{00000000-0005-0000-0000-0000BD710000}"/>
    <cellStyle name="Normal 79 3 2 4" xfId="9686" xr:uid="{00000000-0005-0000-0000-0000BE710000}"/>
    <cellStyle name="Normal 79 3 2 4 2" xfId="18860" xr:uid="{00000000-0005-0000-0000-0000BF710000}"/>
    <cellStyle name="Normal 79 3 2 4 2 2" xfId="35434" xr:uid="{00000000-0005-0000-0000-0000C0710000}"/>
    <cellStyle name="Normal 79 3 2 4 3" xfId="27387" xr:uid="{00000000-0005-0000-0000-0000C1710000}"/>
    <cellStyle name="Normal 79 3 2 5" xfId="15093" xr:uid="{00000000-0005-0000-0000-0000C2710000}"/>
    <cellStyle name="Normal 79 3 2 5 2" xfId="31643" xr:uid="{00000000-0005-0000-0000-0000C3710000}"/>
    <cellStyle name="Normal 79 3 2 6" xfId="23600" xr:uid="{00000000-0005-0000-0000-0000C4710000}"/>
    <cellStyle name="Normal 79 3 3" xfId="5803" xr:uid="{00000000-0005-0000-0000-0000C5710000}"/>
    <cellStyle name="Normal 79 3 3 2" xfId="5804" xr:uid="{00000000-0005-0000-0000-0000C6710000}"/>
    <cellStyle name="Normal 79 3 3 2 2" xfId="9687" xr:uid="{00000000-0005-0000-0000-0000C7710000}"/>
    <cellStyle name="Normal 79 3 3 2 2 2" xfId="18861" xr:uid="{00000000-0005-0000-0000-0000C8710000}"/>
    <cellStyle name="Normal 79 3 3 2 2 2 2" xfId="35435" xr:uid="{00000000-0005-0000-0000-0000C9710000}"/>
    <cellStyle name="Normal 79 3 3 2 2 3" xfId="27388" xr:uid="{00000000-0005-0000-0000-0000CA710000}"/>
    <cellStyle name="Normal 79 3 3 2 3" xfId="15098" xr:uid="{00000000-0005-0000-0000-0000CB710000}"/>
    <cellStyle name="Normal 79 3 3 2 3 2" xfId="31648" xr:uid="{00000000-0005-0000-0000-0000CC710000}"/>
    <cellStyle name="Normal 79 3 3 2 4" xfId="23605" xr:uid="{00000000-0005-0000-0000-0000CD710000}"/>
    <cellStyle name="Normal 79 3 3 3" xfId="9688" xr:uid="{00000000-0005-0000-0000-0000CE710000}"/>
    <cellStyle name="Normal 79 3 3 3 2" xfId="18862" xr:uid="{00000000-0005-0000-0000-0000CF710000}"/>
    <cellStyle name="Normal 79 3 3 3 2 2" xfId="35436" xr:uid="{00000000-0005-0000-0000-0000D0710000}"/>
    <cellStyle name="Normal 79 3 3 3 3" xfId="27389" xr:uid="{00000000-0005-0000-0000-0000D1710000}"/>
    <cellStyle name="Normal 79 3 3 4" xfId="15097" xr:uid="{00000000-0005-0000-0000-0000D2710000}"/>
    <cellStyle name="Normal 79 3 3 4 2" xfId="31647" xr:uid="{00000000-0005-0000-0000-0000D3710000}"/>
    <cellStyle name="Normal 79 3 3 5" xfId="23604" xr:uid="{00000000-0005-0000-0000-0000D4710000}"/>
    <cellStyle name="Normal 79 3 4" xfId="5805" xr:uid="{00000000-0005-0000-0000-0000D5710000}"/>
    <cellStyle name="Normal 79 3 4 2" xfId="9689" xr:uid="{00000000-0005-0000-0000-0000D6710000}"/>
    <cellStyle name="Normal 79 3 4 2 2" xfId="18863" xr:uid="{00000000-0005-0000-0000-0000D7710000}"/>
    <cellStyle name="Normal 79 3 4 2 2 2" xfId="35437" xr:uid="{00000000-0005-0000-0000-0000D8710000}"/>
    <cellStyle name="Normal 79 3 4 2 3" xfId="27390" xr:uid="{00000000-0005-0000-0000-0000D9710000}"/>
    <cellStyle name="Normal 79 3 4 3" xfId="15099" xr:uid="{00000000-0005-0000-0000-0000DA710000}"/>
    <cellStyle name="Normal 79 3 4 3 2" xfId="31649" xr:uid="{00000000-0005-0000-0000-0000DB710000}"/>
    <cellStyle name="Normal 79 3 4 4" xfId="23606" xr:uid="{00000000-0005-0000-0000-0000DC710000}"/>
    <cellStyle name="Normal 79 3 5" xfId="5806" xr:uid="{00000000-0005-0000-0000-0000DD710000}"/>
    <cellStyle name="Normal 79 3 5 2" xfId="15100" xr:uid="{00000000-0005-0000-0000-0000DE710000}"/>
    <cellStyle name="Normal 79 3 5 2 2" xfId="31650" xr:uid="{00000000-0005-0000-0000-0000DF710000}"/>
    <cellStyle name="Normal 79 3 5 3" xfId="23607" xr:uid="{00000000-0005-0000-0000-0000E0710000}"/>
    <cellStyle name="Normal 79 4" xfId="5807" xr:uid="{00000000-0005-0000-0000-0000E1710000}"/>
    <cellStyle name="Normal 79 4 2" xfId="5808" xr:uid="{00000000-0005-0000-0000-0000E2710000}"/>
    <cellStyle name="Normal 79 4 2 2" xfId="5809" xr:uid="{00000000-0005-0000-0000-0000E3710000}"/>
    <cellStyle name="Normal 79 4 2 2 2" xfId="5810" xr:uid="{00000000-0005-0000-0000-0000E4710000}"/>
    <cellStyle name="Normal 79 4 2 2 2 2" xfId="9690" xr:uid="{00000000-0005-0000-0000-0000E5710000}"/>
    <cellStyle name="Normal 79 4 2 2 2 2 2" xfId="18864" xr:uid="{00000000-0005-0000-0000-0000E6710000}"/>
    <cellStyle name="Normal 79 4 2 2 2 2 2 2" xfId="35438" xr:uid="{00000000-0005-0000-0000-0000E7710000}"/>
    <cellStyle name="Normal 79 4 2 2 2 2 3" xfId="27391" xr:uid="{00000000-0005-0000-0000-0000E8710000}"/>
    <cellStyle name="Normal 79 4 2 2 2 3" xfId="15104" xr:uid="{00000000-0005-0000-0000-0000E9710000}"/>
    <cellStyle name="Normal 79 4 2 2 2 3 2" xfId="31654" xr:uid="{00000000-0005-0000-0000-0000EA710000}"/>
    <cellStyle name="Normal 79 4 2 2 2 4" xfId="23611" xr:uid="{00000000-0005-0000-0000-0000EB710000}"/>
    <cellStyle name="Normal 79 4 2 2 3" xfId="9691" xr:uid="{00000000-0005-0000-0000-0000EC710000}"/>
    <cellStyle name="Normal 79 4 2 2 3 2" xfId="18865" xr:uid="{00000000-0005-0000-0000-0000ED710000}"/>
    <cellStyle name="Normal 79 4 2 2 3 2 2" xfId="35439" xr:uid="{00000000-0005-0000-0000-0000EE710000}"/>
    <cellStyle name="Normal 79 4 2 2 3 3" xfId="27392" xr:uid="{00000000-0005-0000-0000-0000EF710000}"/>
    <cellStyle name="Normal 79 4 2 2 4" xfId="15103" xr:uid="{00000000-0005-0000-0000-0000F0710000}"/>
    <cellStyle name="Normal 79 4 2 2 4 2" xfId="31653" xr:uid="{00000000-0005-0000-0000-0000F1710000}"/>
    <cellStyle name="Normal 79 4 2 2 5" xfId="23610" xr:uid="{00000000-0005-0000-0000-0000F2710000}"/>
    <cellStyle name="Normal 79 4 2 3" xfId="5811" xr:uid="{00000000-0005-0000-0000-0000F3710000}"/>
    <cellStyle name="Normal 79 4 2 3 2" xfId="9692" xr:uid="{00000000-0005-0000-0000-0000F4710000}"/>
    <cellStyle name="Normal 79 4 2 3 2 2" xfId="18866" xr:uid="{00000000-0005-0000-0000-0000F5710000}"/>
    <cellStyle name="Normal 79 4 2 3 2 2 2" xfId="35440" xr:uid="{00000000-0005-0000-0000-0000F6710000}"/>
    <cellStyle name="Normal 79 4 2 3 2 3" xfId="27393" xr:uid="{00000000-0005-0000-0000-0000F7710000}"/>
    <cellStyle name="Normal 79 4 2 3 3" xfId="15105" xr:uid="{00000000-0005-0000-0000-0000F8710000}"/>
    <cellStyle name="Normal 79 4 2 3 3 2" xfId="31655" xr:uid="{00000000-0005-0000-0000-0000F9710000}"/>
    <cellStyle name="Normal 79 4 2 3 4" xfId="23612" xr:uid="{00000000-0005-0000-0000-0000FA710000}"/>
    <cellStyle name="Normal 79 4 2 4" xfId="9693" xr:uid="{00000000-0005-0000-0000-0000FB710000}"/>
    <cellStyle name="Normal 79 4 2 4 2" xfId="18867" xr:uid="{00000000-0005-0000-0000-0000FC710000}"/>
    <cellStyle name="Normal 79 4 2 4 2 2" xfId="35441" xr:uid="{00000000-0005-0000-0000-0000FD710000}"/>
    <cellStyle name="Normal 79 4 2 4 3" xfId="27394" xr:uid="{00000000-0005-0000-0000-0000FE710000}"/>
    <cellStyle name="Normal 79 4 2 5" xfId="15102" xr:uid="{00000000-0005-0000-0000-0000FF710000}"/>
    <cellStyle name="Normal 79 4 2 5 2" xfId="31652" xr:uid="{00000000-0005-0000-0000-000000720000}"/>
    <cellStyle name="Normal 79 4 2 6" xfId="23609" xr:uid="{00000000-0005-0000-0000-000001720000}"/>
    <cellStyle name="Normal 79 4 3" xfId="5812" xr:uid="{00000000-0005-0000-0000-000002720000}"/>
    <cellStyle name="Normal 79 4 3 2" xfId="5813" xr:uid="{00000000-0005-0000-0000-000003720000}"/>
    <cellStyle name="Normal 79 4 3 2 2" xfId="9694" xr:uid="{00000000-0005-0000-0000-000004720000}"/>
    <cellStyle name="Normal 79 4 3 2 2 2" xfId="18868" xr:uid="{00000000-0005-0000-0000-000005720000}"/>
    <cellStyle name="Normal 79 4 3 2 2 2 2" xfId="35442" xr:uid="{00000000-0005-0000-0000-000006720000}"/>
    <cellStyle name="Normal 79 4 3 2 2 3" xfId="27395" xr:uid="{00000000-0005-0000-0000-000007720000}"/>
    <cellStyle name="Normal 79 4 3 2 3" xfId="15107" xr:uid="{00000000-0005-0000-0000-000008720000}"/>
    <cellStyle name="Normal 79 4 3 2 3 2" xfId="31657" xr:uid="{00000000-0005-0000-0000-000009720000}"/>
    <cellStyle name="Normal 79 4 3 2 4" xfId="23614" xr:uid="{00000000-0005-0000-0000-00000A720000}"/>
    <cellStyle name="Normal 79 4 3 3" xfId="9695" xr:uid="{00000000-0005-0000-0000-00000B720000}"/>
    <cellStyle name="Normal 79 4 3 3 2" xfId="18869" xr:uid="{00000000-0005-0000-0000-00000C720000}"/>
    <cellStyle name="Normal 79 4 3 3 2 2" xfId="35443" xr:uid="{00000000-0005-0000-0000-00000D720000}"/>
    <cellStyle name="Normal 79 4 3 3 3" xfId="27396" xr:uid="{00000000-0005-0000-0000-00000E720000}"/>
    <cellStyle name="Normal 79 4 3 4" xfId="15106" xr:uid="{00000000-0005-0000-0000-00000F720000}"/>
    <cellStyle name="Normal 79 4 3 4 2" xfId="31656" xr:uid="{00000000-0005-0000-0000-000010720000}"/>
    <cellStyle name="Normal 79 4 3 5" xfId="23613" xr:uid="{00000000-0005-0000-0000-000011720000}"/>
    <cellStyle name="Normal 79 4 4" xfId="5814" xr:uid="{00000000-0005-0000-0000-000012720000}"/>
    <cellStyle name="Normal 79 4 4 2" xfId="9696" xr:uid="{00000000-0005-0000-0000-000013720000}"/>
    <cellStyle name="Normal 79 4 4 2 2" xfId="18870" xr:uid="{00000000-0005-0000-0000-000014720000}"/>
    <cellStyle name="Normal 79 4 4 2 2 2" xfId="35444" xr:uid="{00000000-0005-0000-0000-000015720000}"/>
    <cellStyle name="Normal 79 4 4 2 3" xfId="27397" xr:uid="{00000000-0005-0000-0000-000016720000}"/>
    <cellStyle name="Normal 79 4 4 3" xfId="15108" xr:uid="{00000000-0005-0000-0000-000017720000}"/>
    <cellStyle name="Normal 79 4 4 3 2" xfId="31658" xr:uid="{00000000-0005-0000-0000-000018720000}"/>
    <cellStyle name="Normal 79 4 4 4" xfId="23615" xr:uid="{00000000-0005-0000-0000-000019720000}"/>
    <cellStyle name="Normal 79 4 5" xfId="9697" xr:uid="{00000000-0005-0000-0000-00001A720000}"/>
    <cellStyle name="Normal 79 4 5 2" xfId="18871" xr:uid="{00000000-0005-0000-0000-00001B720000}"/>
    <cellStyle name="Normal 79 4 5 2 2" xfId="35445" xr:uid="{00000000-0005-0000-0000-00001C720000}"/>
    <cellStyle name="Normal 79 4 5 3" xfId="27398" xr:uid="{00000000-0005-0000-0000-00001D720000}"/>
    <cellStyle name="Normal 79 4 6" xfId="15101" xr:uid="{00000000-0005-0000-0000-00001E720000}"/>
    <cellStyle name="Normal 79 4 6 2" xfId="31651" xr:uid="{00000000-0005-0000-0000-00001F720000}"/>
    <cellStyle name="Normal 79 4 7" xfId="23608" xr:uid="{00000000-0005-0000-0000-000020720000}"/>
    <cellStyle name="Normal 79 5" xfId="5815" xr:uid="{00000000-0005-0000-0000-000021720000}"/>
    <cellStyle name="Normal 79 5 2" xfId="5816" xr:uid="{00000000-0005-0000-0000-000022720000}"/>
    <cellStyle name="Normal 79 5 2 2" xfId="5817" xr:uid="{00000000-0005-0000-0000-000023720000}"/>
    <cellStyle name="Normal 79 5 2 2 2" xfId="5818" xr:uid="{00000000-0005-0000-0000-000024720000}"/>
    <cellStyle name="Normal 79 5 2 2 2 2" xfId="9698" xr:uid="{00000000-0005-0000-0000-000025720000}"/>
    <cellStyle name="Normal 79 5 2 2 2 2 2" xfId="18872" xr:uid="{00000000-0005-0000-0000-000026720000}"/>
    <cellStyle name="Normal 79 5 2 2 2 2 2 2" xfId="35446" xr:uid="{00000000-0005-0000-0000-000027720000}"/>
    <cellStyle name="Normal 79 5 2 2 2 2 3" xfId="27399" xr:uid="{00000000-0005-0000-0000-000028720000}"/>
    <cellStyle name="Normal 79 5 2 2 2 3" xfId="15112" xr:uid="{00000000-0005-0000-0000-000029720000}"/>
    <cellStyle name="Normal 79 5 2 2 2 3 2" xfId="31662" xr:uid="{00000000-0005-0000-0000-00002A720000}"/>
    <cellStyle name="Normal 79 5 2 2 2 4" xfId="23619" xr:uid="{00000000-0005-0000-0000-00002B720000}"/>
    <cellStyle name="Normal 79 5 2 2 3" xfId="9699" xr:uid="{00000000-0005-0000-0000-00002C720000}"/>
    <cellStyle name="Normal 79 5 2 2 3 2" xfId="18873" xr:uid="{00000000-0005-0000-0000-00002D720000}"/>
    <cellStyle name="Normal 79 5 2 2 3 2 2" xfId="35447" xr:uid="{00000000-0005-0000-0000-00002E720000}"/>
    <cellStyle name="Normal 79 5 2 2 3 3" xfId="27400" xr:uid="{00000000-0005-0000-0000-00002F720000}"/>
    <cellStyle name="Normal 79 5 2 2 4" xfId="15111" xr:uid="{00000000-0005-0000-0000-000030720000}"/>
    <cellStyle name="Normal 79 5 2 2 4 2" xfId="31661" xr:uid="{00000000-0005-0000-0000-000031720000}"/>
    <cellStyle name="Normal 79 5 2 2 5" xfId="23618" xr:uid="{00000000-0005-0000-0000-000032720000}"/>
    <cellStyle name="Normal 79 5 2 3" xfId="5819" xr:uid="{00000000-0005-0000-0000-000033720000}"/>
    <cellStyle name="Normal 79 5 2 3 2" xfId="9700" xr:uid="{00000000-0005-0000-0000-000034720000}"/>
    <cellStyle name="Normal 79 5 2 3 2 2" xfId="18874" xr:uid="{00000000-0005-0000-0000-000035720000}"/>
    <cellStyle name="Normal 79 5 2 3 2 2 2" xfId="35448" xr:uid="{00000000-0005-0000-0000-000036720000}"/>
    <cellStyle name="Normal 79 5 2 3 2 3" xfId="27401" xr:uid="{00000000-0005-0000-0000-000037720000}"/>
    <cellStyle name="Normal 79 5 2 3 3" xfId="15113" xr:uid="{00000000-0005-0000-0000-000038720000}"/>
    <cellStyle name="Normal 79 5 2 3 3 2" xfId="31663" xr:uid="{00000000-0005-0000-0000-000039720000}"/>
    <cellStyle name="Normal 79 5 2 3 4" xfId="23620" xr:uid="{00000000-0005-0000-0000-00003A720000}"/>
    <cellStyle name="Normal 79 5 2 4" xfId="9701" xr:uid="{00000000-0005-0000-0000-00003B720000}"/>
    <cellStyle name="Normal 79 5 2 4 2" xfId="18875" xr:uid="{00000000-0005-0000-0000-00003C720000}"/>
    <cellStyle name="Normal 79 5 2 4 2 2" xfId="35449" xr:uid="{00000000-0005-0000-0000-00003D720000}"/>
    <cellStyle name="Normal 79 5 2 4 3" xfId="27402" xr:uid="{00000000-0005-0000-0000-00003E720000}"/>
    <cellStyle name="Normal 79 5 2 5" xfId="15110" xr:uid="{00000000-0005-0000-0000-00003F720000}"/>
    <cellStyle name="Normal 79 5 2 5 2" xfId="31660" xr:uid="{00000000-0005-0000-0000-000040720000}"/>
    <cellStyle name="Normal 79 5 2 6" xfId="23617" xr:uid="{00000000-0005-0000-0000-000041720000}"/>
    <cellStyle name="Normal 79 5 3" xfId="5820" xr:uid="{00000000-0005-0000-0000-000042720000}"/>
    <cellStyle name="Normal 79 5 3 2" xfId="5821" xr:uid="{00000000-0005-0000-0000-000043720000}"/>
    <cellStyle name="Normal 79 5 3 2 2" xfId="9702" xr:uid="{00000000-0005-0000-0000-000044720000}"/>
    <cellStyle name="Normal 79 5 3 2 2 2" xfId="18876" xr:uid="{00000000-0005-0000-0000-000045720000}"/>
    <cellStyle name="Normal 79 5 3 2 2 2 2" xfId="35450" xr:uid="{00000000-0005-0000-0000-000046720000}"/>
    <cellStyle name="Normal 79 5 3 2 2 3" xfId="27403" xr:uid="{00000000-0005-0000-0000-000047720000}"/>
    <cellStyle name="Normal 79 5 3 2 3" xfId="15115" xr:uid="{00000000-0005-0000-0000-000048720000}"/>
    <cellStyle name="Normal 79 5 3 2 3 2" xfId="31665" xr:uid="{00000000-0005-0000-0000-000049720000}"/>
    <cellStyle name="Normal 79 5 3 2 4" xfId="23622" xr:uid="{00000000-0005-0000-0000-00004A720000}"/>
    <cellStyle name="Normal 79 5 3 3" xfId="9703" xr:uid="{00000000-0005-0000-0000-00004B720000}"/>
    <cellStyle name="Normal 79 5 3 3 2" xfId="18877" xr:uid="{00000000-0005-0000-0000-00004C720000}"/>
    <cellStyle name="Normal 79 5 3 3 2 2" xfId="35451" xr:uid="{00000000-0005-0000-0000-00004D720000}"/>
    <cellStyle name="Normal 79 5 3 3 3" xfId="27404" xr:uid="{00000000-0005-0000-0000-00004E720000}"/>
    <cellStyle name="Normal 79 5 3 4" xfId="15114" xr:uid="{00000000-0005-0000-0000-00004F720000}"/>
    <cellStyle name="Normal 79 5 3 4 2" xfId="31664" xr:uid="{00000000-0005-0000-0000-000050720000}"/>
    <cellStyle name="Normal 79 5 3 5" xfId="23621" xr:uid="{00000000-0005-0000-0000-000051720000}"/>
    <cellStyle name="Normal 79 5 4" xfId="5822" xr:uid="{00000000-0005-0000-0000-000052720000}"/>
    <cellStyle name="Normal 79 5 4 2" xfId="9704" xr:uid="{00000000-0005-0000-0000-000053720000}"/>
    <cellStyle name="Normal 79 5 4 2 2" xfId="18878" xr:uid="{00000000-0005-0000-0000-000054720000}"/>
    <cellStyle name="Normal 79 5 4 2 2 2" xfId="35452" xr:uid="{00000000-0005-0000-0000-000055720000}"/>
    <cellStyle name="Normal 79 5 4 2 3" xfId="27405" xr:uid="{00000000-0005-0000-0000-000056720000}"/>
    <cellStyle name="Normal 79 5 4 3" xfId="15116" xr:uid="{00000000-0005-0000-0000-000057720000}"/>
    <cellStyle name="Normal 79 5 4 3 2" xfId="31666" xr:uid="{00000000-0005-0000-0000-000058720000}"/>
    <cellStyle name="Normal 79 5 4 4" xfId="23623" xr:uid="{00000000-0005-0000-0000-000059720000}"/>
    <cellStyle name="Normal 79 5 5" xfId="9705" xr:uid="{00000000-0005-0000-0000-00005A720000}"/>
    <cellStyle name="Normal 79 5 5 2" xfId="18879" xr:uid="{00000000-0005-0000-0000-00005B720000}"/>
    <cellStyle name="Normal 79 5 5 2 2" xfId="35453" xr:uid="{00000000-0005-0000-0000-00005C720000}"/>
    <cellStyle name="Normal 79 5 5 3" xfId="27406" xr:uid="{00000000-0005-0000-0000-00005D720000}"/>
    <cellStyle name="Normal 79 5 6" xfId="15109" xr:uid="{00000000-0005-0000-0000-00005E720000}"/>
    <cellStyle name="Normal 79 5 6 2" xfId="31659" xr:uid="{00000000-0005-0000-0000-00005F720000}"/>
    <cellStyle name="Normal 79 5 7" xfId="23616" xr:uid="{00000000-0005-0000-0000-000060720000}"/>
    <cellStyle name="Normal 79 6" xfId="5823" xr:uid="{00000000-0005-0000-0000-000061720000}"/>
    <cellStyle name="Normal 79 6 2" xfId="5824" xr:uid="{00000000-0005-0000-0000-000062720000}"/>
    <cellStyle name="Normal 79 6 2 2" xfId="5825" xr:uid="{00000000-0005-0000-0000-000063720000}"/>
    <cellStyle name="Normal 79 6 2 2 2" xfId="9706" xr:uid="{00000000-0005-0000-0000-000064720000}"/>
    <cellStyle name="Normal 79 6 2 2 2 2" xfId="18880" xr:uid="{00000000-0005-0000-0000-000065720000}"/>
    <cellStyle name="Normal 79 6 2 2 2 2 2" xfId="35454" xr:uid="{00000000-0005-0000-0000-000066720000}"/>
    <cellStyle name="Normal 79 6 2 2 2 3" xfId="27407" xr:uid="{00000000-0005-0000-0000-000067720000}"/>
    <cellStyle name="Normal 79 6 2 2 3" xfId="15119" xr:uid="{00000000-0005-0000-0000-000068720000}"/>
    <cellStyle name="Normal 79 6 2 2 3 2" xfId="31669" xr:uid="{00000000-0005-0000-0000-000069720000}"/>
    <cellStyle name="Normal 79 6 2 2 4" xfId="23626" xr:uid="{00000000-0005-0000-0000-00006A720000}"/>
    <cellStyle name="Normal 79 6 2 3" xfId="9707" xr:uid="{00000000-0005-0000-0000-00006B720000}"/>
    <cellStyle name="Normal 79 6 2 3 2" xfId="18881" xr:uid="{00000000-0005-0000-0000-00006C720000}"/>
    <cellStyle name="Normal 79 6 2 3 2 2" xfId="35455" xr:uid="{00000000-0005-0000-0000-00006D720000}"/>
    <cellStyle name="Normal 79 6 2 3 3" xfId="27408" xr:uid="{00000000-0005-0000-0000-00006E720000}"/>
    <cellStyle name="Normal 79 6 2 4" xfId="15118" xr:uid="{00000000-0005-0000-0000-00006F720000}"/>
    <cellStyle name="Normal 79 6 2 4 2" xfId="31668" xr:uid="{00000000-0005-0000-0000-000070720000}"/>
    <cellStyle name="Normal 79 6 2 5" xfId="23625" xr:uid="{00000000-0005-0000-0000-000071720000}"/>
    <cellStyle name="Normal 79 6 3" xfId="5826" xr:uid="{00000000-0005-0000-0000-000072720000}"/>
    <cellStyle name="Normal 79 6 3 2" xfId="9708" xr:uid="{00000000-0005-0000-0000-000073720000}"/>
    <cellStyle name="Normal 79 6 3 2 2" xfId="18882" xr:uid="{00000000-0005-0000-0000-000074720000}"/>
    <cellStyle name="Normal 79 6 3 2 2 2" xfId="35456" xr:uid="{00000000-0005-0000-0000-000075720000}"/>
    <cellStyle name="Normal 79 6 3 2 3" xfId="27409" xr:uid="{00000000-0005-0000-0000-000076720000}"/>
    <cellStyle name="Normal 79 6 3 3" xfId="15120" xr:uid="{00000000-0005-0000-0000-000077720000}"/>
    <cellStyle name="Normal 79 6 3 3 2" xfId="31670" xr:uid="{00000000-0005-0000-0000-000078720000}"/>
    <cellStyle name="Normal 79 6 3 4" xfId="23627" xr:uid="{00000000-0005-0000-0000-000079720000}"/>
    <cellStyle name="Normal 79 6 4" xfId="9709" xr:uid="{00000000-0005-0000-0000-00007A720000}"/>
    <cellStyle name="Normal 79 6 4 2" xfId="18883" xr:uid="{00000000-0005-0000-0000-00007B720000}"/>
    <cellStyle name="Normal 79 6 4 2 2" xfId="35457" xr:uid="{00000000-0005-0000-0000-00007C720000}"/>
    <cellStyle name="Normal 79 6 4 3" xfId="27410" xr:uid="{00000000-0005-0000-0000-00007D720000}"/>
    <cellStyle name="Normal 79 6 5" xfId="15117" xr:uid="{00000000-0005-0000-0000-00007E720000}"/>
    <cellStyle name="Normal 79 6 5 2" xfId="31667" xr:uid="{00000000-0005-0000-0000-00007F720000}"/>
    <cellStyle name="Normal 79 6 6" xfId="23624" xr:uid="{00000000-0005-0000-0000-000080720000}"/>
    <cellStyle name="Normal 79 7" xfId="5827" xr:uid="{00000000-0005-0000-0000-000081720000}"/>
    <cellStyle name="Normal 79 7 2" xfId="5828" xr:uid="{00000000-0005-0000-0000-000082720000}"/>
    <cellStyle name="Normal 79 7 2 2" xfId="9710" xr:uid="{00000000-0005-0000-0000-000083720000}"/>
    <cellStyle name="Normal 79 7 2 2 2" xfId="18884" xr:uid="{00000000-0005-0000-0000-000084720000}"/>
    <cellStyle name="Normal 79 7 2 2 2 2" xfId="35458" xr:uid="{00000000-0005-0000-0000-000085720000}"/>
    <cellStyle name="Normal 79 7 2 2 3" xfId="27411" xr:uid="{00000000-0005-0000-0000-000086720000}"/>
    <cellStyle name="Normal 79 7 2 3" xfId="15122" xr:uid="{00000000-0005-0000-0000-000087720000}"/>
    <cellStyle name="Normal 79 7 2 3 2" xfId="31672" xr:uid="{00000000-0005-0000-0000-000088720000}"/>
    <cellStyle name="Normal 79 7 2 4" xfId="23629" xr:uid="{00000000-0005-0000-0000-000089720000}"/>
    <cellStyle name="Normal 79 7 3" xfId="9711" xr:uid="{00000000-0005-0000-0000-00008A720000}"/>
    <cellStyle name="Normal 79 7 3 2" xfId="18885" xr:uid="{00000000-0005-0000-0000-00008B720000}"/>
    <cellStyle name="Normal 79 7 3 2 2" xfId="35459" xr:uid="{00000000-0005-0000-0000-00008C720000}"/>
    <cellStyle name="Normal 79 7 3 3" xfId="27412" xr:uid="{00000000-0005-0000-0000-00008D720000}"/>
    <cellStyle name="Normal 79 7 4" xfId="15121" xr:uid="{00000000-0005-0000-0000-00008E720000}"/>
    <cellStyle name="Normal 79 7 4 2" xfId="31671" xr:uid="{00000000-0005-0000-0000-00008F720000}"/>
    <cellStyle name="Normal 79 7 5" xfId="23628" xr:uid="{00000000-0005-0000-0000-000090720000}"/>
    <cellStyle name="Normal 79 8" xfId="5829" xr:uid="{00000000-0005-0000-0000-000091720000}"/>
    <cellStyle name="Normal 79 8 2" xfId="9712" xr:uid="{00000000-0005-0000-0000-000092720000}"/>
    <cellStyle name="Normal 79 8 2 2" xfId="18886" xr:uid="{00000000-0005-0000-0000-000093720000}"/>
    <cellStyle name="Normal 79 8 2 2 2" xfId="35460" xr:uid="{00000000-0005-0000-0000-000094720000}"/>
    <cellStyle name="Normal 79 8 2 3" xfId="27413" xr:uid="{00000000-0005-0000-0000-000095720000}"/>
    <cellStyle name="Normal 79 8 3" xfId="15123" xr:uid="{00000000-0005-0000-0000-000096720000}"/>
    <cellStyle name="Normal 79 8 3 2" xfId="31673" xr:uid="{00000000-0005-0000-0000-000097720000}"/>
    <cellStyle name="Normal 79 8 4" xfId="23630" xr:uid="{00000000-0005-0000-0000-000098720000}"/>
    <cellStyle name="Normal 79 9" xfId="9713" xr:uid="{00000000-0005-0000-0000-000099720000}"/>
    <cellStyle name="Normal 79 9 2" xfId="18887" xr:uid="{00000000-0005-0000-0000-00009A720000}"/>
    <cellStyle name="Normal 79 9 2 2" xfId="35461" xr:uid="{00000000-0005-0000-0000-00009B720000}"/>
    <cellStyle name="Normal 79 9 3" xfId="27414" xr:uid="{00000000-0005-0000-0000-00009C720000}"/>
    <cellStyle name="Normal 8" xfId="54" xr:uid="{00000000-0005-0000-0000-00009D720000}"/>
    <cellStyle name="Normal 8 10" xfId="15124" xr:uid="{00000000-0005-0000-0000-00009E720000}"/>
    <cellStyle name="Normal 8 10 2" xfId="31674" xr:uid="{00000000-0005-0000-0000-00009F720000}"/>
    <cellStyle name="Normal 8 11" xfId="23631" xr:uid="{00000000-0005-0000-0000-0000A0720000}"/>
    <cellStyle name="Normal 8 2" xfId="331" xr:uid="{00000000-0005-0000-0000-0000A1720000}"/>
    <cellStyle name="Normal 8 2 2" xfId="332" xr:uid="{00000000-0005-0000-0000-0000A2720000}"/>
    <cellStyle name="Normal 8 2 2 2" xfId="5830" xr:uid="{00000000-0005-0000-0000-0000A3720000}"/>
    <cellStyle name="Normal 8 2 3" xfId="333" xr:uid="{00000000-0005-0000-0000-0000A4720000}"/>
    <cellStyle name="Normal 8 2 3 2" xfId="31675" xr:uid="{00000000-0005-0000-0000-0000A5720000}"/>
    <cellStyle name="Normal 8 2 4" xfId="23632" xr:uid="{00000000-0005-0000-0000-0000A6720000}"/>
    <cellStyle name="Normal 8 3" xfId="334" xr:uid="{00000000-0005-0000-0000-0000A7720000}"/>
    <cellStyle name="Normal 8 3 2" xfId="5832" xr:uid="{00000000-0005-0000-0000-0000A8720000}"/>
    <cellStyle name="Normal 8 3 2 2" xfId="5833" xr:uid="{00000000-0005-0000-0000-0000A9720000}"/>
    <cellStyle name="Normal 8 3 2 2 2" xfId="5834" xr:uid="{00000000-0005-0000-0000-0000AA720000}"/>
    <cellStyle name="Normal 8 3 2 2 2 2" xfId="9714" xr:uid="{00000000-0005-0000-0000-0000AB720000}"/>
    <cellStyle name="Normal 8 3 2 2 2 2 2" xfId="18888" xr:uid="{00000000-0005-0000-0000-0000AC720000}"/>
    <cellStyle name="Normal 8 3 2 2 2 2 2 2" xfId="35462" xr:uid="{00000000-0005-0000-0000-0000AD720000}"/>
    <cellStyle name="Normal 8 3 2 2 2 2 3" xfId="27415" xr:uid="{00000000-0005-0000-0000-0000AE720000}"/>
    <cellStyle name="Normal 8 3 2 2 2 3" xfId="15127" xr:uid="{00000000-0005-0000-0000-0000AF720000}"/>
    <cellStyle name="Normal 8 3 2 2 2 3 2" xfId="31678" xr:uid="{00000000-0005-0000-0000-0000B0720000}"/>
    <cellStyle name="Normal 8 3 2 2 2 4" xfId="23635" xr:uid="{00000000-0005-0000-0000-0000B1720000}"/>
    <cellStyle name="Normal 8 3 2 2 3" xfId="9715" xr:uid="{00000000-0005-0000-0000-0000B2720000}"/>
    <cellStyle name="Normal 8 3 2 2 3 2" xfId="18889" xr:uid="{00000000-0005-0000-0000-0000B3720000}"/>
    <cellStyle name="Normal 8 3 2 2 3 2 2" xfId="35463" xr:uid="{00000000-0005-0000-0000-0000B4720000}"/>
    <cellStyle name="Normal 8 3 2 2 3 3" xfId="27416" xr:uid="{00000000-0005-0000-0000-0000B5720000}"/>
    <cellStyle name="Normal 8 3 2 2 4" xfId="15126" xr:uid="{00000000-0005-0000-0000-0000B6720000}"/>
    <cellStyle name="Normal 8 3 2 2 4 2" xfId="31677" xr:uid="{00000000-0005-0000-0000-0000B7720000}"/>
    <cellStyle name="Normal 8 3 2 2 5" xfId="23634" xr:uid="{00000000-0005-0000-0000-0000B8720000}"/>
    <cellStyle name="Normal 8 3 2 3" xfId="5835" xr:uid="{00000000-0005-0000-0000-0000B9720000}"/>
    <cellStyle name="Normal 8 3 2 3 2" xfId="9716" xr:uid="{00000000-0005-0000-0000-0000BA720000}"/>
    <cellStyle name="Normal 8 3 2 3 2 2" xfId="18890" xr:uid="{00000000-0005-0000-0000-0000BB720000}"/>
    <cellStyle name="Normal 8 3 2 3 2 2 2" xfId="35464" xr:uid="{00000000-0005-0000-0000-0000BC720000}"/>
    <cellStyle name="Normal 8 3 2 3 2 3" xfId="27417" xr:uid="{00000000-0005-0000-0000-0000BD720000}"/>
    <cellStyle name="Normal 8 3 2 3 3" xfId="15128" xr:uid="{00000000-0005-0000-0000-0000BE720000}"/>
    <cellStyle name="Normal 8 3 2 3 3 2" xfId="31679" xr:uid="{00000000-0005-0000-0000-0000BF720000}"/>
    <cellStyle name="Normal 8 3 2 3 4" xfId="23636" xr:uid="{00000000-0005-0000-0000-0000C0720000}"/>
    <cellStyle name="Normal 8 3 2 4" xfId="9717" xr:uid="{00000000-0005-0000-0000-0000C1720000}"/>
    <cellStyle name="Normal 8 3 2 4 2" xfId="18891" xr:uid="{00000000-0005-0000-0000-0000C2720000}"/>
    <cellStyle name="Normal 8 3 2 4 2 2" xfId="35465" xr:uid="{00000000-0005-0000-0000-0000C3720000}"/>
    <cellStyle name="Normal 8 3 2 4 3" xfId="27418" xr:uid="{00000000-0005-0000-0000-0000C4720000}"/>
    <cellStyle name="Normal 8 3 2 5" xfId="15125" xr:uid="{00000000-0005-0000-0000-0000C5720000}"/>
    <cellStyle name="Normal 8 3 2 5 2" xfId="31676" xr:uid="{00000000-0005-0000-0000-0000C6720000}"/>
    <cellStyle name="Normal 8 3 2 6" xfId="23633" xr:uid="{00000000-0005-0000-0000-0000C7720000}"/>
    <cellStyle name="Normal 8 3 3" xfId="5836" xr:uid="{00000000-0005-0000-0000-0000C8720000}"/>
    <cellStyle name="Normal 8 3 3 2" xfId="5837" xr:uid="{00000000-0005-0000-0000-0000C9720000}"/>
    <cellStyle name="Normal 8 3 3 2 2" xfId="9718" xr:uid="{00000000-0005-0000-0000-0000CA720000}"/>
    <cellStyle name="Normal 8 3 3 2 2 2" xfId="18892" xr:uid="{00000000-0005-0000-0000-0000CB720000}"/>
    <cellStyle name="Normal 8 3 3 2 2 2 2" xfId="35466" xr:uid="{00000000-0005-0000-0000-0000CC720000}"/>
    <cellStyle name="Normal 8 3 3 2 2 3" xfId="27419" xr:uid="{00000000-0005-0000-0000-0000CD720000}"/>
    <cellStyle name="Normal 8 3 3 2 3" xfId="15130" xr:uid="{00000000-0005-0000-0000-0000CE720000}"/>
    <cellStyle name="Normal 8 3 3 2 3 2" xfId="31681" xr:uid="{00000000-0005-0000-0000-0000CF720000}"/>
    <cellStyle name="Normal 8 3 3 2 4" xfId="23638" xr:uid="{00000000-0005-0000-0000-0000D0720000}"/>
    <cellStyle name="Normal 8 3 3 3" xfId="9719" xr:uid="{00000000-0005-0000-0000-0000D1720000}"/>
    <cellStyle name="Normal 8 3 3 3 2" xfId="18893" xr:uid="{00000000-0005-0000-0000-0000D2720000}"/>
    <cellStyle name="Normal 8 3 3 3 2 2" xfId="35467" xr:uid="{00000000-0005-0000-0000-0000D3720000}"/>
    <cellStyle name="Normal 8 3 3 3 3" xfId="27420" xr:uid="{00000000-0005-0000-0000-0000D4720000}"/>
    <cellStyle name="Normal 8 3 3 4" xfId="15129" xr:uid="{00000000-0005-0000-0000-0000D5720000}"/>
    <cellStyle name="Normal 8 3 3 4 2" xfId="31680" xr:uid="{00000000-0005-0000-0000-0000D6720000}"/>
    <cellStyle name="Normal 8 3 3 5" xfId="23637" xr:uid="{00000000-0005-0000-0000-0000D7720000}"/>
    <cellStyle name="Normal 8 3 4" xfId="5838" xr:uid="{00000000-0005-0000-0000-0000D8720000}"/>
    <cellStyle name="Normal 8 3 4 2" xfId="9720" xr:uid="{00000000-0005-0000-0000-0000D9720000}"/>
    <cellStyle name="Normal 8 3 4 2 2" xfId="18894" xr:uid="{00000000-0005-0000-0000-0000DA720000}"/>
    <cellStyle name="Normal 8 3 4 2 2 2" xfId="35468" xr:uid="{00000000-0005-0000-0000-0000DB720000}"/>
    <cellStyle name="Normal 8 3 4 2 3" xfId="27421" xr:uid="{00000000-0005-0000-0000-0000DC720000}"/>
    <cellStyle name="Normal 8 3 4 3" xfId="15131" xr:uid="{00000000-0005-0000-0000-0000DD720000}"/>
    <cellStyle name="Normal 8 3 4 3 2" xfId="31682" xr:uid="{00000000-0005-0000-0000-0000DE720000}"/>
    <cellStyle name="Normal 8 3 4 4" xfId="23639" xr:uid="{00000000-0005-0000-0000-0000DF720000}"/>
    <cellStyle name="Normal 8 3 5" xfId="5839" xr:uid="{00000000-0005-0000-0000-0000E0720000}"/>
    <cellStyle name="Normal 8 3 5 2" xfId="15132" xr:uid="{00000000-0005-0000-0000-0000E1720000}"/>
    <cellStyle name="Normal 8 3 5 2 2" xfId="31683" xr:uid="{00000000-0005-0000-0000-0000E2720000}"/>
    <cellStyle name="Normal 8 3 5 3" xfId="23640" xr:uid="{00000000-0005-0000-0000-0000E3720000}"/>
    <cellStyle name="Normal 8 3 6" xfId="5831" xr:uid="{00000000-0005-0000-0000-0000E4720000}"/>
    <cellStyle name="Normal 8 4" xfId="335" xr:uid="{00000000-0005-0000-0000-0000E5720000}"/>
    <cellStyle name="Normal 8 4 2" xfId="5840" xr:uid="{00000000-0005-0000-0000-0000E6720000}"/>
    <cellStyle name="Normal 8 4 2 2" xfId="5841" xr:uid="{00000000-0005-0000-0000-0000E7720000}"/>
    <cellStyle name="Normal 8 4 2 2 2" xfId="5842" xr:uid="{00000000-0005-0000-0000-0000E8720000}"/>
    <cellStyle name="Normal 8 4 2 2 2 2" xfId="9721" xr:uid="{00000000-0005-0000-0000-0000E9720000}"/>
    <cellStyle name="Normal 8 4 2 2 2 2 2" xfId="18895" xr:uid="{00000000-0005-0000-0000-0000EA720000}"/>
    <cellStyle name="Normal 8 4 2 2 2 2 2 2" xfId="35469" xr:uid="{00000000-0005-0000-0000-0000EB720000}"/>
    <cellStyle name="Normal 8 4 2 2 2 2 3" xfId="27422" xr:uid="{00000000-0005-0000-0000-0000EC720000}"/>
    <cellStyle name="Normal 8 4 2 2 2 3" xfId="15136" xr:uid="{00000000-0005-0000-0000-0000ED720000}"/>
    <cellStyle name="Normal 8 4 2 2 2 3 2" xfId="31687" xr:uid="{00000000-0005-0000-0000-0000EE720000}"/>
    <cellStyle name="Normal 8 4 2 2 2 4" xfId="23644" xr:uid="{00000000-0005-0000-0000-0000EF720000}"/>
    <cellStyle name="Normal 8 4 2 2 3" xfId="9722" xr:uid="{00000000-0005-0000-0000-0000F0720000}"/>
    <cellStyle name="Normal 8 4 2 2 3 2" xfId="18896" xr:uid="{00000000-0005-0000-0000-0000F1720000}"/>
    <cellStyle name="Normal 8 4 2 2 3 2 2" xfId="35470" xr:uid="{00000000-0005-0000-0000-0000F2720000}"/>
    <cellStyle name="Normal 8 4 2 2 3 3" xfId="27423" xr:uid="{00000000-0005-0000-0000-0000F3720000}"/>
    <cellStyle name="Normal 8 4 2 2 4" xfId="15135" xr:uid="{00000000-0005-0000-0000-0000F4720000}"/>
    <cellStyle name="Normal 8 4 2 2 4 2" xfId="31686" xr:uid="{00000000-0005-0000-0000-0000F5720000}"/>
    <cellStyle name="Normal 8 4 2 2 5" xfId="23643" xr:uid="{00000000-0005-0000-0000-0000F6720000}"/>
    <cellStyle name="Normal 8 4 2 3" xfId="5843" xr:uid="{00000000-0005-0000-0000-0000F7720000}"/>
    <cellStyle name="Normal 8 4 2 3 2" xfId="9723" xr:uid="{00000000-0005-0000-0000-0000F8720000}"/>
    <cellStyle name="Normal 8 4 2 3 2 2" xfId="18897" xr:uid="{00000000-0005-0000-0000-0000F9720000}"/>
    <cellStyle name="Normal 8 4 2 3 2 2 2" xfId="35471" xr:uid="{00000000-0005-0000-0000-0000FA720000}"/>
    <cellStyle name="Normal 8 4 2 3 2 3" xfId="27424" xr:uid="{00000000-0005-0000-0000-0000FB720000}"/>
    <cellStyle name="Normal 8 4 2 3 3" xfId="15137" xr:uid="{00000000-0005-0000-0000-0000FC720000}"/>
    <cellStyle name="Normal 8 4 2 3 3 2" xfId="31688" xr:uid="{00000000-0005-0000-0000-0000FD720000}"/>
    <cellStyle name="Normal 8 4 2 3 4" xfId="23645" xr:uid="{00000000-0005-0000-0000-0000FE720000}"/>
    <cellStyle name="Normal 8 4 2 4" xfId="9724" xr:uid="{00000000-0005-0000-0000-0000FF720000}"/>
    <cellStyle name="Normal 8 4 2 4 2" xfId="18898" xr:uid="{00000000-0005-0000-0000-000000730000}"/>
    <cellStyle name="Normal 8 4 2 4 2 2" xfId="35472" xr:uid="{00000000-0005-0000-0000-000001730000}"/>
    <cellStyle name="Normal 8 4 2 4 3" xfId="27425" xr:uid="{00000000-0005-0000-0000-000002730000}"/>
    <cellStyle name="Normal 8 4 2 5" xfId="15134" xr:uid="{00000000-0005-0000-0000-000003730000}"/>
    <cellStyle name="Normal 8 4 2 5 2" xfId="31685" xr:uid="{00000000-0005-0000-0000-000004730000}"/>
    <cellStyle name="Normal 8 4 2 6" xfId="23642" xr:uid="{00000000-0005-0000-0000-000005730000}"/>
    <cellStyle name="Normal 8 4 3" xfId="5844" xr:uid="{00000000-0005-0000-0000-000006730000}"/>
    <cellStyle name="Normal 8 4 3 2" xfId="5845" xr:uid="{00000000-0005-0000-0000-000007730000}"/>
    <cellStyle name="Normal 8 4 3 2 2" xfId="9725" xr:uid="{00000000-0005-0000-0000-000008730000}"/>
    <cellStyle name="Normal 8 4 3 2 2 2" xfId="18899" xr:uid="{00000000-0005-0000-0000-000009730000}"/>
    <cellStyle name="Normal 8 4 3 2 2 2 2" xfId="35473" xr:uid="{00000000-0005-0000-0000-00000A730000}"/>
    <cellStyle name="Normal 8 4 3 2 2 3" xfId="27426" xr:uid="{00000000-0005-0000-0000-00000B730000}"/>
    <cellStyle name="Normal 8 4 3 2 3" xfId="15139" xr:uid="{00000000-0005-0000-0000-00000C730000}"/>
    <cellStyle name="Normal 8 4 3 2 3 2" xfId="31690" xr:uid="{00000000-0005-0000-0000-00000D730000}"/>
    <cellStyle name="Normal 8 4 3 2 4" xfId="23647" xr:uid="{00000000-0005-0000-0000-00000E730000}"/>
    <cellStyle name="Normal 8 4 3 3" xfId="9726" xr:uid="{00000000-0005-0000-0000-00000F730000}"/>
    <cellStyle name="Normal 8 4 3 3 2" xfId="18900" xr:uid="{00000000-0005-0000-0000-000010730000}"/>
    <cellStyle name="Normal 8 4 3 3 2 2" xfId="35474" xr:uid="{00000000-0005-0000-0000-000011730000}"/>
    <cellStyle name="Normal 8 4 3 3 3" xfId="27427" xr:uid="{00000000-0005-0000-0000-000012730000}"/>
    <cellStyle name="Normal 8 4 3 4" xfId="15138" xr:uid="{00000000-0005-0000-0000-000013730000}"/>
    <cellStyle name="Normal 8 4 3 4 2" xfId="31689" xr:uid="{00000000-0005-0000-0000-000014730000}"/>
    <cellStyle name="Normal 8 4 3 5" xfId="23646" xr:uid="{00000000-0005-0000-0000-000015730000}"/>
    <cellStyle name="Normal 8 4 4" xfId="5846" xr:uid="{00000000-0005-0000-0000-000016730000}"/>
    <cellStyle name="Normal 8 4 4 2" xfId="9727" xr:uid="{00000000-0005-0000-0000-000017730000}"/>
    <cellStyle name="Normal 8 4 4 2 2" xfId="18901" xr:uid="{00000000-0005-0000-0000-000018730000}"/>
    <cellStyle name="Normal 8 4 4 2 2 2" xfId="35475" xr:uid="{00000000-0005-0000-0000-000019730000}"/>
    <cellStyle name="Normal 8 4 4 2 3" xfId="27428" xr:uid="{00000000-0005-0000-0000-00001A730000}"/>
    <cellStyle name="Normal 8 4 4 3" xfId="15140" xr:uid="{00000000-0005-0000-0000-00001B730000}"/>
    <cellStyle name="Normal 8 4 4 3 2" xfId="31691" xr:uid="{00000000-0005-0000-0000-00001C730000}"/>
    <cellStyle name="Normal 8 4 4 4" xfId="23648" xr:uid="{00000000-0005-0000-0000-00001D730000}"/>
    <cellStyle name="Normal 8 4 5" xfId="9728" xr:uid="{00000000-0005-0000-0000-00001E730000}"/>
    <cellStyle name="Normal 8 4 5 2" xfId="18902" xr:uid="{00000000-0005-0000-0000-00001F730000}"/>
    <cellStyle name="Normal 8 4 5 2 2" xfId="35476" xr:uid="{00000000-0005-0000-0000-000020730000}"/>
    <cellStyle name="Normal 8 4 5 3" xfId="27429" xr:uid="{00000000-0005-0000-0000-000021730000}"/>
    <cellStyle name="Normal 8 4 6" xfId="15133" xr:uid="{00000000-0005-0000-0000-000022730000}"/>
    <cellStyle name="Normal 8 4 6 2" xfId="31684" xr:uid="{00000000-0005-0000-0000-000023730000}"/>
    <cellStyle name="Normal 8 4 7" xfId="23641" xr:uid="{00000000-0005-0000-0000-000024730000}"/>
    <cellStyle name="Normal 8 5" xfId="455" xr:uid="{00000000-0005-0000-0000-000025730000}"/>
    <cellStyle name="Normal 8 5 2" xfId="5848" xr:uid="{00000000-0005-0000-0000-000026730000}"/>
    <cellStyle name="Normal 8 5 2 2" xfId="5849" xr:uid="{00000000-0005-0000-0000-000027730000}"/>
    <cellStyle name="Normal 8 5 2 2 2" xfId="5850" xr:uid="{00000000-0005-0000-0000-000028730000}"/>
    <cellStyle name="Normal 8 5 2 2 2 2" xfId="9729" xr:uid="{00000000-0005-0000-0000-000029730000}"/>
    <cellStyle name="Normal 8 5 2 2 2 2 2" xfId="18903" xr:uid="{00000000-0005-0000-0000-00002A730000}"/>
    <cellStyle name="Normal 8 5 2 2 2 2 2 2" xfId="35477" xr:uid="{00000000-0005-0000-0000-00002B730000}"/>
    <cellStyle name="Normal 8 5 2 2 2 2 3" xfId="27430" xr:uid="{00000000-0005-0000-0000-00002C730000}"/>
    <cellStyle name="Normal 8 5 2 2 2 3" xfId="15143" xr:uid="{00000000-0005-0000-0000-00002D730000}"/>
    <cellStyle name="Normal 8 5 2 2 2 3 2" xfId="31695" xr:uid="{00000000-0005-0000-0000-00002E730000}"/>
    <cellStyle name="Normal 8 5 2 2 2 4" xfId="23652" xr:uid="{00000000-0005-0000-0000-00002F730000}"/>
    <cellStyle name="Normal 8 5 2 2 3" xfId="9730" xr:uid="{00000000-0005-0000-0000-000030730000}"/>
    <cellStyle name="Normal 8 5 2 2 3 2" xfId="18904" xr:uid="{00000000-0005-0000-0000-000031730000}"/>
    <cellStyle name="Normal 8 5 2 2 3 2 2" xfId="35478" xr:uid="{00000000-0005-0000-0000-000032730000}"/>
    <cellStyle name="Normal 8 5 2 2 3 3" xfId="27431" xr:uid="{00000000-0005-0000-0000-000033730000}"/>
    <cellStyle name="Normal 8 5 2 2 4" xfId="15142" xr:uid="{00000000-0005-0000-0000-000034730000}"/>
    <cellStyle name="Normal 8 5 2 2 4 2" xfId="31694" xr:uid="{00000000-0005-0000-0000-000035730000}"/>
    <cellStyle name="Normal 8 5 2 2 5" xfId="23651" xr:uid="{00000000-0005-0000-0000-000036730000}"/>
    <cellStyle name="Normal 8 5 2 3" xfId="5851" xr:uid="{00000000-0005-0000-0000-000037730000}"/>
    <cellStyle name="Normal 8 5 2 3 2" xfId="9731" xr:uid="{00000000-0005-0000-0000-000038730000}"/>
    <cellStyle name="Normal 8 5 2 3 2 2" xfId="18905" xr:uid="{00000000-0005-0000-0000-000039730000}"/>
    <cellStyle name="Normal 8 5 2 3 2 2 2" xfId="35479" xr:uid="{00000000-0005-0000-0000-00003A730000}"/>
    <cellStyle name="Normal 8 5 2 3 2 3" xfId="27432" xr:uid="{00000000-0005-0000-0000-00003B730000}"/>
    <cellStyle name="Normal 8 5 2 3 3" xfId="15144" xr:uid="{00000000-0005-0000-0000-00003C730000}"/>
    <cellStyle name="Normal 8 5 2 3 3 2" xfId="31696" xr:uid="{00000000-0005-0000-0000-00003D730000}"/>
    <cellStyle name="Normal 8 5 2 3 4" xfId="23653" xr:uid="{00000000-0005-0000-0000-00003E730000}"/>
    <cellStyle name="Normal 8 5 2 4" xfId="9732" xr:uid="{00000000-0005-0000-0000-00003F730000}"/>
    <cellStyle name="Normal 8 5 2 4 2" xfId="18906" xr:uid="{00000000-0005-0000-0000-000040730000}"/>
    <cellStyle name="Normal 8 5 2 4 2 2" xfId="35480" xr:uid="{00000000-0005-0000-0000-000041730000}"/>
    <cellStyle name="Normal 8 5 2 4 3" xfId="27433" xr:uid="{00000000-0005-0000-0000-000042730000}"/>
    <cellStyle name="Normal 8 5 2 5" xfId="15141" xr:uid="{00000000-0005-0000-0000-000043730000}"/>
    <cellStyle name="Normal 8 5 2 5 2" xfId="31693" xr:uid="{00000000-0005-0000-0000-000044730000}"/>
    <cellStyle name="Normal 8 5 2 6" xfId="23650" xr:uid="{00000000-0005-0000-0000-000045730000}"/>
    <cellStyle name="Normal 8 5 3" xfId="5852" xr:uid="{00000000-0005-0000-0000-000046730000}"/>
    <cellStyle name="Normal 8 5 3 2" xfId="5853" xr:uid="{00000000-0005-0000-0000-000047730000}"/>
    <cellStyle name="Normal 8 5 3 2 2" xfId="9733" xr:uid="{00000000-0005-0000-0000-000048730000}"/>
    <cellStyle name="Normal 8 5 3 2 2 2" xfId="18907" xr:uid="{00000000-0005-0000-0000-000049730000}"/>
    <cellStyle name="Normal 8 5 3 2 2 2 2" xfId="35481" xr:uid="{00000000-0005-0000-0000-00004A730000}"/>
    <cellStyle name="Normal 8 5 3 2 2 3" xfId="27434" xr:uid="{00000000-0005-0000-0000-00004B730000}"/>
    <cellStyle name="Normal 8 5 3 2 3" xfId="15146" xr:uid="{00000000-0005-0000-0000-00004C730000}"/>
    <cellStyle name="Normal 8 5 3 2 3 2" xfId="31698" xr:uid="{00000000-0005-0000-0000-00004D730000}"/>
    <cellStyle name="Normal 8 5 3 2 4" xfId="23655" xr:uid="{00000000-0005-0000-0000-00004E730000}"/>
    <cellStyle name="Normal 8 5 3 3" xfId="9734" xr:uid="{00000000-0005-0000-0000-00004F730000}"/>
    <cellStyle name="Normal 8 5 3 3 2" xfId="18908" xr:uid="{00000000-0005-0000-0000-000050730000}"/>
    <cellStyle name="Normal 8 5 3 3 2 2" xfId="35482" xr:uid="{00000000-0005-0000-0000-000051730000}"/>
    <cellStyle name="Normal 8 5 3 3 3" xfId="27435" xr:uid="{00000000-0005-0000-0000-000052730000}"/>
    <cellStyle name="Normal 8 5 3 4" xfId="15145" xr:uid="{00000000-0005-0000-0000-000053730000}"/>
    <cellStyle name="Normal 8 5 3 4 2" xfId="31697" xr:uid="{00000000-0005-0000-0000-000054730000}"/>
    <cellStyle name="Normal 8 5 3 5" xfId="23654" xr:uid="{00000000-0005-0000-0000-000055730000}"/>
    <cellStyle name="Normal 8 5 4" xfId="5854" xr:uid="{00000000-0005-0000-0000-000056730000}"/>
    <cellStyle name="Normal 8 5 4 2" xfId="9735" xr:uid="{00000000-0005-0000-0000-000057730000}"/>
    <cellStyle name="Normal 8 5 4 2 2" xfId="18909" xr:uid="{00000000-0005-0000-0000-000058730000}"/>
    <cellStyle name="Normal 8 5 4 2 2 2" xfId="35483" xr:uid="{00000000-0005-0000-0000-000059730000}"/>
    <cellStyle name="Normal 8 5 4 2 3" xfId="27436" xr:uid="{00000000-0005-0000-0000-00005A730000}"/>
    <cellStyle name="Normal 8 5 4 3" xfId="15147" xr:uid="{00000000-0005-0000-0000-00005B730000}"/>
    <cellStyle name="Normal 8 5 4 3 2" xfId="31699" xr:uid="{00000000-0005-0000-0000-00005C730000}"/>
    <cellStyle name="Normal 8 5 4 4" xfId="23656" xr:uid="{00000000-0005-0000-0000-00005D730000}"/>
    <cellStyle name="Normal 8 5 5" xfId="9736" xr:uid="{00000000-0005-0000-0000-00005E730000}"/>
    <cellStyle name="Normal 8 5 5 2" xfId="18910" xr:uid="{00000000-0005-0000-0000-00005F730000}"/>
    <cellStyle name="Normal 8 5 5 2 2" xfId="35484" xr:uid="{00000000-0005-0000-0000-000060730000}"/>
    <cellStyle name="Normal 8 5 5 3" xfId="27437" xr:uid="{00000000-0005-0000-0000-000061730000}"/>
    <cellStyle name="Normal 8 5 6" xfId="5847" xr:uid="{00000000-0005-0000-0000-000062730000}"/>
    <cellStyle name="Normal 8 5 6 2" xfId="31692" xr:uid="{00000000-0005-0000-0000-000063730000}"/>
    <cellStyle name="Normal 8 5 7" xfId="23649" xr:uid="{00000000-0005-0000-0000-000064730000}"/>
    <cellStyle name="Normal 8 6" xfId="1776" xr:uid="{00000000-0005-0000-0000-000065730000}"/>
    <cellStyle name="Normal 8 6 2" xfId="5856" xr:uid="{00000000-0005-0000-0000-000066730000}"/>
    <cellStyle name="Normal 8 6 2 2" xfId="5857" xr:uid="{00000000-0005-0000-0000-000067730000}"/>
    <cellStyle name="Normal 8 6 2 2 2" xfId="9737" xr:uid="{00000000-0005-0000-0000-000068730000}"/>
    <cellStyle name="Normal 8 6 2 2 2 2" xfId="18911" xr:uid="{00000000-0005-0000-0000-000069730000}"/>
    <cellStyle name="Normal 8 6 2 2 2 2 2" xfId="35485" xr:uid="{00000000-0005-0000-0000-00006A730000}"/>
    <cellStyle name="Normal 8 6 2 2 2 3" xfId="27438" xr:uid="{00000000-0005-0000-0000-00006B730000}"/>
    <cellStyle name="Normal 8 6 2 2 3" xfId="15149" xr:uid="{00000000-0005-0000-0000-00006C730000}"/>
    <cellStyle name="Normal 8 6 2 2 3 2" xfId="31702" xr:uid="{00000000-0005-0000-0000-00006D730000}"/>
    <cellStyle name="Normal 8 6 2 2 4" xfId="23659" xr:uid="{00000000-0005-0000-0000-00006E730000}"/>
    <cellStyle name="Normal 8 6 2 3" xfId="9738" xr:uid="{00000000-0005-0000-0000-00006F730000}"/>
    <cellStyle name="Normal 8 6 2 3 2" xfId="18912" xr:uid="{00000000-0005-0000-0000-000070730000}"/>
    <cellStyle name="Normal 8 6 2 3 2 2" xfId="35486" xr:uid="{00000000-0005-0000-0000-000071730000}"/>
    <cellStyle name="Normal 8 6 2 3 3" xfId="27439" xr:uid="{00000000-0005-0000-0000-000072730000}"/>
    <cellStyle name="Normal 8 6 2 4" xfId="15148" xr:uid="{00000000-0005-0000-0000-000073730000}"/>
    <cellStyle name="Normal 8 6 2 4 2" xfId="31701" xr:uid="{00000000-0005-0000-0000-000074730000}"/>
    <cellStyle name="Normal 8 6 2 5" xfId="23658" xr:uid="{00000000-0005-0000-0000-000075730000}"/>
    <cellStyle name="Normal 8 6 3" xfId="5858" xr:uid="{00000000-0005-0000-0000-000076730000}"/>
    <cellStyle name="Normal 8 6 3 2" xfId="9739" xr:uid="{00000000-0005-0000-0000-000077730000}"/>
    <cellStyle name="Normal 8 6 3 2 2" xfId="18913" xr:uid="{00000000-0005-0000-0000-000078730000}"/>
    <cellStyle name="Normal 8 6 3 2 2 2" xfId="35487" xr:uid="{00000000-0005-0000-0000-000079730000}"/>
    <cellStyle name="Normal 8 6 3 2 3" xfId="27440" xr:uid="{00000000-0005-0000-0000-00007A730000}"/>
    <cellStyle name="Normal 8 6 3 3" xfId="15150" xr:uid="{00000000-0005-0000-0000-00007B730000}"/>
    <cellStyle name="Normal 8 6 3 3 2" xfId="31703" xr:uid="{00000000-0005-0000-0000-00007C730000}"/>
    <cellStyle name="Normal 8 6 3 4" xfId="23660" xr:uid="{00000000-0005-0000-0000-00007D730000}"/>
    <cellStyle name="Normal 8 6 4" xfId="9740" xr:uid="{00000000-0005-0000-0000-00007E730000}"/>
    <cellStyle name="Normal 8 6 4 2" xfId="18914" xr:uid="{00000000-0005-0000-0000-00007F730000}"/>
    <cellStyle name="Normal 8 6 4 2 2" xfId="35488" xr:uid="{00000000-0005-0000-0000-000080730000}"/>
    <cellStyle name="Normal 8 6 4 3" xfId="27441" xr:uid="{00000000-0005-0000-0000-000081730000}"/>
    <cellStyle name="Normal 8 6 5" xfId="5855" xr:uid="{00000000-0005-0000-0000-000082730000}"/>
    <cellStyle name="Normal 8 6 5 2" xfId="31700" xr:uid="{00000000-0005-0000-0000-000083730000}"/>
    <cellStyle name="Normal 8 6 6" xfId="23657" xr:uid="{00000000-0005-0000-0000-000084730000}"/>
    <cellStyle name="Normal 8 7" xfId="1735" xr:uid="{00000000-0005-0000-0000-000085730000}"/>
    <cellStyle name="Normal 8 7 2" xfId="5860" xr:uid="{00000000-0005-0000-0000-000086730000}"/>
    <cellStyle name="Normal 8 7 2 2" xfId="9741" xr:uid="{00000000-0005-0000-0000-000087730000}"/>
    <cellStyle name="Normal 8 7 2 2 2" xfId="18915" xr:uid="{00000000-0005-0000-0000-000088730000}"/>
    <cellStyle name="Normal 8 7 2 2 2 2" xfId="35489" xr:uid="{00000000-0005-0000-0000-000089730000}"/>
    <cellStyle name="Normal 8 7 2 2 3" xfId="27442" xr:uid="{00000000-0005-0000-0000-00008A730000}"/>
    <cellStyle name="Normal 8 7 2 3" xfId="15151" xr:uid="{00000000-0005-0000-0000-00008B730000}"/>
    <cellStyle name="Normal 8 7 2 3 2" xfId="31705" xr:uid="{00000000-0005-0000-0000-00008C730000}"/>
    <cellStyle name="Normal 8 7 2 4" xfId="23662" xr:uid="{00000000-0005-0000-0000-00008D730000}"/>
    <cellStyle name="Normal 8 7 3" xfId="9742" xr:uid="{00000000-0005-0000-0000-00008E730000}"/>
    <cellStyle name="Normal 8 7 3 2" xfId="18916" xr:uid="{00000000-0005-0000-0000-00008F730000}"/>
    <cellStyle name="Normal 8 7 3 2 2" xfId="35490" xr:uid="{00000000-0005-0000-0000-000090730000}"/>
    <cellStyle name="Normal 8 7 3 3" xfId="27443" xr:uid="{00000000-0005-0000-0000-000091730000}"/>
    <cellStyle name="Normal 8 7 4" xfId="5859" xr:uid="{00000000-0005-0000-0000-000092730000}"/>
    <cellStyle name="Normal 8 7 4 2" xfId="31704" xr:uid="{00000000-0005-0000-0000-000093730000}"/>
    <cellStyle name="Normal 8 7 5" xfId="23661" xr:uid="{00000000-0005-0000-0000-000094730000}"/>
    <cellStyle name="Normal 8 8" xfId="5861" xr:uid="{00000000-0005-0000-0000-000095730000}"/>
    <cellStyle name="Normal 8 8 2" xfId="9743" xr:uid="{00000000-0005-0000-0000-000096730000}"/>
    <cellStyle name="Normal 8 8 2 2" xfId="18917" xr:uid="{00000000-0005-0000-0000-000097730000}"/>
    <cellStyle name="Normal 8 8 2 2 2" xfId="35491" xr:uid="{00000000-0005-0000-0000-000098730000}"/>
    <cellStyle name="Normal 8 8 2 3" xfId="27444" xr:uid="{00000000-0005-0000-0000-000099730000}"/>
    <cellStyle name="Normal 8 8 3" xfId="15152" xr:uid="{00000000-0005-0000-0000-00009A730000}"/>
    <cellStyle name="Normal 8 8 3 2" xfId="31706" xr:uid="{00000000-0005-0000-0000-00009B730000}"/>
    <cellStyle name="Normal 8 8 4" xfId="23663" xr:uid="{00000000-0005-0000-0000-00009C730000}"/>
    <cellStyle name="Normal 8 9" xfId="9744" xr:uid="{00000000-0005-0000-0000-00009D730000}"/>
    <cellStyle name="Normal 8 9 2" xfId="18918" xr:uid="{00000000-0005-0000-0000-00009E730000}"/>
    <cellStyle name="Normal 8 9 2 2" xfId="35492" xr:uid="{00000000-0005-0000-0000-00009F730000}"/>
    <cellStyle name="Normal 8 9 3" xfId="27445" xr:uid="{00000000-0005-0000-0000-0000A0730000}"/>
    <cellStyle name="Normal 80" xfId="5862" xr:uid="{00000000-0005-0000-0000-0000A1730000}"/>
    <cellStyle name="Normal 80 10" xfId="15153" xr:uid="{00000000-0005-0000-0000-0000A2730000}"/>
    <cellStyle name="Normal 80 10 2" xfId="31707" xr:uid="{00000000-0005-0000-0000-0000A3730000}"/>
    <cellStyle name="Normal 80 11" xfId="23664" xr:uid="{00000000-0005-0000-0000-0000A4730000}"/>
    <cellStyle name="Normal 80 2" xfId="5863" xr:uid="{00000000-0005-0000-0000-0000A5730000}"/>
    <cellStyle name="Normal 80 2 2" xfId="5864" xr:uid="{00000000-0005-0000-0000-0000A6730000}"/>
    <cellStyle name="Normal 80 2 3" xfId="15154" xr:uid="{00000000-0005-0000-0000-0000A7730000}"/>
    <cellStyle name="Normal 80 2 3 2" xfId="31708" xr:uid="{00000000-0005-0000-0000-0000A8730000}"/>
    <cellStyle name="Normal 80 2 4" xfId="23665" xr:uid="{00000000-0005-0000-0000-0000A9730000}"/>
    <cellStyle name="Normal 80 3" xfId="5865" xr:uid="{00000000-0005-0000-0000-0000AA730000}"/>
    <cellStyle name="Normal 80 3 2" xfId="5866" xr:uid="{00000000-0005-0000-0000-0000AB730000}"/>
    <cellStyle name="Normal 80 3 2 2" xfId="5867" xr:uid="{00000000-0005-0000-0000-0000AC730000}"/>
    <cellStyle name="Normal 80 3 2 2 2" xfId="5868" xr:uid="{00000000-0005-0000-0000-0000AD730000}"/>
    <cellStyle name="Normal 80 3 2 2 2 2" xfId="9745" xr:uid="{00000000-0005-0000-0000-0000AE730000}"/>
    <cellStyle name="Normal 80 3 2 2 2 2 2" xfId="18919" xr:uid="{00000000-0005-0000-0000-0000AF730000}"/>
    <cellStyle name="Normal 80 3 2 2 2 2 2 2" xfId="35493" xr:uid="{00000000-0005-0000-0000-0000B0730000}"/>
    <cellStyle name="Normal 80 3 2 2 2 2 3" xfId="27446" xr:uid="{00000000-0005-0000-0000-0000B1730000}"/>
    <cellStyle name="Normal 80 3 2 2 2 3" xfId="15157" xr:uid="{00000000-0005-0000-0000-0000B2730000}"/>
    <cellStyle name="Normal 80 3 2 2 2 3 2" xfId="31711" xr:uid="{00000000-0005-0000-0000-0000B3730000}"/>
    <cellStyle name="Normal 80 3 2 2 2 4" xfId="23668" xr:uid="{00000000-0005-0000-0000-0000B4730000}"/>
    <cellStyle name="Normal 80 3 2 2 3" xfId="9746" xr:uid="{00000000-0005-0000-0000-0000B5730000}"/>
    <cellStyle name="Normal 80 3 2 2 3 2" xfId="18920" xr:uid="{00000000-0005-0000-0000-0000B6730000}"/>
    <cellStyle name="Normal 80 3 2 2 3 2 2" xfId="35494" xr:uid="{00000000-0005-0000-0000-0000B7730000}"/>
    <cellStyle name="Normal 80 3 2 2 3 3" xfId="27447" xr:uid="{00000000-0005-0000-0000-0000B8730000}"/>
    <cellStyle name="Normal 80 3 2 2 4" xfId="15156" xr:uid="{00000000-0005-0000-0000-0000B9730000}"/>
    <cellStyle name="Normal 80 3 2 2 4 2" xfId="31710" xr:uid="{00000000-0005-0000-0000-0000BA730000}"/>
    <cellStyle name="Normal 80 3 2 2 5" xfId="23667" xr:uid="{00000000-0005-0000-0000-0000BB730000}"/>
    <cellStyle name="Normal 80 3 2 3" xfId="5869" xr:uid="{00000000-0005-0000-0000-0000BC730000}"/>
    <cellStyle name="Normal 80 3 2 3 2" xfId="9747" xr:uid="{00000000-0005-0000-0000-0000BD730000}"/>
    <cellStyle name="Normal 80 3 2 3 2 2" xfId="18921" xr:uid="{00000000-0005-0000-0000-0000BE730000}"/>
    <cellStyle name="Normal 80 3 2 3 2 2 2" xfId="35495" xr:uid="{00000000-0005-0000-0000-0000BF730000}"/>
    <cellStyle name="Normal 80 3 2 3 2 3" xfId="27448" xr:uid="{00000000-0005-0000-0000-0000C0730000}"/>
    <cellStyle name="Normal 80 3 2 3 3" xfId="15158" xr:uid="{00000000-0005-0000-0000-0000C1730000}"/>
    <cellStyle name="Normal 80 3 2 3 3 2" xfId="31712" xr:uid="{00000000-0005-0000-0000-0000C2730000}"/>
    <cellStyle name="Normal 80 3 2 3 4" xfId="23669" xr:uid="{00000000-0005-0000-0000-0000C3730000}"/>
    <cellStyle name="Normal 80 3 2 4" xfId="9748" xr:uid="{00000000-0005-0000-0000-0000C4730000}"/>
    <cellStyle name="Normal 80 3 2 4 2" xfId="18922" xr:uid="{00000000-0005-0000-0000-0000C5730000}"/>
    <cellStyle name="Normal 80 3 2 4 2 2" xfId="35496" xr:uid="{00000000-0005-0000-0000-0000C6730000}"/>
    <cellStyle name="Normal 80 3 2 4 3" xfId="27449" xr:uid="{00000000-0005-0000-0000-0000C7730000}"/>
    <cellStyle name="Normal 80 3 2 5" xfId="15155" xr:uid="{00000000-0005-0000-0000-0000C8730000}"/>
    <cellStyle name="Normal 80 3 2 5 2" xfId="31709" xr:uid="{00000000-0005-0000-0000-0000C9730000}"/>
    <cellStyle name="Normal 80 3 2 6" xfId="23666" xr:uid="{00000000-0005-0000-0000-0000CA730000}"/>
    <cellStyle name="Normal 80 3 3" xfId="5870" xr:uid="{00000000-0005-0000-0000-0000CB730000}"/>
    <cellStyle name="Normal 80 3 3 2" xfId="5871" xr:uid="{00000000-0005-0000-0000-0000CC730000}"/>
    <cellStyle name="Normal 80 3 3 2 2" xfId="9749" xr:uid="{00000000-0005-0000-0000-0000CD730000}"/>
    <cellStyle name="Normal 80 3 3 2 2 2" xfId="18923" xr:uid="{00000000-0005-0000-0000-0000CE730000}"/>
    <cellStyle name="Normal 80 3 3 2 2 2 2" xfId="35497" xr:uid="{00000000-0005-0000-0000-0000CF730000}"/>
    <cellStyle name="Normal 80 3 3 2 2 3" xfId="27450" xr:uid="{00000000-0005-0000-0000-0000D0730000}"/>
    <cellStyle name="Normal 80 3 3 2 3" xfId="15160" xr:uid="{00000000-0005-0000-0000-0000D1730000}"/>
    <cellStyle name="Normal 80 3 3 2 3 2" xfId="31714" xr:uid="{00000000-0005-0000-0000-0000D2730000}"/>
    <cellStyle name="Normal 80 3 3 2 4" xfId="23671" xr:uid="{00000000-0005-0000-0000-0000D3730000}"/>
    <cellStyle name="Normal 80 3 3 3" xfId="9750" xr:uid="{00000000-0005-0000-0000-0000D4730000}"/>
    <cellStyle name="Normal 80 3 3 3 2" xfId="18924" xr:uid="{00000000-0005-0000-0000-0000D5730000}"/>
    <cellStyle name="Normal 80 3 3 3 2 2" xfId="35498" xr:uid="{00000000-0005-0000-0000-0000D6730000}"/>
    <cellStyle name="Normal 80 3 3 3 3" xfId="27451" xr:uid="{00000000-0005-0000-0000-0000D7730000}"/>
    <cellStyle name="Normal 80 3 3 4" xfId="15159" xr:uid="{00000000-0005-0000-0000-0000D8730000}"/>
    <cellStyle name="Normal 80 3 3 4 2" xfId="31713" xr:uid="{00000000-0005-0000-0000-0000D9730000}"/>
    <cellStyle name="Normal 80 3 3 5" xfId="23670" xr:uid="{00000000-0005-0000-0000-0000DA730000}"/>
    <cellStyle name="Normal 80 3 4" xfId="5872" xr:uid="{00000000-0005-0000-0000-0000DB730000}"/>
    <cellStyle name="Normal 80 3 4 2" xfId="9751" xr:uid="{00000000-0005-0000-0000-0000DC730000}"/>
    <cellStyle name="Normal 80 3 4 2 2" xfId="18925" xr:uid="{00000000-0005-0000-0000-0000DD730000}"/>
    <cellStyle name="Normal 80 3 4 2 2 2" xfId="35499" xr:uid="{00000000-0005-0000-0000-0000DE730000}"/>
    <cellStyle name="Normal 80 3 4 2 3" xfId="27452" xr:uid="{00000000-0005-0000-0000-0000DF730000}"/>
    <cellStyle name="Normal 80 3 4 3" xfId="15161" xr:uid="{00000000-0005-0000-0000-0000E0730000}"/>
    <cellStyle name="Normal 80 3 4 3 2" xfId="31715" xr:uid="{00000000-0005-0000-0000-0000E1730000}"/>
    <cellStyle name="Normal 80 3 4 4" xfId="23672" xr:uid="{00000000-0005-0000-0000-0000E2730000}"/>
    <cellStyle name="Normal 80 3 5" xfId="5873" xr:uid="{00000000-0005-0000-0000-0000E3730000}"/>
    <cellStyle name="Normal 80 3 5 2" xfId="15162" xr:uid="{00000000-0005-0000-0000-0000E4730000}"/>
    <cellStyle name="Normal 80 3 5 2 2" xfId="31716" xr:uid="{00000000-0005-0000-0000-0000E5730000}"/>
    <cellStyle name="Normal 80 3 5 3" xfId="23673" xr:uid="{00000000-0005-0000-0000-0000E6730000}"/>
    <cellStyle name="Normal 80 4" xfId="5874" xr:uid="{00000000-0005-0000-0000-0000E7730000}"/>
    <cellStyle name="Normal 80 4 2" xfId="5875" xr:uid="{00000000-0005-0000-0000-0000E8730000}"/>
    <cellStyle name="Normal 80 4 2 2" xfId="5876" xr:uid="{00000000-0005-0000-0000-0000E9730000}"/>
    <cellStyle name="Normal 80 4 2 2 2" xfId="5877" xr:uid="{00000000-0005-0000-0000-0000EA730000}"/>
    <cellStyle name="Normal 80 4 2 2 2 2" xfId="9752" xr:uid="{00000000-0005-0000-0000-0000EB730000}"/>
    <cellStyle name="Normal 80 4 2 2 2 2 2" xfId="18926" xr:uid="{00000000-0005-0000-0000-0000EC730000}"/>
    <cellStyle name="Normal 80 4 2 2 2 2 2 2" xfId="35500" xr:uid="{00000000-0005-0000-0000-0000ED730000}"/>
    <cellStyle name="Normal 80 4 2 2 2 2 3" xfId="27453" xr:uid="{00000000-0005-0000-0000-0000EE730000}"/>
    <cellStyle name="Normal 80 4 2 2 2 3" xfId="15166" xr:uid="{00000000-0005-0000-0000-0000EF730000}"/>
    <cellStyle name="Normal 80 4 2 2 2 3 2" xfId="31720" xr:uid="{00000000-0005-0000-0000-0000F0730000}"/>
    <cellStyle name="Normal 80 4 2 2 2 4" xfId="23677" xr:uid="{00000000-0005-0000-0000-0000F1730000}"/>
    <cellStyle name="Normal 80 4 2 2 3" xfId="9753" xr:uid="{00000000-0005-0000-0000-0000F2730000}"/>
    <cellStyle name="Normal 80 4 2 2 3 2" xfId="18927" xr:uid="{00000000-0005-0000-0000-0000F3730000}"/>
    <cellStyle name="Normal 80 4 2 2 3 2 2" xfId="35501" xr:uid="{00000000-0005-0000-0000-0000F4730000}"/>
    <cellStyle name="Normal 80 4 2 2 3 3" xfId="27454" xr:uid="{00000000-0005-0000-0000-0000F5730000}"/>
    <cellStyle name="Normal 80 4 2 2 4" xfId="15165" xr:uid="{00000000-0005-0000-0000-0000F6730000}"/>
    <cellStyle name="Normal 80 4 2 2 4 2" xfId="31719" xr:uid="{00000000-0005-0000-0000-0000F7730000}"/>
    <cellStyle name="Normal 80 4 2 2 5" xfId="23676" xr:uid="{00000000-0005-0000-0000-0000F8730000}"/>
    <cellStyle name="Normal 80 4 2 3" xfId="5878" xr:uid="{00000000-0005-0000-0000-0000F9730000}"/>
    <cellStyle name="Normal 80 4 2 3 2" xfId="9754" xr:uid="{00000000-0005-0000-0000-0000FA730000}"/>
    <cellStyle name="Normal 80 4 2 3 2 2" xfId="18928" xr:uid="{00000000-0005-0000-0000-0000FB730000}"/>
    <cellStyle name="Normal 80 4 2 3 2 2 2" xfId="35502" xr:uid="{00000000-0005-0000-0000-0000FC730000}"/>
    <cellStyle name="Normal 80 4 2 3 2 3" xfId="27455" xr:uid="{00000000-0005-0000-0000-0000FD730000}"/>
    <cellStyle name="Normal 80 4 2 3 3" xfId="15167" xr:uid="{00000000-0005-0000-0000-0000FE730000}"/>
    <cellStyle name="Normal 80 4 2 3 3 2" xfId="31721" xr:uid="{00000000-0005-0000-0000-0000FF730000}"/>
    <cellStyle name="Normal 80 4 2 3 4" xfId="23678" xr:uid="{00000000-0005-0000-0000-000000740000}"/>
    <cellStyle name="Normal 80 4 2 4" xfId="9755" xr:uid="{00000000-0005-0000-0000-000001740000}"/>
    <cellStyle name="Normal 80 4 2 4 2" xfId="18929" xr:uid="{00000000-0005-0000-0000-000002740000}"/>
    <cellStyle name="Normal 80 4 2 4 2 2" xfId="35503" xr:uid="{00000000-0005-0000-0000-000003740000}"/>
    <cellStyle name="Normal 80 4 2 4 3" xfId="27456" xr:uid="{00000000-0005-0000-0000-000004740000}"/>
    <cellStyle name="Normal 80 4 2 5" xfId="15164" xr:uid="{00000000-0005-0000-0000-000005740000}"/>
    <cellStyle name="Normal 80 4 2 5 2" xfId="31718" xr:uid="{00000000-0005-0000-0000-000006740000}"/>
    <cellStyle name="Normal 80 4 2 6" xfId="23675" xr:uid="{00000000-0005-0000-0000-000007740000}"/>
    <cellStyle name="Normal 80 4 3" xfId="5879" xr:uid="{00000000-0005-0000-0000-000008740000}"/>
    <cellStyle name="Normal 80 4 3 2" xfId="5880" xr:uid="{00000000-0005-0000-0000-000009740000}"/>
    <cellStyle name="Normal 80 4 3 2 2" xfId="9756" xr:uid="{00000000-0005-0000-0000-00000A740000}"/>
    <cellStyle name="Normal 80 4 3 2 2 2" xfId="18930" xr:uid="{00000000-0005-0000-0000-00000B740000}"/>
    <cellStyle name="Normal 80 4 3 2 2 2 2" xfId="35504" xr:uid="{00000000-0005-0000-0000-00000C740000}"/>
    <cellStyle name="Normal 80 4 3 2 2 3" xfId="27457" xr:uid="{00000000-0005-0000-0000-00000D740000}"/>
    <cellStyle name="Normal 80 4 3 2 3" xfId="15169" xr:uid="{00000000-0005-0000-0000-00000E740000}"/>
    <cellStyle name="Normal 80 4 3 2 3 2" xfId="31723" xr:uid="{00000000-0005-0000-0000-00000F740000}"/>
    <cellStyle name="Normal 80 4 3 2 4" xfId="23680" xr:uid="{00000000-0005-0000-0000-000010740000}"/>
    <cellStyle name="Normal 80 4 3 3" xfId="9757" xr:uid="{00000000-0005-0000-0000-000011740000}"/>
    <cellStyle name="Normal 80 4 3 3 2" xfId="18931" xr:uid="{00000000-0005-0000-0000-000012740000}"/>
    <cellStyle name="Normal 80 4 3 3 2 2" xfId="35505" xr:uid="{00000000-0005-0000-0000-000013740000}"/>
    <cellStyle name="Normal 80 4 3 3 3" xfId="27458" xr:uid="{00000000-0005-0000-0000-000014740000}"/>
    <cellStyle name="Normal 80 4 3 4" xfId="15168" xr:uid="{00000000-0005-0000-0000-000015740000}"/>
    <cellStyle name="Normal 80 4 3 4 2" xfId="31722" xr:uid="{00000000-0005-0000-0000-000016740000}"/>
    <cellStyle name="Normal 80 4 3 5" xfId="23679" xr:uid="{00000000-0005-0000-0000-000017740000}"/>
    <cellStyle name="Normal 80 4 4" xfId="5881" xr:uid="{00000000-0005-0000-0000-000018740000}"/>
    <cellStyle name="Normal 80 4 4 2" xfId="9758" xr:uid="{00000000-0005-0000-0000-000019740000}"/>
    <cellStyle name="Normal 80 4 4 2 2" xfId="18932" xr:uid="{00000000-0005-0000-0000-00001A740000}"/>
    <cellStyle name="Normal 80 4 4 2 2 2" xfId="35506" xr:uid="{00000000-0005-0000-0000-00001B740000}"/>
    <cellStyle name="Normal 80 4 4 2 3" xfId="27459" xr:uid="{00000000-0005-0000-0000-00001C740000}"/>
    <cellStyle name="Normal 80 4 4 3" xfId="15170" xr:uid="{00000000-0005-0000-0000-00001D740000}"/>
    <cellStyle name="Normal 80 4 4 3 2" xfId="31724" xr:uid="{00000000-0005-0000-0000-00001E740000}"/>
    <cellStyle name="Normal 80 4 4 4" xfId="23681" xr:uid="{00000000-0005-0000-0000-00001F740000}"/>
    <cellStyle name="Normal 80 4 5" xfId="9759" xr:uid="{00000000-0005-0000-0000-000020740000}"/>
    <cellStyle name="Normal 80 4 5 2" xfId="18933" xr:uid="{00000000-0005-0000-0000-000021740000}"/>
    <cellStyle name="Normal 80 4 5 2 2" xfId="35507" xr:uid="{00000000-0005-0000-0000-000022740000}"/>
    <cellStyle name="Normal 80 4 5 3" xfId="27460" xr:uid="{00000000-0005-0000-0000-000023740000}"/>
    <cellStyle name="Normal 80 4 6" xfId="15163" xr:uid="{00000000-0005-0000-0000-000024740000}"/>
    <cellStyle name="Normal 80 4 6 2" xfId="31717" xr:uid="{00000000-0005-0000-0000-000025740000}"/>
    <cellStyle name="Normal 80 4 7" xfId="23674" xr:uid="{00000000-0005-0000-0000-000026740000}"/>
    <cellStyle name="Normal 80 5" xfId="5882" xr:uid="{00000000-0005-0000-0000-000027740000}"/>
    <cellStyle name="Normal 80 5 2" xfId="5883" xr:uid="{00000000-0005-0000-0000-000028740000}"/>
    <cellStyle name="Normal 80 5 2 2" xfId="5884" xr:uid="{00000000-0005-0000-0000-000029740000}"/>
    <cellStyle name="Normal 80 5 2 2 2" xfId="5885" xr:uid="{00000000-0005-0000-0000-00002A740000}"/>
    <cellStyle name="Normal 80 5 2 2 2 2" xfId="9760" xr:uid="{00000000-0005-0000-0000-00002B740000}"/>
    <cellStyle name="Normal 80 5 2 2 2 2 2" xfId="18934" xr:uid="{00000000-0005-0000-0000-00002C740000}"/>
    <cellStyle name="Normal 80 5 2 2 2 2 2 2" xfId="35508" xr:uid="{00000000-0005-0000-0000-00002D740000}"/>
    <cellStyle name="Normal 80 5 2 2 2 2 3" xfId="27461" xr:uid="{00000000-0005-0000-0000-00002E740000}"/>
    <cellStyle name="Normal 80 5 2 2 2 3" xfId="15174" xr:uid="{00000000-0005-0000-0000-00002F740000}"/>
    <cellStyle name="Normal 80 5 2 2 2 3 2" xfId="31728" xr:uid="{00000000-0005-0000-0000-000030740000}"/>
    <cellStyle name="Normal 80 5 2 2 2 4" xfId="23685" xr:uid="{00000000-0005-0000-0000-000031740000}"/>
    <cellStyle name="Normal 80 5 2 2 3" xfId="9761" xr:uid="{00000000-0005-0000-0000-000032740000}"/>
    <cellStyle name="Normal 80 5 2 2 3 2" xfId="18935" xr:uid="{00000000-0005-0000-0000-000033740000}"/>
    <cellStyle name="Normal 80 5 2 2 3 2 2" xfId="35509" xr:uid="{00000000-0005-0000-0000-000034740000}"/>
    <cellStyle name="Normal 80 5 2 2 3 3" xfId="27462" xr:uid="{00000000-0005-0000-0000-000035740000}"/>
    <cellStyle name="Normal 80 5 2 2 4" xfId="15173" xr:uid="{00000000-0005-0000-0000-000036740000}"/>
    <cellStyle name="Normal 80 5 2 2 4 2" xfId="31727" xr:uid="{00000000-0005-0000-0000-000037740000}"/>
    <cellStyle name="Normal 80 5 2 2 5" xfId="23684" xr:uid="{00000000-0005-0000-0000-000038740000}"/>
    <cellStyle name="Normal 80 5 2 3" xfId="5886" xr:uid="{00000000-0005-0000-0000-000039740000}"/>
    <cellStyle name="Normal 80 5 2 3 2" xfId="9762" xr:uid="{00000000-0005-0000-0000-00003A740000}"/>
    <cellStyle name="Normal 80 5 2 3 2 2" xfId="18936" xr:uid="{00000000-0005-0000-0000-00003B740000}"/>
    <cellStyle name="Normal 80 5 2 3 2 2 2" xfId="35510" xr:uid="{00000000-0005-0000-0000-00003C740000}"/>
    <cellStyle name="Normal 80 5 2 3 2 3" xfId="27463" xr:uid="{00000000-0005-0000-0000-00003D740000}"/>
    <cellStyle name="Normal 80 5 2 3 3" xfId="15175" xr:uid="{00000000-0005-0000-0000-00003E740000}"/>
    <cellStyle name="Normal 80 5 2 3 3 2" xfId="31729" xr:uid="{00000000-0005-0000-0000-00003F740000}"/>
    <cellStyle name="Normal 80 5 2 3 4" xfId="23686" xr:uid="{00000000-0005-0000-0000-000040740000}"/>
    <cellStyle name="Normal 80 5 2 4" xfId="9763" xr:uid="{00000000-0005-0000-0000-000041740000}"/>
    <cellStyle name="Normal 80 5 2 4 2" xfId="18937" xr:uid="{00000000-0005-0000-0000-000042740000}"/>
    <cellStyle name="Normal 80 5 2 4 2 2" xfId="35511" xr:uid="{00000000-0005-0000-0000-000043740000}"/>
    <cellStyle name="Normal 80 5 2 4 3" xfId="27464" xr:uid="{00000000-0005-0000-0000-000044740000}"/>
    <cellStyle name="Normal 80 5 2 5" xfId="15172" xr:uid="{00000000-0005-0000-0000-000045740000}"/>
    <cellStyle name="Normal 80 5 2 5 2" xfId="31726" xr:uid="{00000000-0005-0000-0000-000046740000}"/>
    <cellStyle name="Normal 80 5 2 6" xfId="23683" xr:uid="{00000000-0005-0000-0000-000047740000}"/>
    <cellStyle name="Normal 80 5 3" xfId="5887" xr:uid="{00000000-0005-0000-0000-000048740000}"/>
    <cellStyle name="Normal 80 5 3 2" xfId="5888" xr:uid="{00000000-0005-0000-0000-000049740000}"/>
    <cellStyle name="Normal 80 5 3 2 2" xfId="9764" xr:uid="{00000000-0005-0000-0000-00004A740000}"/>
    <cellStyle name="Normal 80 5 3 2 2 2" xfId="18938" xr:uid="{00000000-0005-0000-0000-00004B740000}"/>
    <cellStyle name="Normal 80 5 3 2 2 2 2" xfId="35512" xr:uid="{00000000-0005-0000-0000-00004C740000}"/>
    <cellStyle name="Normal 80 5 3 2 2 3" xfId="27465" xr:uid="{00000000-0005-0000-0000-00004D740000}"/>
    <cellStyle name="Normal 80 5 3 2 3" xfId="15177" xr:uid="{00000000-0005-0000-0000-00004E740000}"/>
    <cellStyle name="Normal 80 5 3 2 3 2" xfId="31731" xr:uid="{00000000-0005-0000-0000-00004F740000}"/>
    <cellStyle name="Normal 80 5 3 2 4" xfId="23688" xr:uid="{00000000-0005-0000-0000-000050740000}"/>
    <cellStyle name="Normal 80 5 3 3" xfId="9765" xr:uid="{00000000-0005-0000-0000-000051740000}"/>
    <cellStyle name="Normal 80 5 3 3 2" xfId="18939" xr:uid="{00000000-0005-0000-0000-000052740000}"/>
    <cellStyle name="Normal 80 5 3 3 2 2" xfId="35513" xr:uid="{00000000-0005-0000-0000-000053740000}"/>
    <cellStyle name="Normal 80 5 3 3 3" xfId="27466" xr:uid="{00000000-0005-0000-0000-000054740000}"/>
    <cellStyle name="Normal 80 5 3 4" xfId="15176" xr:uid="{00000000-0005-0000-0000-000055740000}"/>
    <cellStyle name="Normal 80 5 3 4 2" xfId="31730" xr:uid="{00000000-0005-0000-0000-000056740000}"/>
    <cellStyle name="Normal 80 5 3 5" xfId="23687" xr:uid="{00000000-0005-0000-0000-000057740000}"/>
    <cellStyle name="Normal 80 5 4" xfId="5889" xr:uid="{00000000-0005-0000-0000-000058740000}"/>
    <cellStyle name="Normal 80 5 4 2" xfId="9766" xr:uid="{00000000-0005-0000-0000-000059740000}"/>
    <cellStyle name="Normal 80 5 4 2 2" xfId="18940" xr:uid="{00000000-0005-0000-0000-00005A740000}"/>
    <cellStyle name="Normal 80 5 4 2 2 2" xfId="35514" xr:uid="{00000000-0005-0000-0000-00005B740000}"/>
    <cellStyle name="Normal 80 5 4 2 3" xfId="27467" xr:uid="{00000000-0005-0000-0000-00005C740000}"/>
    <cellStyle name="Normal 80 5 4 3" xfId="15178" xr:uid="{00000000-0005-0000-0000-00005D740000}"/>
    <cellStyle name="Normal 80 5 4 3 2" xfId="31732" xr:uid="{00000000-0005-0000-0000-00005E740000}"/>
    <cellStyle name="Normal 80 5 4 4" xfId="23689" xr:uid="{00000000-0005-0000-0000-00005F740000}"/>
    <cellStyle name="Normal 80 5 5" xfId="9767" xr:uid="{00000000-0005-0000-0000-000060740000}"/>
    <cellStyle name="Normal 80 5 5 2" xfId="18941" xr:uid="{00000000-0005-0000-0000-000061740000}"/>
    <cellStyle name="Normal 80 5 5 2 2" xfId="35515" xr:uid="{00000000-0005-0000-0000-000062740000}"/>
    <cellStyle name="Normal 80 5 5 3" xfId="27468" xr:uid="{00000000-0005-0000-0000-000063740000}"/>
    <cellStyle name="Normal 80 5 6" xfId="15171" xr:uid="{00000000-0005-0000-0000-000064740000}"/>
    <cellStyle name="Normal 80 5 6 2" xfId="31725" xr:uid="{00000000-0005-0000-0000-000065740000}"/>
    <cellStyle name="Normal 80 5 7" xfId="23682" xr:uid="{00000000-0005-0000-0000-000066740000}"/>
    <cellStyle name="Normal 80 6" xfId="5890" xr:uid="{00000000-0005-0000-0000-000067740000}"/>
    <cellStyle name="Normal 80 6 2" xfId="5891" xr:uid="{00000000-0005-0000-0000-000068740000}"/>
    <cellStyle name="Normal 80 6 2 2" xfId="5892" xr:uid="{00000000-0005-0000-0000-000069740000}"/>
    <cellStyle name="Normal 80 6 2 2 2" xfId="9768" xr:uid="{00000000-0005-0000-0000-00006A740000}"/>
    <cellStyle name="Normal 80 6 2 2 2 2" xfId="18942" xr:uid="{00000000-0005-0000-0000-00006B740000}"/>
    <cellStyle name="Normal 80 6 2 2 2 2 2" xfId="35516" xr:uid="{00000000-0005-0000-0000-00006C740000}"/>
    <cellStyle name="Normal 80 6 2 2 2 3" xfId="27469" xr:uid="{00000000-0005-0000-0000-00006D740000}"/>
    <cellStyle name="Normal 80 6 2 2 3" xfId="15181" xr:uid="{00000000-0005-0000-0000-00006E740000}"/>
    <cellStyle name="Normal 80 6 2 2 3 2" xfId="31735" xr:uid="{00000000-0005-0000-0000-00006F740000}"/>
    <cellStyle name="Normal 80 6 2 2 4" xfId="23692" xr:uid="{00000000-0005-0000-0000-000070740000}"/>
    <cellStyle name="Normal 80 6 2 3" xfId="9769" xr:uid="{00000000-0005-0000-0000-000071740000}"/>
    <cellStyle name="Normal 80 6 2 3 2" xfId="18943" xr:uid="{00000000-0005-0000-0000-000072740000}"/>
    <cellStyle name="Normal 80 6 2 3 2 2" xfId="35517" xr:uid="{00000000-0005-0000-0000-000073740000}"/>
    <cellStyle name="Normal 80 6 2 3 3" xfId="27470" xr:uid="{00000000-0005-0000-0000-000074740000}"/>
    <cellStyle name="Normal 80 6 2 4" xfId="15180" xr:uid="{00000000-0005-0000-0000-000075740000}"/>
    <cellStyle name="Normal 80 6 2 4 2" xfId="31734" xr:uid="{00000000-0005-0000-0000-000076740000}"/>
    <cellStyle name="Normal 80 6 2 5" xfId="23691" xr:uid="{00000000-0005-0000-0000-000077740000}"/>
    <cellStyle name="Normal 80 6 3" xfId="5893" xr:uid="{00000000-0005-0000-0000-000078740000}"/>
    <cellStyle name="Normal 80 6 3 2" xfId="9770" xr:uid="{00000000-0005-0000-0000-000079740000}"/>
    <cellStyle name="Normal 80 6 3 2 2" xfId="18944" xr:uid="{00000000-0005-0000-0000-00007A740000}"/>
    <cellStyle name="Normal 80 6 3 2 2 2" xfId="35518" xr:uid="{00000000-0005-0000-0000-00007B740000}"/>
    <cellStyle name="Normal 80 6 3 2 3" xfId="27471" xr:uid="{00000000-0005-0000-0000-00007C740000}"/>
    <cellStyle name="Normal 80 6 3 3" xfId="15182" xr:uid="{00000000-0005-0000-0000-00007D740000}"/>
    <cellStyle name="Normal 80 6 3 3 2" xfId="31736" xr:uid="{00000000-0005-0000-0000-00007E740000}"/>
    <cellStyle name="Normal 80 6 3 4" xfId="23693" xr:uid="{00000000-0005-0000-0000-00007F740000}"/>
    <cellStyle name="Normal 80 6 4" xfId="9771" xr:uid="{00000000-0005-0000-0000-000080740000}"/>
    <cellStyle name="Normal 80 6 4 2" xfId="18945" xr:uid="{00000000-0005-0000-0000-000081740000}"/>
    <cellStyle name="Normal 80 6 4 2 2" xfId="35519" xr:uid="{00000000-0005-0000-0000-000082740000}"/>
    <cellStyle name="Normal 80 6 4 3" xfId="27472" xr:uid="{00000000-0005-0000-0000-000083740000}"/>
    <cellStyle name="Normal 80 6 5" xfId="15179" xr:uid="{00000000-0005-0000-0000-000084740000}"/>
    <cellStyle name="Normal 80 6 5 2" xfId="31733" xr:uid="{00000000-0005-0000-0000-000085740000}"/>
    <cellStyle name="Normal 80 6 6" xfId="23690" xr:uid="{00000000-0005-0000-0000-000086740000}"/>
    <cellStyle name="Normal 80 7" xfId="5894" xr:uid="{00000000-0005-0000-0000-000087740000}"/>
    <cellStyle name="Normal 80 7 2" xfId="5895" xr:uid="{00000000-0005-0000-0000-000088740000}"/>
    <cellStyle name="Normal 80 7 2 2" xfId="9772" xr:uid="{00000000-0005-0000-0000-000089740000}"/>
    <cellStyle name="Normal 80 7 2 2 2" xfId="18946" xr:uid="{00000000-0005-0000-0000-00008A740000}"/>
    <cellStyle name="Normal 80 7 2 2 2 2" xfId="35520" xr:uid="{00000000-0005-0000-0000-00008B740000}"/>
    <cellStyle name="Normal 80 7 2 2 3" xfId="27473" xr:uid="{00000000-0005-0000-0000-00008C740000}"/>
    <cellStyle name="Normal 80 7 2 3" xfId="15184" xr:uid="{00000000-0005-0000-0000-00008D740000}"/>
    <cellStyle name="Normal 80 7 2 3 2" xfId="31738" xr:uid="{00000000-0005-0000-0000-00008E740000}"/>
    <cellStyle name="Normal 80 7 2 4" xfId="23695" xr:uid="{00000000-0005-0000-0000-00008F740000}"/>
    <cellStyle name="Normal 80 7 3" xfId="9773" xr:uid="{00000000-0005-0000-0000-000090740000}"/>
    <cellStyle name="Normal 80 7 3 2" xfId="18947" xr:uid="{00000000-0005-0000-0000-000091740000}"/>
    <cellStyle name="Normal 80 7 3 2 2" xfId="35521" xr:uid="{00000000-0005-0000-0000-000092740000}"/>
    <cellStyle name="Normal 80 7 3 3" xfId="27474" xr:uid="{00000000-0005-0000-0000-000093740000}"/>
    <cellStyle name="Normal 80 7 4" xfId="15183" xr:uid="{00000000-0005-0000-0000-000094740000}"/>
    <cellStyle name="Normal 80 7 4 2" xfId="31737" xr:uid="{00000000-0005-0000-0000-000095740000}"/>
    <cellStyle name="Normal 80 7 5" xfId="23694" xr:uid="{00000000-0005-0000-0000-000096740000}"/>
    <cellStyle name="Normal 80 8" xfId="5896" xr:uid="{00000000-0005-0000-0000-000097740000}"/>
    <cellStyle name="Normal 80 8 2" xfId="9774" xr:uid="{00000000-0005-0000-0000-000098740000}"/>
    <cellStyle name="Normal 80 8 2 2" xfId="18948" xr:uid="{00000000-0005-0000-0000-000099740000}"/>
    <cellStyle name="Normal 80 8 2 2 2" xfId="35522" xr:uid="{00000000-0005-0000-0000-00009A740000}"/>
    <cellStyle name="Normal 80 8 2 3" xfId="27475" xr:uid="{00000000-0005-0000-0000-00009B740000}"/>
    <cellStyle name="Normal 80 8 3" xfId="15185" xr:uid="{00000000-0005-0000-0000-00009C740000}"/>
    <cellStyle name="Normal 80 8 3 2" xfId="31739" xr:uid="{00000000-0005-0000-0000-00009D740000}"/>
    <cellStyle name="Normal 80 8 4" xfId="23696" xr:uid="{00000000-0005-0000-0000-00009E740000}"/>
    <cellStyle name="Normal 80 9" xfId="9775" xr:uid="{00000000-0005-0000-0000-00009F740000}"/>
    <cellStyle name="Normal 80 9 2" xfId="18949" xr:uid="{00000000-0005-0000-0000-0000A0740000}"/>
    <cellStyle name="Normal 80 9 2 2" xfId="35523" xr:uid="{00000000-0005-0000-0000-0000A1740000}"/>
    <cellStyle name="Normal 80 9 3" xfId="27476" xr:uid="{00000000-0005-0000-0000-0000A2740000}"/>
    <cellStyle name="Normal 81" xfId="5897" xr:uid="{00000000-0005-0000-0000-0000A3740000}"/>
    <cellStyle name="Normal 81 10" xfId="15186" xr:uid="{00000000-0005-0000-0000-0000A4740000}"/>
    <cellStyle name="Normal 81 10 2" xfId="31740" xr:uid="{00000000-0005-0000-0000-0000A5740000}"/>
    <cellStyle name="Normal 81 11" xfId="23697" xr:uid="{00000000-0005-0000-0000-0000A6740000}"/>
    <cellStyle name="Normal 81 2" xfId="5898" xr:uid="{00000000-0005-0000-0000-0000A7740000}"/>
    <cellStyle name="Normal 81 2 2" xfId="5899" xr:uid="{00000000-0005-0000-0000-0000A8740000}"/>
    <cellStyle name="Normal 81 2 3" xfId="15187" xr:uid="{00000000-0005-0000-0000-0000A9740000}"/>
    <cellStyle name="Normal 81 2 3 2" xfId="31741" xr:uid="{00000000-0005-0000-0000-0000AA740000}"/>
    <cellStyle name="Normal 81 2 4" xfId="23698" xr:uid="{00000000-0005-0000-0000-0000AB740000}"/>
    <cellStyle name="Normal 81 3" xfId="5900" xr:uid="{00000000-0005-0000-0000-0000AC740000}"/>
    <cellStyle name="Normal 81 3 2" xfId="5901" xr:uid="{00000000-0005-0000-0000-0000AD740000}"/>
    <cellStyle name="Normal 81 3 2 2" xfId="5902" xr:uid="{00000000-0005-0000-0000-0000AE740000}"/>
    <cellStyle name="Normal 81 3 2 2 2" xfId="5903" xr:uid="{00000000-0005-0000-0000-0000AF740000}"/>
    <cellStyle name="Normal 81 3 2 2 2 2" xfId="9776" xr:uid="{00000000-0005-0000-0000-0000B0740000}"/>
    <cellStyle name="Normal 81 3 2 2 2 2 2" xfId="18950" xr:uid="{00000000-0005-0000-0000-0000B1740000}"/>
    <cellStyle name="Normal 81 3 2 2 2 2 2 2" xfId="35524" xr:uid="{00000000-0005-0000-0000-0000B2740000}"/>
    <cellStyle name="Normal 81 3 2 2 2 2 3" xfId="27477" xr:uid="{00000000-0005-0000-0000-0000B3740000}"/>
    <cellStyle name="Normal 81 3 2 2 2 3" xfId="15190" xr:uid="{00000000-0005-0000-0000-0000B4740000}"/>
    <cellStyle name="Normal 81 3 2 2 2 3 2" xfId="31744" xr:uid="{00000000-0005-0000-0000-0000B5740000}"/>
    <cellStyle name="Normal 81 3 2 2 2 4" xfId="23701" xr:uid="{00000000-0005-0000-0000-0000B6740000}"/>
    <cellStyle name="Normal 81 3 2 2 3" xfId="9777" xr:uid="{00000000-0005-0000-0000-0000B7740000}"/>
    <cellStyle name="Normal 81 3 2 2 3 2" xfId="18951" xr:uid="{00000000-0005-0000-0000-0000B8740000}"/>
    <cellStyle name="Normal 81 3 2 2 3 2 2" xfId="35525" xr:uid="{00000000-0005-0000-0000-0000B9740000}"/>
    <cellStyle name="Normal 81 3 2 2 3 3" xfId="27478" xr:uid="{00000000-0005-0000-0000-0000BA740000}"/>
    <cellStyle name="Normal 81 3 2 2 4" xfId="15189" xr:uid="{00000000-0005-0000-0000-0000BB740000}"/>
    <cellStyle name="Normal 81 3 2 2 4 2" xfId="31743" xr:uid="{00000000-0005-0000-0000-0000BC740000}"/>
    <cellStyle name="Normal 81 3 2 2 5" xfId="23700" xr:uid="{00000000-0005-0000-0000-0000BD740000}"/>
    <cellStyle name="Normal 81 3 2 3" xfId="5904" xr:uid="{00000000-0005-0000-0000-0000BE740000}"/>
    <cellStyle name="Normal 81 3 2 3 2" xfId="9778" xr:uid="{00000000-0005-0000-0000-0000BF740000}"/>
    <cellStyle name="Normal 81 3 2 3 2 2" xfId="18952" xr:uid="{00000000-0005-0000-0000-0000C0740000}"/>
    <cellStyle name="Normal 81 3 2 3 2 2 2" xfId="35526" xr:uid="{00000000-0005-0000-0000-0000C1740000}"/>
    <cellStyle name="Normal 81 3 2 3 2 3" xfId="27479" xr:uid="{00000000-0005-0000-0000-0000C2740000}"/>
    <cellStyle name="Normal 81 3 2 3 3" xfId="15191" xr:uid="{00000000-0005-0000-0000-0000C3740000}"/>
    <cellStyle name="Normal 81 3 2 3 3 2" xfId="31745" xr:uid="{00000000-0005-0000-0000-0000C4740000}"/>
    <cellStyle name="Normal 81 3 2 3 4" xfId="23702" xr:uid="{00000000-0005-0000-0000-0000C5740000}"/>
    <cellStyle name="Normal 81 3 2 4" xfId="9779" xr:uid="{00000000-0005-0000-0000-0000C6740000}"/>
    <cellStyle name="Normal 81 3 2 4 2" xfId="18953" xr:uid="{00000000-0005-0000-0000-0000C7740000}"/>
    <cellStyle name="Normal 81 3 2 4 2 2" xfId="35527" xr:uid="{00000000-0005-0000-0000-0000C8740000}"/>
    <cellStyle name="Normal 81 3 2 4 3" xfId="27480" xr:uid="{00000000-0005-0000-0000-0000C9740000}"/>
    <cellStyle name="Normal 81 3 2 5" xfId="15188" xr:uid="{00000000-0005-0000-0000-0000CA740000}"/>
    <cellStyle name="Normal 81 3 2 5 2" xfId="31742" xr:uid="{00000000-0005-0000-0000-0000CB740000}"/>
    <cellStyle name="Normal 81 3 2 6" xfId="23699" xr:uid="{00000000-0005-0000-0000-0000CC740000}"/>
    <cellStyle name="Normal 81 3 3" xfId="5905" xr:uid="{00000000-0005-0000-0000-0000CD740000}"/>
    <cellStyle name="Normal 81 3 3 2" xfId="5906" xr:uid="{00000000-0005-0000-0000-0000CE740000}"/>
    <cellStyle name="Normal 81 3 3 2 2" xfId="9780" xr:uid="{00000000-0005-0000-0000-0000CF740000}"/>
    <cellStyle name="Normal 81 3 3 2 2 2" xfId="18954" xr:uid="{00000000-0005-0000-0000-0000D0740000}"/>
    <cellStyle name="Normal 81 3 3 2 2 2 2" xfId="35528" xr:uid="{00000000-0005-0000-0000-0000D1740000}"/>
    <cellStyle name="Normal 81 3 3 2 2 3" xfId="27481" xr:uid="{00000000-0005-0000-0000-0000D2740000}"/>
    <cellStyle name="Normal 81 3 3 2 3" xfId="15193" xr:uid="{00000000-0005-0000-0000-0000D3740000}"/>
    <cellStyle name="Normal 81 3 3 2 3 2" xfId="31747" xr:uid="{00000000-0005-0000-0000-0000D4740000}"/>
    <cellStyle name="Normal 81 3 3 2 4" xfId="23704" xr:uid="{00000000-0005-0000-0000-0000D5740000}"/>
    <cellStyle name="Normal 81 3 3 3" xfId="9781" xr:uid="{00000000-0005-0000-0000-0000D6740000}"/>
    <cellStyle name="Normal 81 3 3 3 2" xfId="18955" xr:uid="{00000000-0005-0000-0000-0000D7740000}"/>
    <cellStyle name="Normal 81 3 3 3 2 2" xfId="35529" xr:uid="{00000000-0005-0000-0000-0000D8740000}"/>
    <cellStyle name="Normal 81 3 3 3 3" xfId="27482" xr:uid="{00000000-0005-0000-0000-0000D9740000}"/>
    <cellStyle name="Normal 81 3 3 4" xfId="15192" xr:uid="{00000000-0005-0000-0000-0000DA740000}"/>
    <cellStyle name="Normal 81 3 3 4 2" xfId="31746" xr:uid="{00000000-0005-0000-0000-0000DB740000}"/>
    <cellStyle name="Normal 81 3 3 5" xfId="23703" xr:uid="{00000000-0005-0000-0000-0000DC740000}"/>
    <cellStyle name="Normal 81 3 4" xfId="5907" xr:uid="{00000000-0005-0000-0000-0000DD740000}"/>
    <cellStyle name="Normal 81 3 4 2" xfId="9782" xr:uid="{00000000-0005-0000-0000-0000DE740000}"/>
    <cellStyle name="Normal 81 3 4 2 2" xfId="18956" xr:uid="{00000000-0005-0000-0000-0000DF740000}"/>
    <cellStyle name="Normal 81 3 4 2 2 2" xfId="35530" xr:uid="{00000000-0005-0000-0000-0000E0740000}"/>
    <cellStyle name="Normal 81 3 4 2 3" xfId="27483" xr:uid="{00000000-0005-0000-0000-0000E1740000}"/>
    <cellStyle name="Normal 81 3 4 3" xfId="15194" xr:uid="{00000000-0005-0000-0000-0000E2740000}"/>
    <cellStyle name="Normal 81 3 4 3 2" xfId="31748" xr:uid="{00000000-0005-0000-0000-0000E3740000}"/>
    <cellStyle name="Normal 81 3 4 4" xfId="23705" xr:uid="{00000000-0005-0000-0000-0000E4740000}"/>
    <cellStyle name="Normal 81 3 5" xfId="5908" xr:uid="{00000000-0005-0000-0000-0000E5740000}"/>
    <cellStyle name="Normal 81 3 5 2" xfId="15195" xr:uid="{00000000-0005-0000-0000-0000E6740000}"/>
    <cellStyle name="Normal 81 3 5 2 2" xfId="31749" xr:uid="{00000000-0005-0000-0000-0000E7740000}"/>
    <cellStyle name="Normal 81 3 5 3" xfId="23706" xr:uid="{00000000-0005-0000-0000-0000E8740000}"/>
    <cellStyle name="Normal 81 4" xfId="5909" xr:uid="{00000000-0005-0000-0000-0000E9740000}"/>
    <cellStyle name="Normal 81 4 2" xfId="5910" xr:uid="{00000000-0005-0000-0000-0000EA740000}"/>
    <cellStyle name="Normal 81 4 2 2" xfId="5911" xr:uid="{00000000-0005-0000-0000-0000EB740000}"/>
    <cellStyle name="Normal 81 4 2 2 2" xfId="5912" xr:uid="{00000000-0005-0000-0000-0000EC740000}"/>
    <cellStyle name="Normal 81 4 2 2 2 2" xfId="9783" xr:uid="{00000000-0005-0000-0000-0000ED740000}"/>
    <cellStyle name="Normal 81 4 2 2 2 2 2" xfId="18957" xr:uid="{00000000-0005-0000-0000-0000EE740000}"/>
    <cellStyle name="Normal 81 4 2 2 2 2 2 2" xfId="35531" xr:uid="{00000000-0005-0000-0000-0000EF740000}"/>
    <cellStyle name="Normal 81 4 2 2 2 2 3" xfId="27484" xr:uid="{00000000-0005-0000-0000-0000F0740000}"/>
    <cellStyle name="Normal 81 4 2 2 2 3" xfId="15199" xr:uid="{00000000-0005-0000-0000-0000F1740000}"/>
    <cellStyle name="Normal 81 4 2 2 2 3 2" xfId="31753" xr:uid="{00000000-0005-0000-0000-0000F2740000}"/>
    <cellStyle name="Normal 81 4 2 2 2 4" xfId="23710" xr:uid="{00000000-0005-0000-0000-0000F3740000}"/>
    <cellStyle name="Normal 81 4 2 2 3" xfId="9784" xr:uid="{00000000-0005-0000-0000-0000F4740000}"/>
    <cellStyle name="Normal 81 4 2 2 3 2" xfId="18958" xr:uid="{00000000-0005-0000-0000-0000F5740000}"/>
    <cellStyle name="Normal 81 4 2 2 3 2 2" xfId="35532" xr:uid="{00000000-0005-0000-0000-0000F6740000}"/>
    <cellStyle name="Normal 81 4 2 2 3 3" xfId="27485" xr:uid="{00000000-0005-0000-0000-0000F7740000}"/>
    <cellStyle name="Normal 81 4 2 2 4" xfId="15198" xr:uid="{00000000-0005-0000-0000-0000F8740000}"/>
    <cellStyle name="Normal 81 4 2 2 4 2" xfId="31752" xr:uid="{00000000-0005-0000-0000-0000F9740000}"/>
    <cellStyle name="Normal 81 4 2 2 5" xfId="23709" xr:uid="{00000000-0005-0000-0000-0000FA740000}"/>
    <cellStyle name="Normal 81 4 2 3" xfId="5913" xr:uid="{00000000-0005-0000-0000-0000FB740000}"/>
    <cellStyle name="Normal 81 4 2 3 2" xfId="9785" xr:uid="{00000000-0005-0000-0000-0000FC740000}"/>
    <cellStyle name="Normal 81 4 2 3 2 2" xfId="18959" xr:uid="{00000000-0005-0000-0000-0000FD740000}"/>
    <cellStyle name="Normal 81 4 2 3 2 2 2" xfId="35533" xr:uid="{00000000-0005-0000-0000-0000FE740000}"/>
    <cellStyle name="Normal 81 4 2 3 2 3" xfId="27486" xr:uid="{00000000-0005-0000-0000-0000FF740000}"/>
    <cellStyle name="Normal 81 4 2 3 3" xfId="15200" xr:uid="{00000000-0005-0000-0000-000000750000}"/>
    <cellStyle name="Normal 81 4 2 3 3 2" xfId="31754" xr:uid="{00000000-0005-0000-0000-000001750000}"/>
    <cellStyle name="Normal 81 4 2 3 4" xfId="23711" xr:uid="{00000000-0005-0000-0000-000002750000}"/>
    <cellStyle name="Normal 81 4 2 4" xfId="9786" xr:uid="{00000000-0005-0000-0000-000003750000}"/>
    <cellStyle name="Normal 81 4 2 4 2" xfId="18960" xr:uid="{00000000-0005-0000-0000-000004750000}"/>
    <cellStyle name="Normal 81 4 2 4 2 2" xfId="35534" xr:uid="{00000000-0005-0000-0000-000005750000}"/>
    <cellStyle name="Normal 81 4 2 4 3" xfId="27487" xr:uid="{00000000-0005-0000-0000-000006750000}"/>
    <cellStyle name="Normal 81 4 2 5" xfId="15197" xr:uid="{00000000-0005-0000-0000-000007750000}"/>
    <cellStyle name="Normal 81 4 2 5 2" xfId="31751" xr:uid="{00000000-0005-0000-0000-000008750000}"/>
    <cellStyle name="Normal 81 4 2 6" xfId="23708" xr:uid="{00000000-0005-0000-0000-000009750000}"/>
    <cellStyle name="Normal 81 4 3" xfId="5914" xr:uid="{00000000-0005-0000-0000-00000A750000}"/>
    <cellStyle name="Normal 81 4 3 2" xfId="5915" xr:uid="{00000000-0005-0000-0000-00000B750000}"/>
    <cellStyle name="Normal 81 4 3 2 2" xfId="9787" xr:uid="{00000000-0005-0000-0000-00000C750000}"/>
    <cellStyle name="Normal 81 4 3 2 2 2" xfId="18961" xr:uid="{00000000-0005-0000-0000-00000D750000}"/>
    <cellStyle name="Normal 81 4 3 2 2 2 2" xfId="35535" xr:uid="{00000000-0005-0000-0000-00000E750000}"/>
    <cellStyle name="Normal 81 4 3 2 2 3" xfId="27488" xr:uid="{00000000-0005-0000-0000-00000F750000}"/>
    <cellStyle name="Normal 81 4 3 2 3" xfId="15202" xr:uid="{00000000-0005-0000-0000-000010750000}"/>
    <cellStyle name="Normal 81 4 3 2 3 2" xfId="31756" xr:uid="{00000000-0005-0000-0000-000011750000}"/>
    <cellStyle name="Normal 81 4 3 2 4" xfId="23713" xr:uid="{00000000-0005-0000-0000-000012750000}"/>
    <cellStyle name="Normal 81 4 3 3" xfId="9788" xr:uid="{00000000-0005-0000-0000-000013750000}"/>
    <cellStyle name="Normal 81 4 3 3 2" xfId="18962" xr:uid="{00000000-0005-0000-0000-000014750000}"/>
    <cellStyle name="Normal 81 4 3 3 2 2" xfId="35536" xr:uid="{00000000-0005-0000-0000-000015750000}"/>
    <cellStyle name="Normal 81 4 3 3 3" xfId="27489" xr:uid="{00000000-0005-0000-0000-000016750000}"/>
    <cellStyle name="Normal 81 4 3 4" xfId="15201" xr:uid="{00000000-0005-0000-0000-000017750000}"/>
    <cellStyle name="Normal 81 4 3 4 2" xfId="31755" xr:uid="{00000000-0005-0000-0000-000018750000}"/>
    <cellStyle name="Normal 81 4 3 5" xfId="23712" xr:uid="{00000000-0005-0000-0000-000019750000}"/>
    <cellStyle name="Normal 81 4 4" xfId="5916" xr:uid="{00000000-0005-0000-0000-00001A750000}"/>
    <cellStyle name="Normal 81 4 4 2" xfId="9789" xr:uid="{00000000-0005-0000-0000-00001B750000}"/>
    <cellStyle name="Normal 81 4 4 2 2" xfId="18963" xr:uid="{00000000-0005-0000-0000-00001C750000}"/>
    <cellStyle name="Normal 81 4 4 2 2 2" xfId="35537" xr:uid="{00000000-0005-0000-0000-00001D750000}"/>
    <cellStyle name="Normal 81 4 4 2 3" xfId="27490" xr:uid="{00000000-0005-0000-0000-00001E750000}"/>
    <cellStyle name="Normal 81 4 4 3" xfId="15203" xr:uid="{00000000-0005-0000-0000-00001F750000}"/>
    <cellStyle name="Normal 81 4 4 3 2" xfId="31757" xr:uid="{00000000-0005-0000-0000-000020750000}"/>
    <cellStyle name="Normal 81 4 4 4" xfId="23714" xr:uid="{00000000-0005-0000-0000-000021750000}"/>
    <cellStyle name="Normal 81 4 5" xfId="9790" xr:uid="{00000000-0005-0000-0000-000022750000}"/>
    <cellStyle name="Normal 81 4 5 2" xfId="18964" xr:uid="{00000000-0005-0000-0000-000023750000}"/>
    <cellStyle name="Normal 81 4 5 2 2" xfId="35538" xr:uid="{00000000-0005-0000-0000-000024750000}"/>
    <cellStyle name="Normal 81 4 5 3" xfId="27491" xr:uid="{00000000-0005-0000-0000-000025750000}"/>
    <cellStyle name="Normal 81 4 6" xfId="15196" xr:uid="{00000000-0005-0000-0000-000026750000}"/>
    <cellStyle name="Normal 81 4 6 2" xfId="31750" xr:uid="{00000000-0005-0000-0000-000027750000}"/>
    <cellStyle name="Normal 81 4 7" xfId="23707" xr:uid="{00000000-0005-0000-0000-000028750000}"/>
    <cellStyle name="Normal 81 5" xfId="5917" xr:uid="{00000000-0005-0000-0000-000029750000}"/>
    <cellStyle name="Normal 81 5 2" xfId="5918" xr:uid="{00000000-0005-0000-0000-00002A750000}"/>
    <cellStyle name="Normal 81 5 2 2" xfId="5919" xr:uid="{00000000-0005-0000-0000-00002B750000}"/>
    <cellStyle name="Normal 81 5 2 2 2" xfId="5920" xr:uid="{00000000-0005-0000-0000-00002C750000}"/>
    <cellStyle name="Normal 81 5 2 2 2 2" xfId="9791" xr:uid="{00000000-0005-0000-0000-00002D750000}"/>
    <cellStyle name="Normal 81 5 2 2 2 2 2" xfId="18965" xr:uid="{00000000-0005-0000-0000-00002E750000}"/>
    <cellStyle name="Normal 81 5 2 2 2 2 2 2" xfId="35539" xr:uid="{00000000-0005-0000-0000-00002F750000}"/>
    <cellStyle name="Normal 81 5 2 2 2 2 3" xfId="27492" xr:uid="{00000000-0005-0000-0000-000030750000}"/>
    <cellStyle name="Normal 81 5 2 2 2 3" xfId="15207" xr:uid="{00000000-0005-0000-0000-000031750000}"/>
    <cellStyle name="Normal 81 5 2 2 2 3 2" xfId="31761" xr:uid="{00000000-0005-0000-0000-000032750000}"/>
    <cellStyle name="Normal 81 5 2 2 2 4" xfId="23718" xr:uid="{00000000-0005-0000-0000-000033750000}"/>
    <cellStyle name="Normal 81 5 2 2 3" xfId="9792" xr:uid="{00000000-0005-0000-0000-000034750000}"/>
    <cellStyle name="Normal 81 5 2 2 3 2" xfId="18966" xr:uid="{00000000-0005-0000-0000-000035750000}"/>
    <cellStyle name="Normal 81 5 2 2 3 2 2" xfId="35540" xr:uid="{00000000-0005-0000-0000-000036750000}"/>
    <cellStyle name="Normal 81 5 2 2 3 3" xfId="27493" xr:uid="{00000000-0005-0000-0000-000037750000}"/>
    <cellStyle name="Normal 81 5 2 2 4" xfId="15206" xr:uid="{00000000-0005-0000-0000-000038750000}"/>
    <cellStyle name="Normal 81 5 2 2 4 2" xfId="31760" xr:uid="{00000000-0005-0000-0000-000039750000}"/>
    <cellStyle name="Normal 81 5 2 2 5" xfId="23717" xr:uid="{00000000-0005-0000-0000-00003A750000}"/>
    <cellStyle name="Normal 81 5 2 3" xfId="5921" xr:uid="{00000000-0005-0000-0000-00003B750000}"/>
    <cellStyle name="Normal 81 5 2 3 2" xfId="9793" xr:uid="{00000000-0005-0000-0000-00003C750000}"/>
    <cellStyle name="Normal 81 5 2 3 2 2" xfId="18967" xr:uid="{00000000-0005-0000-0000-00003D750000}"/>
    <cellStyle name="Normal 81 5 2 3 2 2 2" xfId="35541" xr:uid="{00000000-0005-0000-0000-00003E750000}"/>
    <cellStyle name="Normal 81 5 2 3 2 3" xfId="27494" xr:uid="{00000000-0005-0000-0000-00003F750000}"/>
    <cellStyle name="Normal 81 5 2 3 3" xfId="15208" xr:uid="{00000000-0005-0000-0000-000040750000}"/>
    <cellStyle name="Normal 81 5 2 3 3 2" xfId="31762" xr:uid="{00000000-0005-0000-0000-000041750000}"/>
    <cellStyle name="Normal 81 5 2 3 4" xfId="23719" xr:uid="{00000000-0005-0000-0000-000042750000}"/>
    <cellStyle name="Normal 81 5 2 4" xfId="9794" xr:uid="{00000000-0005-0000-0000-000043750000}"/>
    <cellStyle name="Normal 81 5 2 4 2" xfId="18968" xr:uid="{00000000-0005-0000-0000-000044750000}"/>
    <cellStyle name="Normal 81 5 2 4 2 2" xfId="35542" xr:uid="{00000000-0005-0000-0000-000045750000}"/>
    <cellStyle name="Normal 81 5 2 4 3" xfId="27495" xr:uid="{00000000-0005-0000-0000-000046750000}"/>
    <cellStyle name="Normal 81 5 2 5" xfId="15205" xr:uid="{00000000-0005-0000-0000-000047750000}"/>
    <cellStyle name="Normal 81 5 2 5 2" xfId="31759" xr:uid="{00000000-0005-0000-0000-000048750000}"/>
    <cellStyle name="Normal 81 5 2 6" xfId="23716" xr:uid="{00000000-0005-0000-0000-000049750000}"/>
    <cellStyle name="Normal 81 5 3" xfId="5922" xr:uid="{00000000-0005-0000-0000-00004A750000}"/>
    <cellStyle name="Normal 81 5 3 2" xfId="5923" xr:uid="{00000000-0005-0000-0000-00004B750000}"/>
    <cellStyle name="Normal 81 5 3 2 2" xfId="9795" xr:uid="{00000000-0005-0000-0000-00004C750000}"/>
    <cellStyle name="Normal 81 5 3 2 2 2" xfId="18969" xr:uid="{00000000-0005-0000-0000-00004D750000}"/>
    <cellStyle name="Normal 81 5 3 2 2 2 2" xfId="35543" xr:uid="{00000000-0005-0000-0000-00004E750000}"/>
    <cellStyle name="Normal 81 5 3 2 2 3" xfId="27496" xr:uid="{00000000-0005-0000-0000-00004F750000}"/>
    <cellStyle name="Normal 81 5 3 2 3" xfId="15210" xr:uid="{00000000-0005-0000-0000-000050750000}"/>
    <cellStyle name="Normal 81 5 3 2 3 2" xfId="31764" xr:uid="{00000000-0005-0000-0000-000051750000}"/>
    <cellStyle name="Normal 81 5 3 2 4" xfId="23721" xr:uid="{00000000-0005-0000-0000-000052750000}"/>
    <cellStyle name="Normal 81 5 3 3" xfId="9796" xr:uid="{00000000-0005-0000-0000-000053750000}"/>
    <cellStyle name="Normal 81 5 3 3 2" xfId="18970" xr:uid="{00000000-0005-0000-0000-000054750000}"/>
    <cellStyle name="Normal 81 5 3 3 2 2" xfId="35544" xr:uid="{00000000-0005-0000-0000-000055750000}"/>
    <cellStyle name="Normal 81 5 3 3 3" xfId="27497" xr:uid="{00000000-0005-0000-0000-000056750000}"/>
    <cellStyle name="Normal 81 5 3 4" xfId="15209" xr:uid="{00000000-0005-0000-0000-000057750000}"/>
    <cellStyle name="Normal 81 5 3 4 2" xfId="31763" xr:uid="{00000000-0005-0000-0000-000058750000}"/>
    <cellStyle name="Normal 81 5 3 5" xfId="23720" xr:uid="{00000000-0005-0000-0000-000059750000}"/>
    <cellStyle name="Normal 81 5 4" xfId="5924" xr:uid="{00000000-0005-0000-0000-00005A750000}"/>
    <cellStyle name="Normal 81 5 4 2" xfId="9797" xr:uid="{00000000-0005-0000-0000-00005B750000}"/>
    <cellStyle name="Normal 81 5 4 2 2" xfId="18971" xr:uid="{00000000-0005-0000-0000-00005C750000}"/>
    <cellStyle name="Normal 81 5 4 2 2 2" xfId="35545" xr:uid="{00000000-0005-0000-0000-00005D750000}"/>
    <cellStyle name="Normal 81 5 4 2 3" xfId="27498" xr:uid="{00000000-0005-0000-0000-00005E750000}"/>
    <cellStyle name="Normal 81 5 4 3" xfId="15211" xr:uid="{00000000-0005-0000-0000-00005F750000}"/>
    <cellStyle name="Normal 81 5 4 3 2" xfId="31765" xr:uid="{00000000-0005-0000-0000-000060750000}"/>
    <cellStyle name="Normal 81 5 4 4" xfId="23722" xr:uid="{00000000-0005-0000-0000-000061750000}"/>
    <cellStyle name="Normal 81 5 5" xfId="9798" xr:uid="{00000000-0005-0000-0000-000062750000}"/>
    <cellStyle name="Normal 81 5 5 2" xfId="18972" xr:uid="{00000000-0005-0000-0000-000063750000}"/>
    <cellStyle name="Normal 81 5 5 2 2" xfId="35546" xr:uid="{00000000-0005-0000-0000-000064750000}"/>
    <cellStyle name="Normal 81 5 5 3" xfId="27499" xr:uid="{00000000-0005-0000-0000-000065750000}"/>
    <cellStyle name="Normal 81 5 6" xfId="15204" xr:uid="{00000000-0005-0000-0000-000066750000}"/>
    <cellStyle name="Normal 81 5 6 2" xfId="31758" xr:uid="{00000000-0005-0000-0000-000067750000}"/>
    <cellStyle name="Normal 81 5 7" xfId="23715" xr:uid="{00000000-0005-0000-0000-000068750000}"/>
    <cellStyle name="Normal 81 6" xfId="5925" xr:uid="{00000000-0005-0000-0000-000069750000}"/>
    <cellStyle name="Normal 81 6 2" xfId="5926" xr:uid="{00000000-0005-0000-0000-00006A750000}"/>
    <cellStyle name="Normal 81 6 2 2" xfId="5927" xr:uid="{00000000-0005-0000-0000-00006B750000}"/>
    <cellStyle name="Normal 81 6 2 2 2" xfId="9799" xr:uid="{00000000-0005-0000-0000-00006C750000}"/>
    <cellStyle name="Normal 81 6 2 2 2 2" xfId="18973" xr:uid="{00000000-0005-0000-0000-00006D750000}"/>
    <cellStyle name="Normal 81 6 2 2 2 2 2" xfId="35547" xr:uid="{00000000-0005-0000-0000-00006E750000}"/>
    <cellStyle name="Normal 81 6 2 2 2 3" xfId="27500" xr:uid="{00000000-0005-0000-0000-00006F750000}"/>
    <cellStyle name="Normal 81 6 2 2 3" xfId="15214" xr:uid="{00000000-0005-0000-0000-000070750000}"/>
    <cellStyle name="Normal 81 6 2 2 3 2" xfId="31768" xr:uid="{00000000-0005-0000-0000-000071750000}"/>
    <cellStyle name="Normal 81 6 2 2 4" xfId="23725" xr:uid="{00000000-0005-0000-0000-000072750000}"/>
    <cellStyle name="Normal 81 6 2 3" xfId="9800" xr:uid="{00000000-0005-0000-0000-000073750000}"/>
    <cellStyle name="Normal 81 6 2 3 2" xfId="18974" xr:uid="{00000000-0005-0000-0000-000074750000}"/>
    <cellStyle name="Normal 81 6 2 3 2 2" xfId="35548" xr:uid="{00000000-0005-0000-0000-000075750000}"/>
    <cellStyle name="Normal 81 6 2 3 3" xfId="27501" xr:uid="{00000000-0005-0000-0000-000076750000}"/>
    <cellStyle name="Normal 81 6 2 4" xfId="15213" xr:uid="{00000000-0005-0000-0000-000077750000}"/>
    <cellStyle name="Normal 81 6 2 4 2" xfId="31767" xr:uid="{00000000-0005-0000-0000-000078750000}"/>
    <cellStyle name="Normal 81 6 2 5" xfId="23724" xr:uid="{00000000-0005-0000-0000-000079750000}"/>
    <cellStyle name="Normal 81 6 3" xfId="5928" xr:uid="{00000000-0005-0000-0000-00007A750000}"/>
    <cellStyle name="Normal 81 6 3 2" xfId="9801" xr:uid="{00000000-0005-0000-0000-00007B750000}"/>
    <cellStyle name="Normal 81 6 3 2 2" xfId="18975" xr:uid="{00000000-0005-0000-0000-00007C750000}"/>
    <cellStyle name="Normal 81 6 3 2 2 2" xfId="35549" xr:uid="{00000000-0005-0000-0000-00007D750000}"/>
    <cellStyle name="Normal 81 6 3 2 3" xfId="27502" xr:uid="{00000000-0005-0000-0000-00007E750000}"/>
    <cellStyle name="Normal 81 6 3 3" xfId="15215" xr:uid="{00000000-0005-0000-0000-00007F750000}"/>
    <cellStyle name="Normal 81 6 3 3 2" xfId="31769" xr:uid="{00000000-0005-0000-0000-000080750000}"/>
    <cellStyle name="Normal 81 6 3 4" xfId="23726" xr:uid="{00000000-0005-0000-0000-000081750000}"/>
    <cellStyle name="Normal 81 6 4" xfId="9802" xr:uid="{00000000-0005-0000-0000-000082750000}"/>
    <cellStyle name="Normal 81 6 4 2" xfId="18976" xr:uid="{00000000-0005-0000-0000-000083750000}"/>
    <cellStyle name="Normal 81 6 4 2 2" xfId="35550" xr:uid="{00000000-0005-0000-0000-000084750000}"/>
    <cellStyle name="Normal 81 6 4 3" xfId="27503" xr:uid="{00000000-0005-0000-0000-000085750000}"/>
    <cellStyle name="Normal 81 6 5" xfId="15212" xr:uid="{00000000-0005-0000-0000-000086750000}"/>
    <cellStyle name="Normal 81 6 5 2" xfId="31766" xr:uid="{00000000-0005-0000-0000-000087750000}"/>
    <cellStyle name="Normal 81 6 6" xfId="23723" xr:uid="{00000000-0005-0000-0000-000088750000}"/>
    <cellStyle name="Normal 81 7" xfId="5929" xr:uid="{00000000-0005-0000-0000-000089750000}"/>
    <cellStyle name="Normal 81 7 2" xfId="5930" xr:uid="{00000000-0005-0000-0000-00008A750000}"/>
    <cellStyle name="Normal 81 7 2 2" xfId="9803" xr:uid="{00000000-0005-0000-0000-00008B750000}"/>
    <cellStyle name="Normal 81 7 2 2 2" xfId="18977" xr:uid="{00000000-0005-0000-0000-00008C750000}"/>
    <cellStyle name="Normal 81 7 2 2 2 2" xfId="35551" xr:uid="{00000000-0005-0000-0000-00008D750000}"/>
    <cellStyle name="Normal 81 7 2 2 3" xfId="27504" xr:uid="{00000000-0005-0000-0000-00008E750000}"/>
    <cellStyle name="Normal 81 7 2 3" xfId="15217" xr:uid="{00000000-0005-0000-0000-00008F750000}"/>
    <cellStyle name="Normal 81 7 2 3 2" xfId="31771" xr:uid="{00000000-0005-0000-0000-000090750000}"/>
    <cellStyle name="Normal 81 7 2 4" xfId="23728" xr:uid="{00000000-0005-0000-0000-000091750000}"/>
    <cellStyle name="Normal 81 7 3" xfId="9804" xr:uid="{00000000-0005-0000-0000-000092750000}"/>
    <cellStyle name="Normal 81 7 3 2" xfId="18978" xr:uid="{00000000-0005-0000-0000-000093750000}"/>
    <cellStyle name="Normal 81 7 3 2 2" xfId="35552" xr:uid="{00000000-0005-0000-0000-000094750000}"/>
    <cellStyle name="Normal 81 7 3 3" xfId="27505" xr:uid="{00000000-0005-0000-0000-000095750000}"/>
    <cellStyle name="Normal 81 7 4" xfId="15216" xr:uid="{00000000-0005-0000-0000-000096750000}"/>
    <cellStyle name="Normal 81 7 4 2" xfId="31770" xr:uid="{00000000-0005-0000-0000-000097750000}"/>
    <cellStyle name="Normal 81 7 5" xfId="23727" xr:uid="{00000000-0005-0000-0000-000098750000}"/>
    <cellStyle name="Normal 81 8" xfId="5931" xr:uid="{00000000-0005-0000-0000-000099750000}"/>
    <cellStyle name="Normal 81 8 2" xfId="9805" xr:uid="{00000000-0005-0000-0000-00009A750000}"/>
    <cellStyle name="Normal 81 8 2 2" xfId="18979" xr:uid="{00000000-0005-0000-0000-00009B750000}"/>
    <cellStyle name="Normal 81 8 2 2 2" xfId="35553" xr:uid="{00000000-0005-0000-0000-00009C750000}"/>
    <cellStyle name="Normal 81 8 2 3" xfId="27506" xr:uid="{00000000-0005-0000-0000-00009D750000}"/>
    <cellStyle name="Normal 81 8 3" xfId="15218" xr:uid="{00000000-0005-0000-0000-00009E750000}"/>
    <cellStyle name="Normal 81 8 3 2" xfId="31772" xr:uid="{00000000-0005-0000-0000-00009F750000}"/>
    <cellStyle name="Normal 81 8 4" xfId="23729" xr:uid="{00000000-0005-0000-0000-0000A0750000}"/>
    <cellStyle name="Normal 81 9" xfId="9806" xr:uid="{00000000-0005-0000-0000-0000A1750000}"/>
    <cellStyle name="Normal 81 9 2" xfId="18980" xr:uid="{00000000-0005-0000-0000-0000A2750000}"/>
    <cellStyle name="Normal 81 9 2 2" xfId="35554" xr:uid="{00000000-0005-0000-0000-0000A3750000}"/>
    <cellStyle name="Normal 81 9 3" xfId="27507" xr:uid="{00000000-0005-0000-0000-0000A4750000}"/>
    <cellStyle name="Normal 82" xfId="5932" xr:uid="{00000000-0005-0000-0000-0000A5750000}"/>
    <cellStyle name="Normal 82 10" xfId="15219" xr:uid="{00000000-0005-0000-0000-0000A6750000}"/>
    <cellStyle name="Normal 82 10 2" xfId="31773" xr:uid="{00000000-0005-0000-0000-0000A7750000}"/>
    <cellStyle name="Normal 82 11" xfId="23730" xr:uid="{00000000-0005-0000-0000-0000A8750000}"/>
    <cellStyle name="Normal 82 2" xfId="5933" xr:uid="{00000000-0005-0000-0000-0000A9750000}"/>
    <cellStyle name="Normal 82 2 2" xfId="5934" xr:uid="{00000000-0005-0000-0000-0000AA750000}"/>
    <cellStyle name="Normal 82 2 3" xfId="15220" xr:uid="{00000000-0005-0000-0000-0000AB750000}"/>
    <cellStyle name="Normal 82 2 3 2" xfId="31774" xr:uid="{00000000-0005-0000-0000-0000AC750000}"/>
    <cellStyle name="Normal 82 2 4" xfId="23731" xr:uid="{00000000-0005-0000-0000-0000AD750000}"/>
    <cellStyle name="Normal 82 3" xfId="5935" xr:uid="{00000000-0005-0000-0000-0000AE750000}"/>
    <cellStyle name="Normal 82 3 2" xfId="5936" xr:uid="{00000000-0005-0000-0000-0000AF750000}"/>
    <cellStyle name="Normal 82 3 2 2" xfId="5937" xr:uid="{00000000-0005-0000-0000-0000B0750000}"/>
    <cellStyle name="Normal 82 3 2 2 2" xfId="5938" xr:uid="{00000000-0005-0000-0000-0000B1750000}"/>
    <cellStyle name="Normal 82 3 2 2 2 2" xfId="9807" xr:uid="{00000000-0005-0000-0000-0000B2750000}"/>
    <cellStyle name="Normal 82 3 2 2 2 2 2" xfId="18981" xr:uid="{00000000-0005-0000-0000-0000B3750000}"/>
    <cellStyle name="Normal 82 3 2 2 2 2 2 2" xfId="35555" xr:uid="{00000000-0005-0000-0000-0000B4750000}"/>
    <cellStyle name="Normal 82 3 2 2 2 2 3" xfId="27508" xr:uid="{00000000-0005-0000-0000-0000B5750000}"/>
    <cellStyle name="Normal 82 3 2 2 2 3" xfId="15223" xr:uid="{00000000-0005-0000-0000-0000B6750000}"/>
    <cellStyle name="Normal 82 3 2 2 2 3 2" xfId="31777" xr:uid="{00000000-0005-0000-0000-0000B7750000}"/>
    <cellStyle name="Normal 82 3 2 2 2 4" xfId="23734" xr:uid="{00000000-0005-0000-0000-0000B8750000}"/>
    <cellStyle name="Normal 82 3 2 2 3" xfId="9808" xr:uid="{00000000-0005-0000-0000-0000B9750000}"/>
    <cellStyle name="Normal 82 3 2 2 3 2" xfId="18982" xr:uid="{00000000-0005-0000-0000-0000BA750000}"/>
    <cellStyle name="Normal 82 3 2 2 3 2 2" xfId="35556" xr:uid="{00000000-0005-0000-0000-0000BB750000}"/>
    <cellStyle name="Normal 82 3 2 2 3 3" xfId="27509" xr:uid="{00000000-0005-0000-0000-0000BC750000}"/>
    <cellStyle name="Normal 82 3 2 2 4" xfId="15222" xr:uid="{00000000-0005-0000-0000-0000BD750000}"/>
    <cellStyle name="Normal 82 3 2 2 4 2" xfId="31776" xr:uid="{00000000-0005-0000-0000-0000BE750000}"/>
    <cellStyle name="Normal 82 3 2 2 5" xfId="23733" xr:uid="{00000000-0005-0000-0000-0000BF750000}"/>
    <cellStyle name="Normal 82 3 2 3" xfId="5939" xr:uid="{00000000-0005-0000-0000-0000C0750000}"/>
    <cellStyle name="Normal 82 3 2 3 2" xfId="9809" xr:uid="{00000000-0005-0000-0000-0000C1750000}"/>
    <cellStyle name="Normal 82 3 2 3 2 2" xfId="18983" xr:uid="{00000000-0005-0000-0000-0000C2750000}"/>
    <cellStyle name="Normal 82 3 2 3 2 2 2" xfId="35557" xr:uid="{00000000-0005-0000-0000-0000C3750000}"/>
    <cellStyle name="Normal 82 3 2 3 2 3" xfId="27510" xr:uid="{00000000-0005-0000-0000-0000C4750000}"/>
    <cellStyle name="Normal 82 3 2 3 3" xfId="15224" xr:uid="{00000000-0005-0000-0000-0000C5750000}"/>
    <cellStyle name="Normal 82 3 2 3 3 2" xfId="31778" xr:uid="{00000000-0005-0000-0000-0000C6750000}"/>
    <cellStyle name="Normal 82 3 2 3 4" xfId="23735" xr:uid="{00000000-0005-0000-0000-0000C7750000}"/>
    <cellStyle name="Normal 82 3 2 4" xfId="9810" xr:uid="{00000000-0005-0000-0000-0000C8750000}"/>
    <cellStyle name="Normal 82 3 2 4 2" xfId="18984" xr:uid="{00000000-0005-0000-0000-0000C9750000}"/>
    <cellStyle name="Normal 82 3 2 4 2 2" xfId="35558" xr:uid="{00000000-0005-0000-0000-0000CA750000}"/>
    <cellStyle name="Normal 82 3 2 4 3" xfId="27511" xr:uid="{00000000-0005-0000-0000-0000CB750000}"/>
    <cellStyle name="Normal 82 3 2 5" xfId="15221" xr:uid="{00000000-0005-0000-0000-0000CC750000}"/>
    <cellStyle name="Normal 82 3 2 5 2" xfId="31775" xr:uid="{00000000-0005-0000-0000-0000CD750000}"/>
    <cellStyle name="Normal 82 3 2 6" xfId="23732" xr:uid="{00000000-0005-0000-0000-0000CE750000}"/>
    <cellStyle name="Normal 82 3 3" xfId="5940" xr:uid="{00000000-0005-0000-0000-0000CF750000}"/>
    <cellStyle name="Normal 82 3 3 2" xfId="5941" xr:uid="{00000000-0005-0000-0000-0000D0750000}"/>
    <cellStyle name="Normal 82 3 3 2 2" xfId="9811" xr:uid="{00000000-0005-0000-0000-0000D1750000}"/>
    <cellStyle name="Normal 82 3 3 2 2 2" xfId="18985" xr:uid="{00000000-0005-0000-0000-0000D2750000}"/>
    <cellStyle name="Normal 82 3 3 2 2 2 2" xfId="35559" xr:uid="{00000000-0005-0000-0000-0000D3750000}"/>
    <cellStyle name="Normal 82 3 3 2 2 3" xfId="27512" xr:uid="{00000000-0005-0000-0000-0000D4750000}"/>
    <cellStyle name="Normal 82 3 3 2 3" xfId="15226" xr:uid="{00000000-0005-0000-0000-0000D5750000}"/>
    <cellStyle name="Normal 82 3 3 2 3 2" xfId="31780" xr:uid="{00000000-0005-0000-0000-0000D6750000}"/>
    <cellStyle name="Normal 82 3 3 2 4" xfId="23737" xr:uid="{00000000-0005-0000-0000-0000D7750000}"/>
    <cellStyle name="Normal 82 3 3 3" xfId="9812" xr:uid="{00000000-0005-0000-0000-0000D8750000}"/>
    <cellStyle name="Normal 82 3 3 3 2" xfId="18986" xr:uid="{00000000-0005-0000-0000-0000D9750000}"/>
    <cellStyle name="Normal 82 3 3 3 2 2" xfId="35560" xr:uid="{00000000-0005-0000-0000-0000DA750000}"/>
    <cellStyle name="Normal 82 3 3 3 3" xfId="27513" xr:uid="{00000000-0005-0000-0000-0000DB750000}"/>
    <cellStyle name="Normal 82 3 3 4" xfId="15225" xr:uid="{00000000-0005-0000-0000-0000DC750000}"/>
    <cellStyle name="Normal 82 3 3 4 2" xfId="31779" xr:uid="{00000000-0005-0000-0000-0000DD750000}"/>
    <cellStyle name="Normal 82 3 3 5" xfId="23736" xr:uid="{00000000-0005-0000-0000-0000DE750000}"/>
    <cellStyle name="Normal 82 3 4" xfId="5942" xr:uid="{00000000-0005-0000-0000-0000DF750000}"/>
    <cellStyle name="Normal 82 3 4 2" xfId="9813" xr:uid="{00000000-0005-0000-0000-0000E0750000}"/>
    <cellStyle name="Normal 82 3 4 2 2" xfId="18987" xr:uid="{00000000-0005-0000-0000-0000E1750000}"/>
    <cellStyle name="Normal 82 3 4 2 2 2" xfId="35561" xr:uid="{00000000-0005-0000-0000-0000E2750000}"/>
    <cellStyle name="Normal 82 3 4 2 3" xfId="27514" xr:uid="{00000000-0005-0000-0000-0000E3750000}"/>
    <cellStyle name="Normal 82 3 4 3" xfId="15227" xr:uid="{00000000-0005-0000-0000-0000E4750000}"/>
    <cellStyle name="Normal 82 3 4 3 2" xfId="31781" xr:uid="{00000000-0005-0000-0000-0000E5750000}"/>
    <cellStyle name="Normal 82 3 4 4" xfId="23738" xr:uid="{00000000-0005-0000-0000-0000E6750000}"/>
    <cellStyle name="Normal 82 3 5" xfId="5943" xr:uid="{00000000-0005-0000-0000-0000E7750000}"/>
    <cellStyle name="Normal 82 3 5 2" xfId="15228" xr:uid="{00000000-0005-0000-0000-0000E8750000}"/>
    <cellStyle name="Normal 82 3 5 2 2" xfId="31782" xr:uid="{00000000-0005-0000-0000-0000E9750000}"/>
    <cellStyle name="Normal 82 3 5 3" xfId="23739" xr:uid="{00000000-0005-0000-0000-0000EA750000}"/>
    <cellStyle name="Normal 82 4" xfId="5944" xr:uid="{00000000-0005-0000-0000-0000EB750000}"/>
    <cellStyle name="Normal 82 4 2" xfId="5945" xr:uid="{00000000-0005-0000-0000-0000EC750000}"/>
    <cellStyle name="Normal 82 4 2 2" xfId="5946" xr:uid="{00000000-0005-0000-0000-0000ED750000}"/>
    <cellStyle name="Normal 82 4 2 2 2" xfId="5947" xr:uid="{00000000-0005-0000-0000-0000EE750000}"/>
    <cellStyle name="Normal 82 4 2 2 2 2" xfId="9814" xr:uid="{00000000-0005-0000-0000-0000EF750000}"/>
    <cellStyle name="Normal 82 4 2 2 2 2 2" xfId="18988" xr:uid="{00000000-0005-0000-0000-0000F0750000}"/>
    <cellStyle name="Normal 82 4 2 2 2 2 2 2" xfId="35562" xr:uid="{00000000-0005-0000-0000-0000F1750000}"/>
    <cellStyle name="Normal 82 4 2 2 2 2 3" xfId="27515" xr:uid="{00000000-0005-0000-0000-0000F2750000}"/>
    <cellStyle name="Normal 82 4 2 2 2 3" xfId="15232" xr:uid="{00000000-0005-0000-0000-0000F3750000}"/>
    <cellStyle name="Normal 82 4 2 2 2 3 2" xfId="31786" xr:uid="{00000000-0005-0000-0000-0000F4750000}"/>
    <cellStyle name="Normal 82 4 2 2 2 4" xfId="23743" xr:uid="{00000000-0005-0000-0000-0000F5750000}"/>
    <cellStyle name="Normal 82 4 2 2 3" xfId="9815" xr:uid="{00000000-0005-0000-0000-0000F6750000}"/>
    <cellStyle name="Normal 82 4 2 2 3 2" xfId="18989" xr:uid="{00000000-0005-0000-0000-0000F7750000}"/>
    <cellStyle name="Normal 82 4 2 2 3 2 2" xfId="35563" xr:uid="{00000000-0005-0000-0000-0000F8750000}"/>
    <cellStyle name="Normal 82 4 2 2 3 3" xfId="27516" xr:uid="{00000000-0005-0000-0000-0000F9750000}"/>
    <cellStyle name="Normal 82 4 2 2 4" xfId="15231" xr:uid="{00000000-0005-0000-0000-0000FA750000}"/>
    <cellStyle name="Normal 82 4 2 2 4 2" xfId="31785" xr:uid="{00000000-0005-0000-0000-0000FB750000}"/>
    <cellStyle name="Normal 82 4 2 2 5" xfId="23742" xr:uid="{00000000-0005-0000-0000-0000FC750000}"/>
    <cellStyle name="Normal 82 4 2 3" xfId="5948" xr:uid="{00000000-0005-0000-0000-0000FD750000}"/>
    <cellStyle name="Normal 82 4 2 3 2" xfId="9816" xr:uid="{00000000-0005-0000-0000-0000FE750000}"/>
    <cellStyle name="Normal 82 4 2 3 2 2" xfId="18990" xr:uid="{00000000-0005-0000-0000-0000FF750000}"/>
    <cellStyle name="Normal 82 4 2 3 2 2 2" xfId="35564" xr:uid="{00000000-0005-0000-0000-000000760000}"/>
    <cellStyle name="Normal 82 4 2 3 2 3" xfId="27517" xr:uid="{00000000-0005-0000-0000-000001760000}"/>
    <cellStyle name="Normal 82 4 2 3 3" xfId="15233" xr:uid="{00000000-0005-0000-0000-000002760000}"/>
    <cellStyle name="Normal 82 4 2 3 3 2" xfId="31787" xr:uid="{00000000-0005-0000-0000-000003760000}"/>
    <cellStyle name="Normal 82 4 2 3 4" xfId="23744" xr:uid="{00000000-0005-0000-0000-000004760000}"/>
    <cellStyle name="Normal 82 4 2 4" xfId="9817" xr:uid="{00000000-0005-0000-0000-000005760000}"/>
    <cellStyle name="Normal 82 4 2 4 2" xfId="18991" xr:uid="{00000000-0005-0000-0000-000006760000}"/>
    <cellStyle name="Normal 82 4 2 4 2 2" xfId="35565" xr:uid="{00000000-0005-0000-0000-000007760000}"/>
    <cellStyle name="Normal 82 4 2 4 3" xfId="27518" xr:uid="{00000000-0005-0000-0000-000008760000}"/>
    <cellStyle name="Normal 82 4 2 5" xfId="15230" xr:uid="{00000000-0005-0000-0000-000009760000}"/>
    <cellStyle name="Normal 82 4 2 5 2" xfId="31784" xr:uid="{00000000-0005-0000-0000-00000A760000}"/>
    <cellStyle name="Normal 82 4 2 6" xfId="23741" xr:uid="{00000000-0005-0000-0000-00000B760000}"/>
    <cellStyle name="Normal 82 4 3" xfId="5949" xr:uid="{00000000-0005-0000-0000-00000C760000}"/>
    <cellStyle name="Normal 82 4 3 2" xfId="5950" xr:uid="{00000000-0005-0000-0000-00000D760000}"/>
    <cellStyle name="Normal 82 4 3 2 2" xfId="9818" xr:uid="{00000000-0005-0000-0000-00000E760000}"/>
    <cellStyle name="Normal 82 4 3 2 2 2" xfId="18992" xr:uid="{00000000-0005-0000-0000-00000F760000}"/>
    <cellStyle name="Normal 82 4 3 2 2 2 2" xfId="35566" xr:uid="{00000000-0005-0000-0000-000010760000}"/>
    <cellStyle name="Normal 82 4 3 2 2 3" xfId="27519" xr:uid="{00000000-0005-0000-0000-000011760000}"/>
    <cellStyle name="Normal 82 4 3 2 3" xfId="15235" xr:uid="{00000000-0005-0000-0000-000012760000}"/>
    <cellStyle name="Normal 82 4 3 2 3 2" xfId="31789" xr:uid="{00000000-0005-0000-0000-000013760000}"/>
    <cellStyle name="Normal 82 4 3 2 4" xfId="23746" xr:uid="{00000000-0005-0000-0000-000014760000}"/>
    <cellStyle name="Normal 82 4 3 3" xfId="9819" xr:uid="{00000000-0005-0000-0000-000015760000}"/>
    <cellStyle name="Normal 82 4 3 3 2" xfId="18993" xr:uid="{00000000-0005-0000-0000-000016760000}"/>
    <cellStyle name="Normal 82 4 3 3 2 2" xfId="35567" xr:uid="{00000000-0005-0000-0000-000017760000}"/>
    <cellStyle name="Normal 82 4 3 3 3" xfId="27520" xr:uid="{00000000-0005-0000-0000-000018760000}"/>
    <cellStyle name="Normal 82 4 3 4" xfId="15234" xr:uid="{00000000-0005-0000-0000-000019760000}"/>
    <cellStyle name="Normal 82 4 3 4 2" xfId="31788" xr:uid="{00000000-0005-0000-0000-00001A760000}"/>
    <cellStyle name="Normal 82 4 3 5" xfId="23745" xr:uid="{00000000-0005-0000-0000-00001B760000}"/>
    <cellStyle name="Normal 82 4 4" xfId="5951" xr:uid="{00000000-0005-0000-0000-00001C760000}"/>
    <cellStyle name="Normal 82 4 4 2" xfId="9820" xr:uid="{00000000-0005-0000-0000-00001D760000}"/>
    <cellStyle name="Normal 82 4 4 2 2" xfId="18994" xr:uid="{00000000-0005-0000-0000-00001E760000}"/>
    <cellStyle name="Normal 82 4 4 2 2 2" xfId="35568" xr:uid="{00000000-0005-0000-0000-00001F760000}"/>
    <cellStyle name="Normal 82 4 4 2 3" xfId="27521" xr:uid="{00000000-0005-0000-0000-000020760000}"/>
    <cellStyle name="Normal 82 4 4 3" xfId="15236" xr:uid="{00000000-0005-0000-0000-000021760000}"/>
    <cellStyle name="Normal 82 4 4 3 2" xfId="31790" xr:uid="{00000000-0005-0000-0000-000022760000}"/>
    <cellStyle name="Normal 82 4 4 4" xfId="23747" xr:uid="{00000000-0005-0000-0000-000023760000}"/>
    <cellStyle name="Normal 82 4 5" xfId="9821" xr:uid="{00000000-0005-0000-0000-000024760000}"/>
    <cellStyle name="Normal 82 4 5 2" xfId="18995" xr:uid="{00000000-0005-0000-0000-000025760000}"/>
    <cellStyle name="Normal 82 4 5 2 2" xfId="35569" xr:uid="{00000000-0005-0000-0000-000026760000}"/>
    <cellStyle name="Normal 82 4 5 3" xfId="27522" xr:uid="{00000000-0005-0000-0000-000027760000}"/>
    <cellStyle name="Normal 82 4 6" xfId="15229" xr:uid="{00000000-0005-0000-0000-000028760000}"/>
    <cellStyle name="Normal 82 4 6 2" xfId="31783" xr:uid="{00000000-0005-0000-0000-000029760000}"/>
    <cellStyle name="Normal 82 4 7" xfId="23740" xr:uid="{00000000-0005-0000-0000-00002A760000}"/>
    <cellStyle name="Normal 82 5" xfId="5952" xr:uid="{00000000-0005-0000-0000-00002B760000}"/>
    <cellStyle name="Normal 82 5 2" xfId="5953" xr:uid="{00000000-0005-0000-0000-00002C760000}"/>
    <cellStyle name="Normal 82 5 2 2" xfId="5954" xr:uid="{00000000-0005-0000-0000-00002D760000}"/>
    <cellStyle name="Normal 82 5 2 2 2" xfId="5955" xr:uid="{00000000-0005-0000-0000-00002E760000}"/>
    <cellStyle name="Normal 82 5 2 2 2 2" xfId="9822" xr:uid="{00000000-0005-0000-0000-00002F760000}"/>
    <cellStyle name="Normal 82 5 2 2 2 2 2" xfId="18996" xr:uid="{00000000-0005-0000-0000-000030760000}"/>
    <cellStyle name="Normal 82 5 2 2 2 2 2 2" xfId="35570" xr:uid="{00000000-0005-0000-0000-000031760000}"/>
    <cellStyle name="Normal 82 5 2 2 2 2 3" xfId="27523" xr:uid="{00000000-0005-0000-0000-000032760000}"/>
    <cellStyle name="Normal 82 5 2 2 2 3" xfId="15240" xr:uid="{00000000-0005-0000-0000-000033760000}"/>
    <cellStyle name="Normal 82 5 2 2 2 3 2" xfId="31794" xr:uid="{00000000-0005-0000-0000-000034760000}"/>
    <cellStyle name="Normal 82 5 2 2 2 4" xfId="23751" xr:uid="{00000000-0005-0000-0000-000035760000}"/>
    <cellStyle name="Normal 82 5 2 2 3" xfId="9823" xr:uid="{00000000-0005-0000-0000-000036760000}"/>
    <cellStyle name="Normal 82 5 2 2 3 2" xfId="18997" xr:uid="{00000000-0005-0000-0000-000037760000}"/>
    <cellStyle name="Normal 82 5 2 2 3 2 2" xfId="35571" xr:uid="{00000000-0005-0000-0000-000038760000}"/>
    <cellStyle name="Normal 82 5 2 2 3 3" xfId="27524" xr:uid="{00000000-0005-0000-0000-000039760000}"/>
    <cellStyle name="Normal 82 5 2 2 4" xfId="15239" xr:uid="{00000000-0005-0000-0000-00003A760000}"/>
    <cellStyle name="Normal 82 5 2 2 4 2" xfId="31793" xr:uid="{00000000-0005-0000-0000-00003B760000}"/>
    <cellStyle name="Normal 82 5 2 2 5" xfId="23750" xr:uid="{00000000-0005-0000-0000-00003C760000}"/>
    <cellStyle name="Normal 82 5 2 3" xfId="5956" xr:uid="{00000000-0005-0000-0000-00003D760000}"/>
    <cellStyle name="Normal 82 5 2 3 2" xfId="9824" xr:uid="{00000000-0005-0000-0000-00003E760000}"/>
    <cellStyle name="Normal 82 5 2 3 2 2" xfId="18998" xr:uid="{00000000-0005-0000-0000-00003F760000}"/>
    <cellStyle name="Normal 82 5 2 3 2 2 2" xfId="35572" xr:uid="{00000000-0005-0000-0000-000040760000}"/>
    <cellStyle name="Normal 82 5 2 3 2 3" xfId="27525" xr:uid="{00000000-0005-0000-0000-000041760000}"/>
    <cellStyle name="Normal 82 5 2 3 3" xfId="15241" xr:uid="{00000000-0005-0000-0000-000042760000}"/>
    <cellStyle name="Normal 82 5 2 3 3 2" xfId="31795" xr:uid="{00000000-0005-0000-0000-000043760000}"/>
    <cellStyle name="Normal 82 5 2 3 4" xfId="23752" xr:uid="{00000000-0005-0000-0000-000044760000}"/>
    <cellStyle name="Normal 82 5 2 4" xfId="9825" xr:uid="{00000000-0005-0000-0000-000045760000}"/>
    <cellStyle name="Normal 82 5 2 4 2" xfId="18999" xr:uid="{00000000-0005-0000-0000-000046760000}"/>
    <cellStyle name="Normal 82 5 2 4 2 2" xfId="35573" xr:uid="{00000000-0005-0000-0000-000047760000}"/>
    <cellStyle name="Normal 82 5 2 4 3" xfId="27526" xr:uid="{00000000-0005-0000-0000-000048760000}"/>
    <cellStyle name="Normal 82 5 2 5" xfId="15238" xr:uid="{00000000-0005-0000-0000-000049760000}"/>
    <cellStyle name="Normal 82 5 2 5 2" xfId="31792" xr:uid="{00000000-0005-0000-0000-00004A760000}"/>
    <cellStyle name="Normal 82 5 2 6" xfId="23749" xr:uid="{00000000-0005-0000-0000-00004B760000}"/>
    <cellStyle name="Normal 82 5 3" xfId="5957" xr:uid="{00000000-0005-0000-0000-00004C760000}"/>
    <cellStyle name="Normal 82 5 3 2" xfId="5958" xr:uid="{00000000-0005-0000-0000-00004D760000}"/>
    <cellStyle name="Normal 82 5 3 2 2" xfId="9826" xr:uid="{00000000-0005-0000-0000-00004E760000}"/>
    <cellStyle name="Normal 82 5 3 2 2 2" xfId="19000" xr:uid="{00000000-0005-0000-0000-00004F760000}"/>
    <cellStyle name="Normal 82 5 3 2 2 2 2" xfId="35574" xr:uid="{00000000-0005-0000-0000-000050760000}"/>
    <cellStyle name="Normal 82 5 3 2 2 3" xfId="27527" xr:uid="{00000000-0005-0000-0000-000051760000}"/>
    <cellStyle name="Normal 82 5 3 2 3" xfId="15243" xr:uid="{00000000-0005-0000-0000-000052760000}"/>
    <cellStyle name="Normal 82 5 3 2 3 2" xfId="31797" xr:uid="{00000000-0005-0000-0000-000053760000}"/>
    <cellStyle name="Normal 82 5 3 2 4" xfId="23754" xr:uid="{00000000-0005-0000-0000-000054760000}"/>
    <cellStyle name="Normal 82 5 3 3" xfId="9827" xr:uid="{00000000-0005-0000-0000-000055760000}"/>
    <cellStyle name="Normal 82 5 3 3 2" xfId="19001" xr:uid="{00000000-0005-0000-0000-000056760000}"/>
    <cellStyle name="Normal 82 5 3 3 2 2" xfId="35575" xr:uid="{00000000-0005-0000-0000-000057760000}"/>
    <cellStyle name="Normal 82 5 3 3 3" xfId="27528" xr:uid="{00000000-0005-0000-0000-000058760000}"/>
    <cellStyle name="Normal 82 5 3 4" xfId="15242" xr:uid="{00000000-0005-0000-0000-000059760000}"/>
    <cellStyle name="Normal 82 5 3 4 2" xfId="31796" xr:uid="{00000000-0005-0000-0000-00005A760000}"/>
    <cellStyle name="Normal 82 5 3 5" xfId="23753" xr:uid="{00000000-0005-0000-0000-00005B760000}"/>
    <cellStyle name="Normal 82 5 4" xfId="5959" xr:uid="{00000000-0005-0000-0000-00005C760000}"/>
    <cellStyle name="Normal 82 5 4 2" xfId="9828" xr:uid="{00000000-0005-0000-0000-00005D760000}"/>
    <cellStyle name="Normal 82 5 4 2 2" xfId="19002" xr:uid="{00000000-0005-0000-0000-00005E760000}"/>
    <cellStyle name="Normal 82 5 4 2 2 2" xfId="35576" xr:uid="{00000000-0005-0000-0000-00005F760000}"/>
    <cellStyle name="Normal 82 5 4 2 3" xfId="27529" xr:uid="{00000000-0005-0000-0000-000060760000}"/>
    <cellStyle name="Normal 82 5 4 3" xfId="15244" xr:uid="{00000000-0005-0000-0000-000061760000}"/>
    <cellStyle name="Normal 82 5 4 3 2" xfId="31798" xr:uid="{00000000-0005-0000-0000-000062760000}"/>
    <cellStyle name="Normal 82 5 4 4" xfId="23755" xr:uid="{00000000-0005-0000-0000-000063760000}"/>
    <cellStyle name="Normal 82 5 5" xfId="9829" xr:uid="{00000000-0005-0000-0000-000064760000}"/>
    <cellStyle name="Normal 82 5 5 2" xfId="19003" xr:uid="{00000000-0005-0000-0000-000065760000}"/>
    <cellStyle name="Normal 82 5 5 2 2" xfId="35577" xr:uid="{00000000-0005-0000-0000-000066760000}"/>
    <cellStyle name="Normal 82 5 5 3" xfId="27530" xr:uid="{00000000-0005-0000-0000-000067760000}"/>
    <cellStyle name="Normal 82 5 6" xfId="15237" xr:uid="{00000000-0005-0000-0000-000068760000}"/>
    <cellStyle name="Normal 82 5 6 2" xfId="31791" xr:uid="{00000000-0005-0000-0000-000069760000}"/>
    <cellStyle name="Normal 82 5 7" xfId="23748" xr:uid="{00000000-0005-0000-0000-00006A760000}"/>
    <cellStyle name="Normal 82 6" xfId="5960" xr:uid="{00000000-0005-0000-0000-00006B760000}"/>
    <cellStyle name="Normal 82 6 2" xfId="5961" xr:uid="{00000000-0005-0000-0000-00006C760000}"/>
    <cellStyle name="Normal 82 6 2 2" xfId="5962" xr:uid="{00000000-0005-0000-0000-00006D760000}"/>
    <cellStyle name="Normal 82 6 2 2 2" xfId="9830" xr:uid="{00000000-0005-0000-0000-00006E760000}"/>
    <cellStyle name="Normal 82 6 2 2 2 2" xfId="19004" xr:uid="{00000000-0005-0000-0000-00006F760000}"/>
    <cellStyle name="Normal 82 6 2 2 2 2 2" xfId="35578" xr:uid="{00000000-0005-0000-0000-000070760000}"/>
    <cellStyle name="Normal 82 6 2 2 2 3" xfId="27531" xr:uid="{00000000-0005-0000-0000-000071760000}"/>
    <cellStyle name="Normal 82 6 2 2 3" xfId="15247" xr:uid="{00000000-0005-0000-0000-000072760000}"/>
    <cellStyle name="Normal 82 6 2 2 3 2" xfId="31801" xr:uid="{00000000-0005-0000-0000-000073760000}"/>
    <cellStyle name="Normal 82 6 2 2 4" xfId="23758" xr:uid="{00000000-0005-0000-0000-000074760000}"/>
    <cellStyle name="Normal 82 6 2 3" xfId="9831" xr:uid="{00000000-0005-0000-0000-000075760000}"/>
    <cellStyle name="Normal 82 6 2 3 2" xfId="19005" xr:uid="{00000000-0005-0000-0000-000076760000}"/>
    <cellStyle name="Normal 82 6 2 3 2 2" xfId="35579" xr:uid="{00000000-0005-0000-0000-000077760000}"/>
    <cellStyle name="Normal 82 6 2 3 3" xfId="27532" xr:uid="{00000000-0005-0000-0000-000078760000}"/>
    <cellStyle name="Normal 82 6 2 4" xfId="15246" xr:uid="{00000000-0005-0000-0000-000079760000}"/>
    <cellStyle name="Normal 82 6 2 4 2" xfId="31800" xr:uid="{00000000-0005-0000-0000-00007A760000}"/>
    <cellStyle name="Normal 82 6 2 5" xfId="23757" xr:uid="{00000000-0005-0000-0000-00007B760000}"/>
    <cellStyle name="Normal 82 6 3" xfId="5963" xr:uid="{00000000-0005-0000-0000-00007C760000}"/>
    <cellStyle name="Normal 82 6 3 2" xfId="9832" xr:uid="{00000000-0005-0000-0000-00007D760000}"/>
    <cellStyle name="Normal 82 6 3 2 2" xfId="19006" xr:uid="{00000000-0005-0000-0000-00007E760000}"/>
    <cellStyle name="Normal 82 6 3 2 2 2" xfId="35580" xr:uid="{00000000-0005-0000-0000-00007F760000}"/>
    <cellStyle name="Normal 82 6 3 2 3" xfId="27533" xr:uid="{00000000-0005-0000-0000-000080760000}"/>
    <cellStyle name="Normal 82 6 3 3" xfId="15248" xr:uid="{00000000-0005-0000-0000-000081760000}"/>
    <cellStyle name="Normal 82 6 3 3 2" xfId="31802" xr:uid="{00000000-0005-0000-0000-000082760000}"/>
    <cellStyle name="Normal 82 6 3 4" xfId="23759" xr:uid="{00000000-0005-0000-0000-000083760000}"/>
    <cellStyle name="Normal 82 6 4" xfId="9833" xr:uid="{00000000-0005-0000-0000-000084760000}"/>
    <cellStyle name="Normal 82 6 4 2" xfId="19007" xr:uid="{00000000-0005-0000-0000-000085760000}"/>
    <cellStyle name="Normal 82 6 4 2 2" xfId="35581" xr:uid="{00000000-0005-0000-0000-000086760000}"/>
    <cellStyle name="Normal 82 6 4 3" xfId="27534" xr:uid="{00000000-0005-0000-0000-000087760000}"/>
    <cellStyle name="Normal 82 6 5" xfId="15245" xr:uid="{00000000-0005-0000-0000-000088760000}"/>
    <cellStyle name="Normal 82 6 5 2" xfId="31799" xr:uid="{00000000-0005-0000-0000-000089760000}"/>
    <cellStyle name="Normal 82 6 6" xfId="23756" xr:uid="{00000000-0005-0000-0000-00008A760000}"/>
    <cellStyle name="Normal 82 7" xfId="5964" xr:uid="{00000000-0005-0000-0000-00008B760000}"/>
    <cellStyle name="Normal 82 7 2" xfId="5965" xr:uid="{00000000-0005-0000-0000-00008C760000}"/>
    <cellStyle name="Normal 82 7 2 2" xfId="9834" xr:uid="{00000000-0005-0000-0000-00008D760000}"/>
    <cellStyle name="Normal 82 7 2 2 2" xfId="19008" xr:uid="{00000000-0005-0000-0000-00008E760000}"/>
    <cellStyle name="Normal 82 7 2 2 2 2" xfId="35582" xr:uid="{00000000-0005-0000-0000-00008F760000}"/>
    <cellStyle name="Normal 82 7 2 2 3" xfId="27535" xr:uid="{00000000-0005-0000-0000-000090760000}"/>
    <cellStyle name="Normal 82 7 2 3" xfId="15250" xr:uid="{00000000-0005-0000-0000-000091760000}"/>
    <cellStyle name="Normal 82 7 2 3 2" xfId="31804" xr:uid="{00000000-0005-0000-0000-000092760000}"/>
    <cellStyle name="Normal 82 7 2 4" xfId="23761" xr:uid="{00000000-0005-0000-0000-000093760000}"/>
    <cellStyle name="Normal 82 7 3" xfId="9835" xr:uid="{00000000-0005-0000-0000-000094760000}"/>
    <cellStyle name="Normal 82 7 3 2" xfId="19009" xr:uid="{00000000-0005-0000-0000-000095760000}"/>
    <cellStyle name="Normal 82 7 3 2 2" xfId="35583" xr:uid="{00000000-0005-0000-0000-000096760000}"/>
    <cellStyle name="Normal 82 7 3 3" xfId="27536" xr:uid="{00000000-0005-0000-0000-000097760000}"/>
    <cellStyle name="Normal 82 7 4" xfId="15249" xr:uid="{00000000-0005-0000-0000-000098760000}"/>
    <cellStyle name="Normal 82 7 4 2" xfId="31803" xr:uid="{00000000-0005-0000-0000-000099760000}"/>
    <cellStyle name="Normal 82 7 5" xfId="23760" xr:uid="{00000000-0005-0000-0000-00009A760000}"/>
    <cellStyle name="Normal 82 8" xfId="5966" xr:uid="{00000000-0005-0000-0000-00009B760000}"/>
    <cellStyle name="Normal 82 8 2" xfId="9836" xr:uid="{00000000-0005-0000-0000-00009C760000}"/>
    <cellStyle name="Normal 82 8 2 2" xfId="19010" xr:uid="{00000000-0005-0000-0000-00009D760000}"/>
    <cellStyle name="Normal 82 8 2 2 2" xfId="35584" xr:uid="{00000000-0005-0000-0000-00009E760000}"/>
    <cellStyle name="Normal 82 8 2 3" xfId="27537" xr:uid="{00000000-0005-0000-0000-00009F760000}"/>
    <cellStyle name="Normal 82 8 3" xfId="15251" xr:uid="{00000000-0005-0000-0000-0000A0760000}"/>
    <cellStyle name="Normal 82 8 3 2" xfId="31805" xr:uid="{00000000-0005-0000-0000-0000A1760000}"/>
    <cellStyle name="Normal 82 8 4" xfId="23762" xr:uid="{00000000-0005-0000-0000-0000A2760000}"/>
    <cellStyle name="Normal 82 9" xfId="9837" xr:uid="{00000000-0005-0000-0000-0000A3760000}"/>
    <cellStyle name="Normal 82 9 2" xfId="19011" xr:uid="{00000000-0005-0000-0000-0000A4760000}"/>
    <cellStyle name="Normal 82 9 2 2" xfId="35585" xr:uid="{00000000-0005-0000-0000-0000A5760000}"/>
    <cellStyle name="Normal 82 9 3" xfId="27538" xr:uid="{00000000-0005-0000-0000-0000A6760000}"/>
    <cellStyle name="Normal 83" xfId="5967" xr:uid="{00000000-0005-0000-0000-0000A7760000}"/>
    <cellStyle name="Normal 83 10" xfId="15252" xr:uid="{00000000-0005-0000-0000-0000A8760000}"/>
    <cellStyle name="Normal 83 10 2" xfId="31806" xr:uid="{00000000-0005-0000-0000-0000A9760000}"/>
    <cellStyle name="Normal 83 11" xfId="23763" xr:uid="{00000000-0005-0000-0000-0000AA760000}"/>
    <cellStyle name="Normal 83 2" xfId="5968" xr:uid="{00000000-0005-0000-0000-0000AB760000}"/>
    <cellStyle name="Normal 83 2 2" xfId="5969" xr:uid="{00000000-0005-0000-0000-0000AC760000}"/>
    <cellStyle name="Normal 83 2 3" xfId="15253" xr:uid="{00000000-0005-0000-0000-0000AD760000}"/>
    <cellStyle name="Normal 83 2 3 2" xfId="31807" xr:uid="{00000000-0005-0000-0000-0000AE760000}"/>
    <cellStyle name="Normal 83 2 4" xfId="23764" xr:uid="{00000000-0005-0000-0000-0000AF760000}"/>
    <cellStyle name="Normal 83 3" xfId="5970" xr:uid="{00000000-0005-0000-0000-0000B0760000}"/>
    <cellStyle name="Normal 83 3 2" xfId="5971" xr:uid="{00000000-0005-0000-0000-0000B1760000}"/>
    <cellStyle name="Normal 83 3 2 2" xfId="5972" xr:uid="{00000000-0005-0000-0000-0000B2760000}"/>
    <cellStyle name="Normal 83 3 2 2 2" xfId="5973" xr:uid="{00000000-0005-0000-0000-0000B3760000}"/>
    <cellStyle name="Normal 83 3 2 2 2 2" xfId="9838" xr:uid="{00000000-0005-0000-0000-0000B4760000}"/>
    <cellStyle name="Normal 83 3 2 2 2 2 2" xfId="19012" xr:uid="{00000000-0005-0000-0000-0000B5760000}"/>
    <cellStyle name="Normal 83 3 2 2 2 2 2 2" xfId="35586" xr:uid="{00000000-0005-0000-0000-0000B6760000}"/>
    <cellStyle name="Normal 83 3 2 2 2 2 3" xfId="27539" xr:uid="{00000000-0005-0000-0000-0000B7760000}"/>
    <cellStyle name="Normal 83 3 2 2 2 3" xfId="15256" xr:uid="{00000000-0005-0000-0000-0000B8760000}"/>
    <cellStyle name="Normal 83 3 2 2 2 3 2" xfId="31810" xr:uid="{00000000-0005-0000-0000-0000B9760000}"/>
    <cellStyle name="Normal 83 3 2 2 2 4" xfId="23767" xr:uid="{00000000-0005-0000-0000-0000BA760000}"/>
    <cellStyle name="Normal 83 3 2 2 3" xfId="9839" xr:uid="{00000000-0005-0000-0000-0000BB760000}"/>
    <cellStyle name="Normal 83 3 2 2 3 2" xfId="19013" xr:uid="{00000000-0005-0000-0000-0000BC760000}"/>
    <cellStyle name="Normal 83 3 2 2 3 2 2" xfId="35587" xr:uid="{00000000-0005-0000-0000-0000BD760000}"/>
    <cellStyle name="Normal 83 3 2 2 3 3" xfId="27540" xr:uid="{00000000-0005-0000-0000-0000BE760000}"/>
    <cellStyle name="Normal 83 3 2 2 4" xfId="15255" xr:uid="{00000000-0005-0000-0000-0000BF760000}"/>
    <cellStyle name="Normal 83 3 2 2 4 2" xfId="31809" xr:uid="{00000000-0005-0000-0000-0000C0760000}"/>
    <cellStyle name="Normal 83 3 2 2 5" xfId="23766" xr:uid="{00000000-0005-0000-0000-0000C1760000}"/>
    <cellStyle name="Normal 83 3 2 3" xfId="5974" xr:uid="{00000000-0005-0000-0000-0000C2760000}"/>
    <cellStyle name="Normal 83 3 2 3 2" xfId="9840" xr:uid="{00000000-0005-0000-0000-0000C3760000}"/>
    <cellStyle name="Normal 83 3 2 3 2 2" xfId="19014" xr:uid="{00000000-0005-0000-0000-0000C4760000}"/>
    <cellStyle name="Normal 83 3 2 3 2 2 2" xfId="35588" xr:uid="{00000000-0005-0000-0000-0000C5760000}"/>
    <cellStyle name="Normal 83 3 2 3 2 3" xfId="27541" xr:uid="{00000000-0005-0000-0000-0000C6760000}"/>
    <cellStyle name="Normal 83 3 2 3 3" xfId="15257" xr:uid="{00000000-0005-0000-0000-0000C7760000}"/>
    <cellStyle name="Normal 83 3 2 3 3 2" xfId="31811" xr:uid="{00000000-0005-0000-0000-0000C8760000}"/>
    <cellStyle name="Normal 83 3 2 3 4" xfId="23768" xr:uid="{00000000-0005-0000-0000-0000C9760000}"/>
    <cellStyle name="Normal 83 3 2 4" xfId="9841" xr:uid="{00000000-0005-0000-0000-0000CA760000}"/>
    <cellStyle name="Normal 83 3 2 4 2" xfId="19015" xr:uid="{00000000-0005-0000-0000-0000CB760000}"/>
    <cellStyle name="Normal 83 3 2 4 2 2" xfId="35589" xr:uid="{00000000-0005-0000-0000-0000CC760000}"/>
    <cellStyle name="Normal 83 3 2 4 3" xfId="27542" xr:uid="{00000000-0005-0000-0000-0000CD760000}"/>
    <cellStyle name="Normal 83 3 2 5" xfId="15254" xr:uid="{00000000-0005-0000-0000-0000CE760000}"/>
    <cellStyle name="Normal 83 3 2 5 2" xfId="31808" xr:uid="{00000000-0005-0000-0000-0000CF760000}"/>
    <cellStyle name="Normal 83 3 2 6" xfId="23765" xr:uid="{00000000-0005-0000-0000-0000D0760000}"/>
    <cellStyle name="Normal 83 3 3" xfId="5975" xr:uid="{00000000-0005-0000-0000-0000D1760000}"/>
    <cellStyle name="Normal 83 3 3 2" xfId="5976" xr:uid="{00000000-0005-0000-0000-0000D2760000}"/>
    <cellStyle name="Normal 83 3 3 2 2" xfId="9842" xr:uid="{00000000-0005-0000-0000-0000D3760000}"/>
    <cellStyle name="Normal 83 3 3 2 2 2" xfId="19016" xr:uid="{00000000-0005-0000-0000-0000D4760000}"/>
    <cellStyle name="Normal 83 3 3 2 2 2 2" xfId="35590" xr:uid="{00000000-0005-0000-0000-0000D5760000}"/>
    <cellStyle name="Normal 83 3 3 2 2 3" xfId="27543" xr:uid="{00000000-0005-0000-0000-0000D6760000}"/>
    <cellStyle name="Normal 83 3 3 2 3" xfId="15259" xr:uid="{00000000-0005-0000-0000-0000D7760000}"/>
    <cellStyle name="Normal 83 3 3 2 3 2" xfId="31813" xr:uid="{00000000-0005-0000-0000-0000D8760000}"/>
    <cellStyle name="Normal 83 3 3 2 4" xfId="23770" xr:uid="{00000000-0005-0000-0000-0000D9760000}"/>
    <cellStyle name="Normal 83 3 3 3" xfId="9843" xr:uid="{00000000-0005-0000-0000-0000DA760000}"/>
    <cellStyle name="Normal 83 3 3 3 2" xfId="19017" xr:uid="{00000000-0005-0000-0000-0000DB760000}"/>
    <cellStyle name="Normal 83 3 3 3 2 2" xfId="35591" xr:uid="{00000000-0005-0000-0000-0000DC760000}"/>
    <cellStyle name="Normal 83 3 3 3 3" xfId="27544" xr:uid="{00000000-0005-0000-0000-0000DD760000}"/>
    <cellStyle name="Normal 83 3 3 4" xfId="15258" xr:uid="{00000000-0005-0000-0000-0000DE760000}"/>
    <cellStyle name="Normal 83 3 3 4 2" xfId="31812" xr:uid="{00000000-0005-0000-0000-0000DF760000}"/>
    <cellStyle name="Normal 83 3 3 5" xfId="23769" xr:uid="{00000000-0005-0000-0000-0000E0760000}"/>
    <cellStyle name="Normal 83 3 4" xfId="5977" xr:uid="{00000000-0005-0000-0000-0000E1760000}"/>
    <cellStyle name="Normal 83 3 4 2" xfId="9844" xr:uid="{00000000-0005-0000-0000-0000E2760000}"/>
    <cellStyle name="Normal 83 3 4 2 2" xfId="19018" xr:uid="{00000000-0005-0000-0000-0000E3760000}"/>
    <cellStyle name="Normal 83 3 4 2 2 2" xfId="35592" xr:uid="{00000000-0005-0000-0000-0000E4760000}"/>
    <cellStyle name="Normal 83 3 4 2 3" xfId="27545" xr:uid="{00000000-0005-0000-0000-0000E5760000}"/>
    <cellStyle name="Normal 83 3 4 3" xfId="15260" xr:uid="{00000000-0005-0000-0000-0000E6760000}"/>
    <cellStyle name="Normal 83 3 4 3 2" xfId="31814" xr:uid="{00000000-0005-0000-0000-0000E7760000}"/>
    <cellStyle name="Normal 83 3 4 4" xfId="23771" xr:uid="{00000000-0005-0000-0000-0000E8760000}"/>
    <cellStyle name="Normal 83 3 5" xfId="5978" xr:uid="{00000000-0005-0000-0000-0000E9760000}"/>
    <cellStyle name="Normal 83 3 5 2" xfId="15261" xr:uid="{00000000-0005-0000-0000-0000EA760000}"/>
    <cellStyle name="Normal 83 3 5 2 2" xfId="31815" xr:uid="{00000000-0005-0000-0000-0000EB760000}"/>
    <cellStyle name="Normal 83 3 5 3" xfId="23772" xr:uid="{00000000-0005-0000-0000-0000EC760000}"/>
    <cellStyle name="Normal 83 4" xfId="5979" xr:uid="{00000000-0005-0000-0000-0000ED760000}"/>
    <cellStyle name="Normal 83 4 2" xfId="5980" xr:uid="{00000000-0005-0000-0000-0000EE760000}"/>
    <cellStyle name="Normal 83 4 2 2" xfId="5981" xr:uid="{00000000-0005-0000-0000-0000EF760000}"/>
    <cellStyle name="Normal 83 4 2 2 2" xfId="5982" xr:uid="{00000000-0005-0000-0000-0000F0760000}"/>
    <cellStyle name="Normal 83 4 2 2 2 2" xfId="9845" xr:uid="{00000000-0005-0000-0000-0000F1760000}"/>
    <cellStyle name="Normal 83 4 2 2 2 2 2" xfId="19019" xr:uid="{00000000-0005-0000-0000-0000F2760000}"/>
    <cellStyle name="Normal 83 4 2 2 2 2 2 2" xfId="35593" xr:uid="{00000000-0005-0000-0000-0000F3760000}"/>
    <cellStyle name="Normal 83 4 2 2 2 2 3" xfId="27546" xr:uid="{00000000-0005-0000-0000-0000F4760000}"/>
    <cellStyle name="Normal 83 4 2 2 2 3" xfId="15265" xr:uid="{00000000-0005-0000-0000-0000F5760000}"/>
    <cellStyle name="Normal 83 4 2 2 2 3 2" xfId="31819" xr:uid="{00000000-0005-0000-0000-0000F6760000}"/>
    <cellStyle name="Normal 83 4 2 2 2 4" xfId="23776" xr:uid="{00000000-0005-0000-0000-0000F7760000}"/>
    <cellStyle name="Normal 83 4 2 2 3" xfId="9846" xr:uid="{00000000-0005-0000-0000-0000F8760000}"/>
    <cellStyle name="Normal 83 4 2 2 3 2" xfId="19020" xr:uid="{00000000-0005-0000-0000-0000F9760000}"/>
    <cellStyle name="Normal 83 4 2 2 3 2 2" xfId="35594" xr:uid="{00000000-0005-0000-0000-0000FA760000}"/>
    <cellStyle name="Normal 83 4 2 2 3 3" xfId="27547" xr:uid="{00000000-0005-0000-0000-0000FB760000}"/>
    <cellStyle name="Normal 83 4 2 2 4" xfId="15264" xr:uid="{00000000-0005-0000-0000-0000FC760000}"/>
    <cellStyle name="Normal 83 4 2 2 4 2" xfId="31818" xr:uid="{00000000-0005-0000-0000-0000FD760000}"/>
    <cellStyle name="Normal 83 4 2 2 5" xfId="23775" xr:uid="{00000000-0005-0000-0000-0000FE760000}"/>
    <cellStyle name="Normal 83 4 2 3" xfId="5983" xr:uid="{00000000-0005-0000-0000-0000FF760000}"/>
    <cellStyle name="Normal 83 4 2 3 2" xfId="9847" xr:uid="{00000000-0005-0000-0000-000000770000}"/>
    <cellStyle name="Normal 83 4 2 3 2 2" xfId="19021" xr:uid="{00000000-0005-0000-0000-000001770000}"/>
    <cellStyle name="Normal 83 4 2 3 2 2 2" xfId="35595" xr:uid="{00000000-0005-0000-0000-000002770000}"/>
    <cellStyle name="Normal 83 4 2 3 2 3" xfId="27548" xr:uid="{00000000-0005-0000-0000-000003770000}"/>
    <cellStyle name="Normal 83 4 2 3 3" xfId="15266" xr:uid="{00000000-0005-0000-0000-000004770000}"/>
    <cellStyle name="Normal 83 4 2 3 3 2" xfId="31820" xr:uid="{00000000-0005-0000-0000-000005770000}"/>
    <cellStyle name="Normal 83 4 2 3 4" xfId="23777" xr:uid="{00000000-0005-0000-0000-000006770000}"/>
    <cellStyle name="Normal 83 4 2 4" xfId="9848" xr:uid="{00000000-0005-0000-0000-000007770000}"/>
    <cellStyle name="Normal 83 4 2 4 2" xfId="19022" xr:uid="{00000000-0005-0000-0000-000008770000}"/>
    <cellStyle name="Normal 83 4 2 4 2 2" xfId="35596" xr:uid="{00000000-0005-0000-0000-000009770000}"/>
    <cellStyle name="Normal 83 4 2 4 3" xfId="27549" xr:uid="{00000000-0005-0000-0000-00000A770000}"/>
    <cellStyle name="Normal 83 4 2 5" xfId="15263" xr:uid="{00000000-0005-0000-0000-00000B770000}"/>
    <cellStyle name="Normal 83 4 2 5 2" xfId="31817" xr:uid="{00000000-0005-0000-0000-00000C770000}"/>
    <cellStyle name="Normal 83 4 2 6" xfId="23774" xr:uid="{00000000-0005-0000-0000-00000D770000}"/>
    <cellStyle name="Normal 83 4 3" xfId="5984" xr:uid="{00000000-0005-0000-0000-00000E770000}"/>
    <cellStyle name="Normal 83 4 3 2" xfId="5985" xr:uid="{00000000-0005-0000-0000-00000F770000}"/>
    <cellStyle name="Normal 83 4 3 2 2" xfId="9849" xr:uid="{00000000-0005-0000-0000-000010770000}"/>
    <cellStyle name="Normal 83 4 3 2 2 2" xfId="19023" xr:uid="{00000000-0005-0000-0000-000011770000}"/>
    <cellStyle name="Normal 83 4 3 2 2 2 2" xfId="35597" xr:uid="{00000000-0005-0000-0000-000012770000}"/>
    <cellStyle name="Normal 83 4 3 2 2 3" xfId="27550" xr:uid="{00000000-0005-0000-0000-000013770000}"/>
    <cellStyle name="Normal 83 4 3 2 3" xfId="15268" xr:uid="{00000000-0005-0000-0000-000014770000}"/>
    <cellStyle name="Normal 83 4 3 2 3 2" xfId="31822" xr:uid="{00000000-0005-0000-0000-000015770000}"/>
    <cellStyle name="Normal 83 4 3 2 4" xfId="23779" xr:uid="{00000000-0005-0000-0000-000016770000}"/>
    <cellStyle name="Normal 83 4 3 3" xfId="9850" xr:uid="{00000000-0005-0000-0000-000017770000}"/>
    <cellStyle name="Normal 83 4 3 3 2" xfId="19024" xr:uid="{00000000-0005-0000-0000-000018770000}"/>
    <cellStyle name="Normal 83 4 3 3 2 2" xfId="35598" xr:uid="{00000000-0005-0000-0000-000019770000}"/>
    <cellStyle name="Normal 83 4 3 3 3" xfId="27551" xr:uid="{00000000-0005-0000-0000-00001A770000}"/>
    <cellStyle name="Normal 83 4 3 4" xfId="15267" xr:uid="{00000000-0005-0000-0000-00001B770000}"/>
    <cellStyle name="Normal 83 4 3 4 2" xfId="31821" xr:uid="{00000000-0005-0000-0000-00001C770000}"/>
    <cellStyle name="Normal 83 4 3 5" xfId="23778" xr:uid="{00000000-0005-0000-0000-00001D770000}"/>
    <cellStyle name="Normal 83 4 4" xfId="5986" xr:uid="{00000000-0005-0000-0000-00001E770000}"/>
    <cellStyle name="Normal 83 4 4 2" xfId="9851" xr:uid="{00000000-0005-0000-0000-00001F770000}"/>
    <cellStyle name="Normal 83 4 4 2 2" xfId="19025" xr:uid="{00000000-0005-0000-0000-000020770000}"/>
    <cellStyle name="Normal 83 4 4 2 2 2" xfId="35599" xr:uid="{00000000-0005-0000-0000-000021770000}"/>
    <cellStyle name="Normal 83 4 4 2 3" xfId="27552" xr:uid="{00000000-0005-0000-0000-000022770000}"/>
    <cellStyle name="Normal 83 4 4 3" xfId="15269" xr:uid="{00000000-0005-0000-0000-000023770000}"/>
    <cellStyle name="Normal 83 4 4 3 2" xfId="31823" xr:uid="{00000000-0005-0000-0000-000024770000}"/>
    <cellStyle name="Normal 83 4 4 4" xfId="23780" xr:uid="{00000000-0005-0000-0000-000025770000}"/>
    <cellStyle name="Normal 83 4 5" xfId="9852" xr:uid="{00000000-0005-0000-0000-000026770000}"/>
    <cellStyle name="Normal 83 4 5 2" xfId="19026" xr:uid="{00000000-0005-0000-0000-000027770000}"/>
    <cellStyle name="Normal 83 4 5 2 2" xfId="35600" xr:uid="{00000000-0005-0000-0000-000028770000}"/>
    <cellStyle name="Normal 83 4 5 3" xfId="27553" xr:uid="{00000000-0005-0000-0000-000029770000}"/>
    <cellStyle name="Normal 83 4 6" xfId="15262" xr:uid="{00000000-0005-0000-0000-00002A770000}"/>
    <cellStyle name="Normal 83 4 6 2" xfId="31816" xr:uid="{00000000-0005-0000-0000-00002B770000}"/>
    <cellStyle name="Normal 83 4 7" xfId="23773" xr:uid="{00000000-0005-0000-0000-00002C770000}"/>
    <cellStyle name="Normal 83 5" xfId="5987" xr:uid="{00000000-0005-0000-0000-00002D770000}"/>
    <cellStyle name="Normal 83 5 2" xfId="5988" xr:uid="{00000000-0005-0000-0000-00002E770000}"/>
    <cellStyle name="Normal 83 5 2 2" xfId="5989" xr:uid="{00000000-0005-0000-0000-00002F770000}"/>
    <cellStyle name="Normal 83 5 2 2 2" xfId="5990" xr:uid="{00000000-0005-0000-0000-000030770000}"/>
    <cellStyle name="Normal 83 5 2 2 2 2" xfId="9853" xr:uid="{00000000-0005-0000-0000-000031770000}"/>
    <cellStyle name="Normal 83 5 2 2 2 2 2" xfId="19027" xr:uid="{00000000-0005-0000-0000-000032770000}"/>
    <cellStyle name="Normal 83 5 2 2 2 2 2 2" xfId="35601" xr:uid="{00000000-0005-0000-0000-000033770000}"/>
    <cellStyle name="Normal 83 5 2 2 2 2 3" xfId="27554" xr:uid="{00000000-0005-0000-0000-000034770000}"/>
    <cellStyle name="Normal 83 5 2 2 2 3" xfId="15273" xr:uid="{00000000-0005-0000-0000-000035770000}"/>
    <cellStyle name="Normal 83 5 2 2 2 3 2" xfId="31827" xr:uid="{00000000-0005-0000-0000-000036770000}"/>
    <cellStyle name="Normal 83 5 2 2 2 4" xfId="23784" xr:uid="{00000000-0005-0000-0000-000037770000}"/>
    <cellStyle name="Normal 83 5 2 2 3" xfId="9854" xr:uid="{00000000-0005-0000-0000-000038770000}"/>
    <cellStyle name="Normal 83 5 2 2 3 2" xfId="19028" xr:uid="{00000000-0005-0000-0000-000039770000}"/>
    <cellStyle name="Normal 83 5 2 2 3 2 2" xfId="35602" xr:uid="{00000000-0005-0000-0000-00003A770000}"/>
    <cellStyle name="Normal 83 5 2 2 3 3" xfId="27555" xr:uid="{00000000-0005-0000-0000-00003B770000}"/>
    <cellStyle name="Normal 83 5 2 2 4" xfId="15272" xr:uid="{00000000-0005-0000-0000-00003C770000}"/>
    <cellStyle name="Normal 83 5 2 2 4 2" xfId="31826" xr:uid="{00000000-0005-0000-0000-00003D770000}"/>
    <cellStyle name="Normal 83 5 2 2 5" xfId="23783" xr:uid="{00000000-0005-0000-0000-00003E770000}"/>
    <cellStyle name="Normal 83 5 2 3" xfId="5991" xr:uid="{00000000-0005-0000-0000-00003F770000}"/>
    <cellStyle name="Normal 83 5 2 3 2" xfId="9855" xr:uid="{00000000-0005-0000-0000-000040770000}"/>
    <cellStyle name="Normal 83 5 2 3 2 2" xfId="19029" xr:uid="{00000000-0005-0000-0000-000041770000}"/>
    <cellStyle name="Normal 83 5 2 3 2 2 2" xfId="35603" xr:uid="{00000000-0005-0000-0000-000042770000}"/>
    <cellStyle name="Normal 83 5 2 3 2 3" xfId="27556" xr:uid="{00000000-0005-0000-0000-000043770000}"/>
    <cellStyle name="Normal 83 5 2 3 3" xfId="15274" xr:uid="{00000000-0005-0000-0000-000044770000}"/>
    <cellStyle name="Normal 83 5 2 3 3 2" xfId="31828" xr:uid="{00000000-0005-0000-0000-000045770000}"/>
    <cellStyle name="Normal 83 5 2 3 4" xfId="23785" xr:uid="{00000000-0005-0000-0000-000046770000}"/>
    <cellStyle name="Normal 83 5 2 4" xfId="9856" xr:uid="{00000000-0005-0000-0000-000047770000}"/>
    <cellStyle name="Normal 83 5 2 4 2" xfId="19030" xr:uid="{00000000-0005-0000-0000-000048770000}"/>
    <cellStyle name="Normal 83 5 2 4 2 2" xfId="35604" xr:uid="{00000000-0005-0000-0000-000049770000}"/>
    <cellStyle name="Normal 83 5 2 4 3" xfId="27557" xr:uid="{00000000-0005-0000-0000-00004A770000}"/>
    <cellStyle name="Normal 83 5 2 5" xfId="15271" xr:uid="{00000000-0005-0000-0000-00004B770000}"/>
    <cellStyle name="Normal 83 5 2 5 2" xfId="31825" xr:uid="{00000000-0005-0000-0000-00004C770000}"/>
    <cellStyle name="Normal 83 5 2 6" xfId="23782" xr:uid="{00000000-0005-0000-0000-00004D770000}"/>
    <cellStyle name="Normal 83 5 3" xfId="5992" xr:uid="{00000000-0005-0000-0000-00004E770000}"/>
    <cellStyle name="Normal 83 5 3 2" xfId="5993" xr:uid="{00000000-0005-0000-0000-00004F770000}"/>
    <cellStyle name="Normal 83 5 3 2 2" xfId="9857" xr:uid="{00000000-0005-0000-0000-000050770000}"/>
    <cellStyle name="Normal 83 5 3 2 2 2" xfId="19031" xr:uid="{00000000-0005-0000-0000-000051770000}"/>
    <cellStyle name="Normal 83 5 3 2 2 2 2" xfId="35605" xr:uid="{00000000-0005-0000-0000-000052770000}"/>
    <cellStyle name="Normal 83 5 3 2 2 3" xfId="27558" xr:uid="{00000000-0005-0000-0000-000053770000}"/>
    <cellStyle name="Normal 83 5 3 2 3" xfId="15276" xr:uid="{00000000-0005-0000-0000-000054770000}"/>
    <cellStyle name="Normal 83 5 3 2 3 2" xfId="31830" xr:uid="{00000000-0005-0000-0000-000055770000}"/>
    <cellStyle name="Normal 83 5 3 2 4" xfId="23787" xr:uid="{00000000-0005-0000-0000-000056770000}"/>
    <cellStyle name="Normal 83 5 3 3" xfId="9858" xr:uid="{00000000-0005-0000-0000-000057770000}"/>
    <cellStyle name="Normal 83 5 3 3 2" xfId="19032" xr:uid="{00000000-0005-0000-0000-000058770000}"/>
    <cellStyle name="Normal 83 5 3 3 2 2" xfId="35606" xr:uid="{00000000-0005-0000-0000-000059770000}"/>
    <cellStyle name="Normal 83 5 3 3 3" xfId="27559" xr:uid="{00000000-0005-0000-0000-00005A770000}"/>
    <cellStyle name="Normal 83 5 3 4" xfId="15275" xr:uid="{00000000-0005-0000-0000-00005B770000}"/>
    <cellStyle name="Normal 83 5 3 4 2" xfId="31829" xr:uid="{00000000-0005-0000-0000-00005C770000}"/>
    <cellStyle name="Normal 83 5 3 5" xfId="23786" xr:uid="{00000000-0005-0000-0000-00005D770000}"/>
    <cellStyle name="Normal 83 5 4" xfId="5994" xr:uid="{00000000-0005-0000-0000-00005E770000}"/>
    <cellStyle name="Normal 83 5 4 2" xfId="9859" xr:uid="{00000000-0005-0000-0000-00005F770000}"/>
    <cellStyle name="Normal 83 5 4 2 2" xfId="19033" xr:uid="{00000000-0005-0000-0000-000060770000}"/>
    <cellStyle name="Normal 83 5 4 2 2 2" xfId="35607" xr:uid="{00000000-0005-0000-0000-000061770000}"/>
    <cellStyle name="Normal 83 5 4 2 3" xfId="27560" xr:uid="{00000000-0005-0000-0000-000062770000}"/>
    <cellStyle name="Normal 83 5 4 3" xfId="15277" xr:uid="{00000000-0005-0000-0000-000063770000}"/>
    <cellStyle name="Normal 83 5 4 3 2" xfId="31831" xr:uid="{00000000-0005-0000-0000-000064770000}"/>
    <cellStyle name="Normal 83 5 4 4" xfId="23788" xr:uid="{00000000-0005-0000-0000-000065770000}"/>
    <cellStyle name="Normal 83 5 5" xfId="9860" xr:uid="{00000000-0005-0000-0000-000066770000}"/>
    <cellStyle name="Normal 83 5 5 2" xfId="19034" xr:uid="{00000000-0005-0000-0000-000067770000}"/>
    <cellStyle name="Normal 83 5 5 2 2" xfId="35608" xr:uid="{00000000-0005-0000-0000-000068770000}"/>
    <cellStyle name="Normal 83 5 5 3" xfId="27561" xr:uid="{00000000-0005-0000-0000-000069770000}"/>
    <cellStyle name="Normal 83 5 6" xfId="15270" xr:uid="{00000000-0005-0000-0000-00006A770000}"/>
    <cellStyle name="Normal 83 5 6 2" xfId="31824" xr:uid="{00000000-0005-0000-0000-00006B770000}"/>
    <cellStyle name="Normal 83 5 7" xfId="23781" xr:uid="{00000000-0005-0000-0000-00006C770000}"/>
    <cellStyle name="Normal 83 6" xfId="5995" xr:uid="{00000000-0005-0000-0000-00006D770000}"/>
    <cellStyle name="Normal 83 6 2" xfId="5996" xr:uid="{00000000-0005-0000-0000-00006E770000}"/>
    <cellStyle name="Normal 83 6 2 2" xfId="5997" xr:uid="{00000000-0005-0000-0000-00006F770000}"/>
    <cellStyle name="Normal 83 6 2 2 2" xfId="9861" xr:uid="{00000000-0005-0000-0000-000070770000}"/>
    <cellStyle name="Normal 83 6 2 2 2 2" xfId="19035" xr:uid="{00000000-0005-0000-0000-000071770000}"/>
    <cellStyle name="Normal 83 6 2 2 2 2 2" xfId="35609" xr:uid="{00000000-0005-0000-0000-000072770000}"/>
    <cellStyle name="Normal 83 6 2 2 2 3" xfId="27562" xr:uid="{00000000-0005-0000-0000-000073770000}"/>
    <cellStyle name="Normal 83 6 2 2 3" xfId="15280" xr:uid="{00000000-0005-0000-0000-000074770000}"/>
    <cellStyle name="Normal 83 6 2 2 3 2" xfId="31834" xr:uid="{00000000-0005-0000-0000-000075770000}"/>
    <cellStyle name="Normal 83 6 2 2 4" xfId="23791" xr:uid="{00000000-0005-0000-0000-000076770000}"/>
    <cellStyle name="Normal 83 6 2 3" xfId="9862" xr:uid="{00000000-0005-0000-0000-000077770000}"/>
    <cellStyle name="Normal 83 6 2 3 2" xfId="19036" xr:uid="{00000000-0005-0000-0000-000078770000}"/>
    <cellStyle name="Normal 83 6 2 3 2 2" xfId="35610" xr:uid="{00000000-0005-0000-0000-000079770000}"/>
    <cellStyle name="Normal 83 6 2 3 3" xfId="27563" xr:uid="{00000000-0005-0000-0000-00007A770000}"/>
    <cellStyle name="Normal 83 6 2 4" xfId="15279" xr:uid="{00000000-0005-0000-0000-00007B770000}"/>
    <cellStyle name="Normal 83 6 2 4 2" xfId="31833" xr:uid="{00000000-0005-0000-0000-00007C770000}"/>
    <cellStyle name="Normal 83 6 2 5" xfId="23790" xr:uid="{00000000-0005-0000-0000-00007D770000}"/>
    <cellStyle name="Normal 83 6 3" xfId="5998" xr:uid="{00000000-0005-0000-0000-00007E770000}"/>
    <cellStyle name="Normal 83 6 3 2" xfId="9863" xr:uid="{00000000-0005-0000-0000-00007F770000}"/>
    <cellStyle name="Normal 83 6 3 2 2" xfId="19037" xr:uid="{00000000-0005-0000-0000-000080770000}"/>
    <cellStyle name="Normal 83 6 3 2 2 2" xfId="35611" xr:uid="{00000000-0005-0000-0000-000081770000}"/>
    <cellStyle name="Normal 83 6 3 2 3" xfId="27564" xr:uid="{00000000-0005-0000-0000-000082770000}"/>
    <cellStyle name="Normal 83 6 3 3" xfId="15281" xr:uid="{00000000-0005-0000-0000-000083770000}"/>
    <cellStyle name="Normal 83 6 3 3 2" xfId="31835" xr:uid="{00000000-0005-0000-0000-000084770000}"/>
    <cellStyle name="Normal 83 6 3 4" xfId="23792" xr:uid="{00000000-0005-0000-0000-000085770000}"/>
    <cellStyle name="Normal 83 6 4" xfId="9864" xr:uid="{00000000-0005-0000-0000-000086770000}"/>
    <cellStyle name="Normal 83 6 4 2" xfId="19038" xr:uid="{00000000-0005-0000-0000-000087770000}"/>
    <cellStyle name="Normal 83 6 4 2 2" xfId="35612" xr:uid="{00000000-0005-0000-0000-000088770000}"/>
    <cellStyle name="Normal 83 6 4 3" xfId="27565" xr:uid="{00000000-0005-0000-0000-000089770000}"/>
    <cellStyle name="Normal 83 6 5" xfId="15278" xr:uid="{00000000-0005-0000-0000-00008A770000}"/>
    <cellStyle name="Normal 83 6 5 2" xfId="31832" xr:uid="{00000000-0005-0000-0000-00008B770000}"/>
    <cellStyle name="Normal 83 6 6" xfId="23789" xr:uid="{00000000-0005-0000-0000-00008C770000}"/>
    <cellStyle name="Normal 83 7" xfId="5999" xr:uid="{00000000-0005-0000-0000-00008D770000}"/>
    <cellStyle name="Normal 83 7 2" xfId="6000" xr:uid="{00000000-0005-0000-0000-00008E770000}"/>
    <cellStyle name="Normal 83 7 2 2" xfId="9865" xr:uid="{00000000-0005-0000-0000-00008F770000}"/>
    <cellStyle name="Normal 83 7 2 2 2" xfId="19039" xr:uid="{00000000-0005-0000-0000-000090770000}"/>
    <cellStyle name="Normal 83 7 2 2 2 2" xfId="35613" xr:uid="{00000000-0005-0000-0000-000091770000}"/>
    <cellStyle name="Normal 83 7 2 2 3" xfId="27566" xr:uid="{00000000-0005-0000-0000-000092770000}"/>
    <cellStyle name="Normal 83 7 2 3" xfId="15283" xr:uid="{00000000-0005-0000-0000-000093770000}"/>
    <cellStyle name="Normal 83 7 2 3 2" xfId="31837" xr:uid="{00000000-0005-0000-0000-000094770000}"/>
    <cellStyle name="Normal 83 7 2 4" xfId="23794" xr:uid="{00000000-0005-0000-0000-000095770000}"/>
    <cellStyle name="Normal 83 7 3" xfId="9866" xr:uid="{00000000-0005-0000-0000-000096770000}"/>
    <cellStyle name="Normal 83 7 3 2" xfId="19040" xr:uid="{00000000-0005-0000-0000-000097770000}"/>
    <cellStyle name="Normal 83 7 3 2 2" xfId="35614" xr:uid="{00000000-0005-0000-0000-000098770000}"/>
    <cellStyle name="Normal 83 7 3 3" xfId="27567" xr:uid="{00000000-0005-0000-0000-000099770000}"/>
    <cellStyle name="Normal 83 7 4" xfId="15282" xr:uid="{00000000-0005-0000-0000-00009A770000}"/>
    <cellStyle name="Normal 83 7 4 2" xfId="31836" xr:uid="{00000000-0005-0000-0000-00009B770000}"/>
    <cellStyle name="Normal 83 7 5" xfId="23793" xr:uid="{00000000-0005-0000-0000-00009C770000}"/>
    <cellStyle name="Normal 83 8" xfId="6001" xr:uid="{00000000-0005-0000-0000-00009D770000}"/>
    <cellStyle name="Normal 83 8 2" xfId="9867" xr:uid="{00000000-0005-0000-0000-00009E770000}"/>
    <cellStyle name="Normal 83 8 2 2" xfId="19041" xr:uid="{00000000-0005-0000-0000-00009F770000}"/>
    <cellStyle name="Normal 83 8 2 2 2" xfId="35615" xr:uid="{00000000-0005-0000-0000-0000A0770000}"/>
    <cellStyle name="Normal 83 8 2 3" xfId="27568" xr:uid="{00000000-0005-0000-0000-0000A1770000}"/>
    <cellStyle name="Normal 83 8 3" xfId="15284" xr:uid="{00000000-0005-0000-0000-0000A2770000}"/>
    <cellStyle name="Normal 83 8 3 2" xfId="31838" xr:uid="{00000000-0005-0000-0000-0000A3770000}"/>
    <cellStyle name="Normal 83 8 4" xfId="23795" xr:uid="{00000000-0005-0000-0000-0000A4770000}"/>
    <cellStyle name="Normal 83 9" xfId="9868" xr:uid="{00000000-0005-0000-0000-0000A5770000}"/>
    <cellStyle name="Normal 83 9 2" xfId="19042" xr:uid="{00000000-0005-0000-0000-0000A6770000}"/>
    <cellStyle name="Normal 83 9 2 2" xfId="35616" xr:uid="{00000000-0005-0000-0000-0000A7770000}"/>
    <cellStyle name="Normal 83 9 3" xfId="27569" xr:uid="{00000000-0005-0000-0000-0000A8770000}"/>
    <cellStyle name="Normal 84" xfId="6002" xr:uid="{00000000-0005-0000-0000-0000A9770000}"/>
    <cellStyle name="Normal 84 10" xfId="15285" xr:uid="{00000000-0005-0000-0000-0000AA770000}"/>
    <cellStyle name="Normal 84 10 2" xfId="31839" xr:uid="{00000000-0005-0000-0000-0000AB770000}"/>
    <cellStyle name="Normal 84 11" xfId="23796" xr:uid="{00000000-0005-0000-0000-0000AC770000}"/>
    <cellStyle name="Normal 84 2" xfId="6003" xr:uid="{00000000-0005-0000-0000-0000AD770000}"/>
    <cellStyle name="Normal 84 2 2" xfId="6004" xr:uid="{00000000-0005-0000-0000-0000AE770000}"/>
    <cellStyle name="Normal 84 2 3" xfId="15286" xr:uid="{00000000-0005-0000-0000-0000AF770000}"/>
    <cellStyle name="Normal 84 2 3 2" xfId="31840" xr:uid="{00000000-0005-0000-0000-0000B0770000}"/>
    <cellStyle name="Normal 84 2 4" xfId="23797" xr:uid="{00000000-0005-0000-0000-0000B1770000}"/>
    <cellStyle name="Normal 84 3" xfId="6005" xr:uid="{00000000-0005-0000-0000-0000B2770000}"/>
    <cellStyle name="Normal 84 3 2" xfId="6006" xr:uid="{00000000-0005-0000-0000-0000B3770000}"/>
    <cellStyle name="Normal 84 3 2 2" xfId="6007" xr:uid="{00000000-0005-0000-0000-0000B4770000}"/>
    <cellStyle name="Normal 84 3 2 2 2" xfId="6008" xr:uid="{00000000-0005-0000-0000-0000B5770000}"/>
    <cellStyle name="Normal 84 3 2 2 2 2" xfId="9869" xr:uid="{00000000-0005-0000-0000-0000B6770000}"/>
    <cellStyle name="Normal 84 3 2 2 2 2 2" xfId="19043" xr:uid="{00000000-0005-0000-0000-0000B7770000}"/>
    <cellStyle name="Normal 84 3 2 2 2 2 2 2" xfId="35617" xr:uid="{00000000-0005-0000-0000-0000B8770000}"/>
    <cellStyle name="Normal 84 3 2 2 2 2 3" xfId="27570" xr:uid="{00000000-0005-0000-0000-0000B9770000}"/>
    <cellStyle name="Normal 84 3 2 2 2 3" xfId="15289" xr:uid="{00000000-0005-0000-0000-0000BA770000}"/>
    <cellStyle name="Normal 84 3 2 2 2 3 2" xfId="31843" xr:uid="{00000000-0005-0000-0000-0000BB770000}"/>
    <cellStyle name="Normal 84 3 2 2 2 4" xfId="23800" xr:uid="{00000000-0005-0000-0000-0000BC770000}"/>
    <cellStyle name="Normal 84 3 2 2 3" xfId="9870" xr:uid="{00000000-0005-0000-0000-0000BD770000}"/>
    <cellStyle name="Normal 84 3 2 2 3 2" xfId="19044" xr:uid="{00000000-0005-0000-0000-0000BE770000}"/>
    <cellStyle name="Normal 84 3 2 2 3 2 2" xfId="35618" xr:uid="{00000000-0005-0000-0000-0000BF770000}"/>
    <cellStyle name="Normal 84 3 2 2 3 3" xfId="27571" xr:uid="{00000000-0005-0000-0000-0000C0770000}"/>
    <cellStyle name="Normal 84 3 2 2 4" xfId="15288" xr:uid="{00000000-0005-0000-0000-0000C1770000}"/>
    <cellStyle name="Normal 84 3 2 2 4 2" xfId="31842" xr:uid="{00000000-0005-0000-0000-0000C2770000}"/>
    <cellStyle name="Normal 84 3 2 2 5" xfId="23799" xr:uid="{00000000-0005-0000-0000-0000C3770000}"/>
    <cellStyle name="Normal 84 3 2 3" xfId="6009" xr:uid="{00000000-0005-0000-0000-0000C4770000}"/>
    <cellStyle name="Normal 84 3 2 3 2" xfId="9871" xr:uid="{00000000-0005-0000-0000-0000C5770000}"/>
    <cellStyle name="Normal 84 3 2 3 2 2" xfId="19045" xr:uid="{00000000-0005-0000-0000-0000C6770000}"/>
    <cellStyle name="Normal 84 3 2 3 2 2 2" xfId="35619" xr:uid="{00000000-0005-0000-0000-0000C7770000}"/>
    <cellStyle name="Normal 84 3 2 3 2 3" xfId="27572" xr:uid="{00000000-0005-0000-0000-0000C8770000}"/>
    <cellStyle name="Normal 84 3 2 3 3" xfId="15290" xr:uid="{00000000-0005-0000-0000-0000C9770000}"/>
    <cellStyle name="Normal 84 3 2 3 3 2" xfId="31844" xr:uid="{00000000-0005-0000-0000-0000CA770000}"/>
    <cellStyle name="Normal 84 3 2 3 4" xfId="23801" xr:uid="{00000000-0005-0000-0000-0000CB770000}"/>
    <cellStyle name="Normal 84 3 2 4" xfId="9872" xr:uid="{00000000-0005-0000-0000-0000CC770000}"/>
    <cellStyle name="Normal 84 3 2 4 2" xfId="19046" xr:uid="{00000000-0005-0000-0000-0000CD770000}"/>
    <cellStyle name="Normal 84 3 2 4 2 2" xfId="35620" xr:uid="{00000000-0005-0000-0000-0000CE770000}"/>
    <cellStyle name="Normal 84 3 2 4 3" xfId="27573" xr:uid="{00000000-0005-0000-0000-0000CF770000}"/>
    <cellStyle name="Normal 84 3 2 5" xfId="15287" xr:uid="{00000000-0005-0000-0000-0000D0770000}"/>
    <cellStyle name="Normal 84 3 2 5 2" xfId="31841" xr:uid="{00000000-0005-0000-0000-0000D1770000}"/>
    <cellStyle name="Normal 84 3 2 6" xfId="23798" xr:uid="{00000000-0005-0000-0000-0000D2770000}"/>
    <cellStyle name="Normal 84 3 3" xfId="6010" xr:uid="{00000000-0005-0000-0000-0000D3770000}"/>
    <cellStyle name="Normal 84 3 3 2" xfId="6011" xr:uid="{00000000-0005-0000-0000-0000D4770000}"/>
    <cellStyle name="Normal 84 3 3 2 2" xfId="9873" xr:uid="{00000000-0005-0000-0000-0000D5770000}"/>
    <cellStyle name="Normal 84 3 3 2 2 2" xfId="19047" xr:uid="{00000000-0005-0000-0000-0000D6770000}"/>
    <cellStyle name="Normal 84 3 3 2 2 2 2" xfId="35621" xr:uid="{00000000-0005-0000-0000-0000D7770000}"/>
    <cellStyle name="Normal 84 3 3 2 2 3" xfId="27574" xr:uid="{00000000-0005-0000-0000-0000D8770000}"/>
    <cellStyle name="Normal 84 3 3 2 3" xfId="15292" xr:uid="{00000000-0005-0000-0000-0000D9770000}"/>
    <cellStyle name="Normal 84 3 3 2 3 2" xfId="31846" xr:uid="{00000000-0005-0000-0000-0000DA770000}"/>
    <cellStyle name="Normal 84 3 3 2 4" xfId="23803" xr:uid="{00000000-0005-0000-0000-0000DB770000}"/>
    <cellStyle name="Normal 84 3 3 3" xfId="9874" xr:uid="{00000000-0005-0000-0000-0000DC770000}"/>
    <cellStyle name="Normal 84 3 3 3 2" xfId="19048" xr:uid="{00000000-0005-0000-0000-0000DD770000}"/>
    <cellStyle name="Normal 84 3 3 3 2 2" xfId="35622" xr:uid="{00000000-0005-0000-0000-0000DE770000}"/>
    <cellStyle name="Normal 84 3 3 3 3" xfId="27575" xr:uid="{00000000-0005-0000-0000-0000DF770000}"/>
    <cellStyle name="Normal 84 3 3 4" xfId="15291" xr:uid="{00000000-0005-0000-0000-0000E0770000}"/>
    <cellStyle name="Normal 84 3 3 4 2" xfId="31845" xr:uid="{00000000-0005-0000-0000-0000E1770000}"/>
    <cellStyle name="Normal 84 3 3 5" xfId="23802" xr:uid="{00000000-0005-0000-0000-0000E2770000}"/>
    <cellStyle name="Normal 84 3 4" xfId="6012" xr:uid="{00000000-0005-0000-0000-0000E3770000}"/>
    <cellStyle name="Normal 84 3 4 2" xfId="9875" xr:uid="{00000000-0005-0000-0000-0000E4770000}"/>
    <cellStyle name="Normal 84 3 4 2 2" xfId="19049" xr:uid="{00000000-0005-0000-0000-0000E5770000}"/>
    <cellStyle name="Normal 84 3 4 2 2 2" xfId="35623" xr:uid="{00000000-0005-0000-0000-0000E6770000}"/>
    <cellStyle name="Normal 84 3 4 2 3" xfId="27576" xr:uid="{00000000-0005-0000-0000-0000E7770000}"/>
    <cellStyle name="Normal 84 3 4 3" xfId="15293" xr:uid="{00000000-0005-0000-0000-0000E8770000}"/>
    <cellStyle name="Normal 84 3 4 3 2" xfId="31847" xr:uid="{00000000-0005-0000-0000-0000E9770000}"/>
    <cellStyle name="Normal 84 3 4 4" xfId="23804" xr:uid="{00000000-0005-0000-0000-0000EA770000}"/>
    <cellStyle name="Normal 84 3 5" xfId="6013" xr:uid="{00000000-0005-0000-0000-0000EB770000}"/>
    <cellStyle name="Normal 84 3 5 2" xfId="15294" xr:uid="{00000000-0005-0000-0000-0000EC770000}"/>
    <cellStyle name="Normal 84 3 5 2 2" xfId="31848" xr:uid="{00000000-0005-0000-0000-0000ED770000}"/>
    <cellStyle name="Normal 84 3 5 3" xfId="23805" xr:uid="{00000000-0005-0000-0000-0000EE770000}"/>
    <cellStyle name="Normal 84 4" xfId="6014" xr:uid="{00000000-0005-0000-0000-0000EF770000}"/>
    <cellStyle name="Normal 84 4 2" xfId="6015" xr:uid="{00000000-0005-0000-0000-0000F0770000}"/>
    <cellStyle name="Normal 84 4 2 2" xfId="6016" xr:uid="{00000000-0005-0000-0000-0000F1770000}"/>
    <cellStyle name="Normal 84 4 2 2 2" xfId="6017" xr:uid="{00000000-0005-0000-0000-0000F2770000}"/>
    <cellStyle name="Normal 84 4 2 2 2 2" xfId="9876" xr:uid="{00000000-0005-0000-0000-0000F3770000}"/>
    <cellStyle name="Normal 84 4 2 2 2 2 2" xfId="19050" xr:uid="{00000000-0005-0000-0000-0000F4770000}"/>
    <cellStyle name="Normal 84 4 2 2 2 2 2 2" xfId="35624" xr:uid="{00000000-0005-0000-0000-0000F5770000}"/>
    <cellStyle name="Normal 84 4 2 2 2 2 3" xfId="27577" xr:uid="{00000000-0005-0000-0000-0000F6770000}"/>
    <cellStyle name="Normal 84 4 2 2 2 3" xfId="15298" xr:uid="{00000000-0005-0000-0000-0000F7770000}"/>
    <cellStyle name="Normal 84 4 2 2 2 3 2" xfId="31852" xr:uid="{00000000-0005-0000-0000-0000F8770000}"/>
    <cellStyle name="Normal 84 4 2 2 2 4" xfId="23809" xr:uid="{00000000-0005-0000-0000-0000F9770000}"/>
    <cellStyle name="Normal 84 4 2 2 3" xfId="9877" xr:uid="{00000000-0005-0000-0000-0000FA770000}"/>
    <cellStyle name="Normal 84 4 2 2 3 2" xfId="19051" xr:uid="{00000000-0005-0000-0000-0000FB770000}"/>
    <cellStyle name="Normal 84 4 2 2 3 2 2" xfId="35625" xr:uid="{00000000-0005-0000-0000-0000FC770000}"/>
    <cellStyle name="Normal 84 4 2 2 3 3" xfId="27578" xr:uid="{00000000-0005-0000-0000-0000FD770000}"/>
    <cellStyle name="Normal 84 4 2 2 4" xfId="15297" xr:uid="{00000000-0005-0000-0000-0000FE770000}"/>
    <cellStyle name="Normal 84 4 2 2 4 2" xfId="31851" xr:uid="{00000000-0005-0000-0000-0000FF770000}"/>
    <cellStyle name="Normal 84 4 2 2 5" xfId="23808" xr:uid="{00000000-0005-0000-0000-000000780000}"/>
    <cellStyle name="Normal 84 4 2 3" xfId="6018" xr:uid="{00000000-0005-0000-0000-000001780000}"/>
    <cellStyle name="Normal 84 4 2 3 2" xfId="9878" xr:uid="{00000000-0005-0000-0000-000002780000}"/>
    <cellStyle name="Normal 84 4 2 3 2 2" xfId="19052" xr:uid="{00000000-0005-0000-0000-000003780000}"/>
    <cellStyle name="Normal 84 4 2 3 2 2 2" xfId="35626" xr:uid="{00000000-0005-0000-0000-000004780000}"/>
    <cellStyle name="Normal 84 4 2 3 2 3" xfId="27579" xr:uid="{00000000-0005-0000-0000-000005780000}"/>
    <cellStyle name="Normal 84 4 2 3 3" xfId="15299" xr:uid="{00000000-0005-0000-0000-000006780000}"/>
    <cellStyle name="Normal 84 4 2 3 3 2" xfId="31853" xr:uid="{00000000-0005-0000-0000-000007780000}"/>
    <cellStyle name="Normal 84 4 2 3 4" xfId="23810" xr:uid="{00000000-0005-0000-0000-000008780000}"/>
    <cellStyle name="Normal 84 4 2 4" xfId="9879" xr:uid="{00000000-0005-0000-0000-000009780000}"/>
    <cellStyle name="Normal 84 4 2 4 2" xfId="19053" xr:uid="{00000000-0005-0000-0000-00000A780000}"/>
    <cellStyle name="Normal 84 4 2 4 2 2" xfId="35627" xr:uid="{00000000-0005-0000-0000-00000B780000}"/>
    <cellStyle name="Normal 84 4 2 4 3" xfId="27580" xr:uid="{00000000-0005-0000-0000-00000C780000}"/>
    <cellStyle name="Normal 84 4 2 5" xfId="15296" xr:uid="{00000000-0005-0000-0000-00000D780000}"/>
    <cellStyle name="Normal 84 4 2 5 2" xfId="31850" xr:uid="{00000000-0005-0000-0000-00000E780000}"/>
    <cellStyle name="Normal 84 4 2 6" xfId="23807" xr:uid="{00000000-0005-0000-0000-00000F780000}"/>
    <cellStyle name="Normal 84 4 3" xfId="6019" xr:uid="{00000000-0005-0000-0000-000010780000}"/>
    <cellStyle name="Normal 84 4 3 2" xfId="6020" xr:uid="{00000000-0005-0000-0000-000011780000}"/>
    <cellStyle name="Normal 84 4 3 2 2" xfId="9880" xr:uid="{00000000-0005-0000-0000-000012780000}"/>
    <cellStyle name="Normal 84 4 3 2 2 2" xfId="19054" xr:uid="{00000000-0005-0000-0000-000013780000}"/>
    <cellStyle name="Normal 84 4 3 2 2 2 2" xfId="35628" xr:uid="{00000000-0005-0000-0000-000014780000}"/>
    <cellStyle name="Normal 84 4 3 2 2 3" xfId="27581" xr:uid="{00000000-0005-0000-0000-000015780000}"/>
    <cellStyle name="Normal 84 4 3 2 3" xfId="15301" xr:uid="{00000000-0005-0000-0000-000016780000}"/>
    <cellStyle name="Normal 84 4 3 2 3 2" xfId="31855" xr:uid="{00000000-0005-0000-0000-000017780000}"/>
    <cellStyle name="Normal 84 4 3 2 4" xfId="23812" xr:uid="{00000000-0005-0000-0000-000018780000}"/>
    <cellStyle name="Normal 84 4 3 3" xfId="9881" xr:uid="{00000000-0005-0000-0000-000019780000}"/>
    <cellStyle name="Normal 84 4 3 3 2" xfId="19055" xr:uid="{00000000-0005-0000-0000-00001A780000}"/>
    <cellStyle name="Normal 84 4 3 3 2 2" xfId="35629" xr:uid="{00000000-0005-0000-0000-00001B780000}"/>
    <cellStyle name="Normal 84 4 3 3 3" xfId="27582" xr:uid="{00000000-0005-0000-0000-00001C780000}"/>
    <cellStyle name="Normal 84 4 3 4" xfId="15300" xr:uid="{00000000-0005-0000-0000-00001D780000}"/>
    <cellStyle name="Normal 84 4 3 4 2" xfId="31854" xr:uid="{00000000-0005-0000-0000-00001E780000}"/>
    <cellStyle name="Normal 84 4 3 5" xfId="23811" xr:uid="{00000000-0005-0000-0000-00001F780000}"/>
    <cellStyle name="Normal 84 4 4" xfId="6021" xr:uid="{00000000-0005-0000-0000-000020780000}"/>
    <cellStyle name="Normal 84 4 4 2" xfId="9882" xr:uid="{00000000-0005-0000-0000-000021780000}"/>
    <cellStyle name="Normal 84 4 4 2 2" xfId="19056" xr:uid="{00000000-0005-0000-0000-000022780000}"/>
    <cellStyle name="Normal 84 4 4 2 2 2" xfId="35630" xr:uid="{00000000-0005-0000-0000-000023780000}"/>
    <cellStyle name="Normal 84 4 4 2 3" xfId="27583" xr:uid="{00000000-0005-0000-0000-000024780000}"/>
    <cellStyle name="Normal 84 4 4 3" xfId="15302" xr:uid="{00000000-0005-0000-0000-000025780000}"/>
    <cellStyle name="Normal 84 4 4 3 2" xfId="31856" xr:uid="{00000000-0005-0000-0000-000026780000}"/>
    <cellStyle name="Normal 84 4 4 4" xfId="23813" xr:uid="{00000000-0005-0000-0000-000027780000}"/>
    <cellStyle name="Normal 84 4 5" xfId="9883" xr:uid="{00000000-0005-0000-0000-000028780000}"/>
    <cellStyle name="Normal 84 4 5 2" xfId="19057" xr:uid="{00000000-0005-0000-0000-000029780000}"/>
    <cellStyle name="Normal 84 4 5 2 2" xfId="35631" xr:uid="{00000000-0005-0000-0000-00002A780000}"/>
    <cellStyle name="Normal 84 4 5 3" xfId="27584" xr:uid="{00000000-0005-0000-0000-00002B780000}"/>
    <cellStyle name="Normal 84 4 6" xfId="15295" xr:uid="{00000000-0005-0000-0000-00002C780000}"/>
    <cellStyle name="Normal 84 4 6 2" xfId="31849" xr:uid="{00000000-0005-0000-0000-00002D780000}"/>
    <cellStyle name="Normal 84 4 7" xfId="23806" xr:uid="{00000000-0005-0000-0000-00002E780000}"/>
    <cellStyle name="Normal 84 5" xfId="6022" xr:uid="{00000000-0005-0000-0000-00002F780000}"/>
    <cellStyle name="Normal 84 5 2" xfId="6023" xr:uid="{00000000-0005-0000-0000-000030780000}"/>
    <cellStyle name="Normal 84 5 2 2" xfId="6024" xr:uid="{00000000-0005-0000-0000-000031780000}"/>
    <cellStyle name="Normal 84 5 2 2 2" xfId="6025" xr:uid="{00000000-0005-0000-0000-000032780000}"/>
    <cellStyle name="Normal 84 5 2 2 2 2" xfId="9884" xr:uid="{00000000-0005-0000-0000-000033780000}"/>
    <cellStyle name="Normal 84 5 2 2 2 2 2" xfId="19058" xr:uid="{00000000-0005-0000-0000-000034780000}"/>
    <cellStyle name="Normal 84 5 2 2 2 2 2 2" xfId="35632" xr:uid="{00000000-0005-0000-0000-000035780000}"/>
    <cellStyle name="Normal 84 5 2 2 2 2 3" xfId="27585" xr:uid="{00000000-0005-0000-0000-000036780000}"/>
    <cellStyle name="Normal 84 5 2 2 2 3" xfId="15306" xr:uid="{00000000-0005-0000-0000-000037780000}"/>
    <cellStyle name="Normal 84 5 2 2 2 3 2" xfId="31860" xr:uid="{00000000-0005-0000-0000-000038780000}"/>
    <cellStyle name="Normal 84 5 2 2 2 4" xfId="23817" xr:uid="{00000000-0005-0000-0000-000039780000}"/>
    <cellStyle name="Normal 84 5 2 2 3" xfId="9885" xr:uid="{00000000-0005-0000-0000-00003A780000}"/>
    <cellStyle name="Normal 84 5 2 2 3 2" xfId="19059" xr:uid="{00000000-0005-0000-0000-00003B780000}"/>
    <cellStyle name="Normal 84 5 2 2 3 2 2" xfId="35633" xr:uid="{00000000-0005-0000-0000-00003C780000}"/>
    <cellStyle name="Normal 84 5 2 2 3 3" xfId="27586" xr:uid="{00000000-0005-0000-0000-00003D780000}"/>
    <cellStyle name="Normal 84 5 2 2 4" xfId="15305" xr:uid="{00000000-0005-0000-0000-00003E780000}"/>
    <cellStyle name="Normal 84 5 2 2 4 2" xfId="31859" xr:uid="{00000000-0005-0000-0000-00003F780000}"/>
    <cellStyle name="Normal 84 5 2 2 5" xfId="23816" xr:uid="{00000000-0005-0000-0000-000040780000}"/>
    <cellStyle name="Normal 84 5 2 3" xfId="6026" xr:uid="{00000000-0005-0000-0000-000041780000}"/>
    <cellStyle name="Normal 84 5 2 3 2" xfId="9886" xr:uid="{00000000-0005-0000-0000-000042780000}"/>
    <cellStyle name="Normal 84 5 2 3 2 2" xfId="19060" xr:uid="{00000000-0005-0000-0000-000043780000}"/>
    <cellStyle name="Normal 84 5 2 3 2 2 2" xfId="35634" xr:uid="{00000000-0005-0000-0000-000044780000}"/>
    <cellStyle name="Normal 84 5 2 3 2 3" xfId="27587" xr:uid="{00000000-0005-0000-0000-000045780000}"/>
    <cellStyle name="Normal 84 5 2 3 3" xfId="15307" xr:uid="{00000000-0005-0000-0000-000046780000}"/>
    <cellStyle name="Normal 84 5 2 3 3 2" xfId="31861" xr:uid="{00000000-0005-0000-0000-000047780000}"/>
    <cellStyle name="Normal 84 5 2 3 4" xfId="23818" xr:uid="{00000000-0005-0000-0000-000048780000}"/>
    <cellStyle name="Normal 84 5 2 4" xfId="9887" xr:uid="{00000000-0005-0000-0000-000049780000}"/>
    <cellStyle name="Normal 84 5 2 4 2" xfId="19061" xr:uid="{00000000-0005-0000-0000-00004A780000}"/>
    <cellStyle name="Normal 84 5 2 4 2 2" xfId="35635" xr:uid="{00000000-0005-0000-0000-00004B780000}"/>
    <cellStyle name="Normal 84 5 2 4 3" xfId="27588" xr:uid="{00000000-0005-0000-0000-00004C780000}"/>
    <cellStyle name="Normal 84 5 2 5" xfId="15304" xr:uid="{00000000-0005-0000-0000-00004D780000}"/>
    <cellStyle name="Normal 84 5 2 5 2" xfId="31858" xr:uid="{00000000-0005-0000-0000-00004E780000}"/>
    <cellStyle name="Normal 84 5 2 6" xfId="23815" xr:uid="{00000000-0005-0000-0000-00004F780000}"/>
    <cellStyle name="Normal 84 5 3" xfId="6027" xr:uid="{00000000-0005-0000-0000-000050780000}"/>
    <cellStyle name="Normal 84 5 3 2" xfId="6028" xr:uid="{00000000-0005-0000-0000-000051780000}"/>
    <cellStyle name="Normal 84 5 3 2 2" xfId="9888" xr:uid="{00000000-0005-0000-0000-000052780000}"/>
    <cellStyle name="Normal 84 5 3 2 2 2" xfId="19062" xr:uid="{00000000-0005-0000-0000-000053780000}"/>
    <cellStyle name="Normal 84 5 3 2 2 2 2" xfId="35636" xr:uid="{00000000-0005-0000-0000-000054780000}"/>
    <cellStyle name="Normal 84 5 3 2 2 3" xfId="27589" xr:uid="{00000000-0005-0000-0000-000055780000}"/>
    <cellStyle name="Normal 84 5 3 2 3" xfId="15309" xr:uid="{00000000-0005-0000-0000-000056780000}"/>
    <cellStyle name="Normal 84 5 3 2 3 2" xfId="31863" xr:uid="{00000000-0005-0000-0000-000057780000}"/>
    <cellStyle name="Normal 84 5 3 2 4" xfId="23820" xr:uid="{00000000-0005-0000-0000-000058780000}"/>
    <cellStyle name="Normal 84 5 3 3" xfId="9889" xr:uid="{00000000-0005-0000-0000-000059780000}"/>
    <cellStyle name="Normal 84 5 3 3 2" xfId="19063" xr:uid="{00000000-0005-0000-0000-00005A780000}"/>
    <cellStyle name="Normal 84 5 3 3 2 2" xfId="35637" xr:uid="{00000000-0005-0000-0000-00005B780000}"/>
    <cellStyle name="Normal 84 5 3 3 3" xfId="27590" xr:uid="{00000000-0005-0000-0000-00005C780000}"/>
    <cellStyle name="Normal 84 5 3 4" xfId="15308" xr:uid="{00000000-0005-0000-0000-00005D780000}"/>
    <cellStyle name="Normal 84 5 3 4 2" xfId="31862" xr:uid="{00000000-0005-0000-0000-00005E780000}"/>
    <cellStyle name="Normal 84 5 3 5" xfId="23819" xr:uid="{00000000-0005-0000-0000-00005F780000}"/>
    <cellStyle name="Normal 84 5 4" xfId="6029" xr:uid="{00000000-0005-0000-0000-000060780000}"/>
    <cellStyle name="Normal 84 5 4 2" xfId="9890" xr:uid="{00000000-0005-0000-0000-000061780000}"/>
    <cellStyle name="Normal 84 5 4 2 2" xfId="19064" xr:uid="{00000000-0005-0000-0000-000062780000}"/>
    <cellStyle name="Normal 84 5 4 2 2 2" xfId="35638" xr:uid="{00000000-0005-0000-0000-000063780000}"/>
    <cellStyle name="Normal 84 5 4 2 3" xfId="27591" xr:uid="{00000000-0005-0000-0000-000064780000}"/>
    <cellStyle name="Normal 84 5 4 3" xfId="15310" xr:uid="{00000000-0005-0000-0000-000065780000}"/>
    <cellStyle name="Normal 84 5 4 3 2" xfId="31864" xr:uid="{00000000-0005-0000-0000-000066780000}"/>
    <cellStyle name="Normal 84 5 4 4" xfId="23821" xr:uid="{00000000-0005-0000-0000-000067780000}"/>
    <cellStyle name="Normal 84 5 5" xfId="9891" xr:uid="{00000000-0005-0000-0000-000068780000}"/>
    <cellStyle name="Normal 84 5 5 2" xfId="19065" xr:uid="{00000000-0005-0000-0000-000069780000}"/>
    <cellStyle name="Normal 84 5 5 2 2" xfId="35639" xr:uid="{00000000-0005-0000-0000-00006A780000}"/>
    <cellStyle name="Normal 84 5 5 3" xfId="27592" xr:uid="{00000000-0005-0000-0000-00006B780000}"/>
    <cellStyle name="Normal 84 5 6" xfId="15303" xr:uid="{00000000-0005-0000-0000-00006C780000}"/>
    <cellStyle name="Normal 84 5 6 2" xfId="31857" xr:uid="{00000000-0005-0000-0000-00006D780000}"/>
    <cellStyle name="Normal 84 5 7" xfId="23814" xr:uid="{00000000-0005-0000-0000-00006E780000}"/>
    <cellStyle name="Normal 84 6" xfId="6030" xr:uid="{00000000-0005-0000-0000-00006F780000}"/>
    <cellStyle name="Normal 84 6 2" xfId="6031" xr:uid="{00000000-0005-0000-0000-000070780000}"/>
    <cellStyle name="Normal 84 6 2 2" xfId="6032" xr:uid="{00000000-0005-0000-0000-000071780000}"/>
    <cellStyle name="Normal 84 6 2 2 2" xfId="9892" xr:uid="{00000000-0005-0000-0000-000072780000}"/>
    <cellStyle name="Normal 84 6 2 2 2 2" xfId="19066" xr:uid="{00000000-0005-0000-0000-000073780000}"/>
    <cellStyle name="Normal 84 6 2 2 2 2 2" xfId="35640" xr:uid="{00000000-0005-0000-0000-000074780000}"/>
    <cellStyle name="Normal 84 6 2 2 2 3" xfId="27593" xr:uid="{00000000-0005-0000-0000-000075780000}"/>
    <cellStyle name="Normal 84 6 2 2 3" xfId="15313" xr:uid="{00000000-0005-0000-0000-000076780000}"/>
    <cellStyle name="Normal 84 6 2 2 3 2" xfId="31867" xr:uid="{00000000-0005-0000-0000-000077780000}"/>
    <cellStyle name="Normal 84 6 2 2 4" xfId="23824" xr:uid="{00000000-0005-0000-0000-000078780000}"/>
    <cellStyle name="Normal 84 6 2 3" xfId="9893" xr:uid="{00000000-0005-0000-0000-000079780000}"/>
    <cellStyle name="Normal 84 6 2 3 2" xfId="19067" xr:uid="{00000000-0005-0000-0000-00007A780000}"/>
    <cellStyle name="Normal 84 6 2 3 2 2" xfId="35641" xr:uid="{00000000-0005-0000-0000-00007B780000}"/>
    <cellStyle name="Normal 84 6 2 3 3" xfId="27594" xr:uid="{00000000-0005-0000-0000-00007C780000}"/>
    <cellStyle name="Normal 84 6 2 4" xfId="15312" xr:uid="{00000000-0005-0000-0000-00007D780000}"/>
    <cellStyle name="Normal 84 6 2 4 2" xfId="31866" xr:uid="{00000000-0005-0000-0000-00007E780000}"/>
    <cellStyle name="Normal 84 6 2 5" xfId="23823" xr:uid="{00000000-0005-0000-0000-00007F780000}"/>
    <cellStyle name="Normal 84 6 3" xfId="6033" xr:uid="{00000000-0005-0000-0000-000080780000}"/>
    <cellStyle name="Normal 84 6 3 2" xfId="9894" xr:uid="{00000000-0005-0000-0000-000081780000}"/>
    <cellStyle name="Normal 84 6 3 2 2" xfId="19068" xr:uid="{00000000-0005-0000-0000-000082780000}"/>
    <cellStyle name="Normal 84 6 3 2 2 2" xfId="35642" xr:uid="{00000000-0005-0000-0000-000083780000}"/>
    <cellStyle name="Normal 84 6 3 2 3" xfId="27595" xr:uid="{00000000-0005-0000-0000-000084780000}"/>
    <cellStyle name="Normal 84 6 3 3" xfId="15314" xr:uid="{00000000-0005-0000-0000-000085780000}"/>
    <cellStyle name="Normal 84 6 3 3 2" xfId="31868" xr:uid="{00000000-0005-0000-0000-000086780000}"/>
    <cellStyle name="Normal 84 6 3 4" xfId="23825" xr:uid="{00000000-0005-0000-0000-000087780000}"/>
    <cellStyle name="Normal 84 6 4" xfId="9895" xr:uid="{00000000-0005-0000-0000-000088780000}"/>
    <cellStyle name="Normal 84 6 4 2" xfId="19069" xr:uid="{00000000-0005-0000-0000-000089780000}"/>
    <cellStyle name="Normal 84 6 4 2 2" xfId="35643" xr:uid="{00000000-0005-0000-0000-00008A780000}"/>
    <cellStyle name="Normal 84 6 4 3" xfId="27596" xr:uid="{00000000-0005-0000-0000-00008B780000}"/>
    <cellStyle name="Normal 84 6 5" xfId="15311" xr:uid="{00000000-0005-0000-0000-00008C780000}"/>
    <cellStyle name="Normal 84 6 5 2" xfId="31865" xr:uid="{00000000-0005-0000-0000-00008D780000}"/>
    <cellStyle name="Normal 84 6 6" xfId="23822" xr:uid="{00000000-0005-0000-0000-00008E780000}"/>
    <cellStyle name="Normal 84 7" xfId="6034" xr:uid="{00000000-0005-0000-0000-00008F780000}"/>
    <cellStyle name="Normal 84 7 2" xfId="6035" xr:uid="{00000000-0005-0000-0000-000090780000}"/>
    <cellStyle name="Normal 84 7 2 2" xfId="9896" xr:uid="{00000000-0005-0000-0000-000091780000}"/>
    <cellStyle name="Normal 84 7 2 2 2" xfId="19070" xr:uid="{00000000-0005-0000-0000-000092780000}"/>
    <cellStyle name="Normal 84 7 2 2 2 2" xfId="35644" xr:uid="{00000000-0005-0000-0000-000093780000}"/>
    <cellStyle name="Normal 84 7 2 2 3" xfId="27597" xr:uid="{00000000-0005-0000-0000-000094780000}"/>
    <cellStyle name="Normal 84 7 2 3" xfId="15316" xr:uid="{00000000-0005-0000-0000-000095780000}"/>
    <cellStyle name="Normal 84 7 2 3 2" xfId="31870" xr:uid="{00000000-0005-0000-0000-000096780000}"/>
    <cellStyle name="Normal 84 7 2 4" xfId="23827" xr:uid="{00000000-0005-0000-0000-000097780000}"/>
    <cellStyle name="Normal 84 7 3" xfId="9897" xr:uid="{00000000-0005-0000-0000-000098780000}"/>
    <cellStyle name="Normal 84 7 3 2" xfId="19071" xr:uid="{00000000-0005-0000-0000-000099780000}"/>
    <cellStyle name="Normal 84 7 3 2 2" xfId="35645" xr:uid="{00000000-0005-0000-0000-00009A780000}"/>
    <cellStyle name="Normal 84 7 3 3" xfId="27598" xr:uid="{00000000-0005-0000-0000-00009B780000}"/>
    <cellStyle name="Normal 84 7 4" xfId="15315" xr:uid="{00000000-0005-0000-0000-00009C780000}"/>
    <cellStyle name="Normal 84 7 4 2" xfId="31869" xr:uid="{00000000-0005-0000-0000-00009D780000}"/>
    <cellStyle name="Normal 84 7 5" xfId="23826" xr:uid="{00000000-0005-0000-0000-00009E780000}"/>
    <cellStyle name="Normal 84 8" xfId="6036" xr:uid="{00000000-0005-0000-0000-00009F780000}"/>
    <cellStyle name="Normal 84 8 2" xfId="9898" xr:uid="{00000000-0005-0000-0000-0000A0780000}"/>
    <cellStyle name="Normal 84 8 2 2" xfId="19072" xr:uid="{00000000-0005-0000-0000-0000A1780000}"/>
    <cellStyle name="Normal 84 8 2 2 2" xfId="35646" xr:uid="{00000000-0005-0000-0000-0000A2780000}"/>
    <cellStyle name="Normal 84 8 2 3" xfId="27599" xr:uid="{00000000-0005-0000-0000-0000A3780000}"/>
    <cellStyle name="Normal 84 8 3" xfId="15317" xr:uid="{00000000-0005-0000-0000-0000A4780000}"/>
    <cellStyle name="Normal 84 8 3 2" xfId="31871" xr:uid="{00000000-0005-0000-0000-0000A5780000}"/>
    <cellStyle name="Normal 84 8 4" xfId="23828" xr:uid="{00000000-0005-0000-0000-0000A6780000}"/>
    <cellStyle name="Normal 84 9" xfId="9899" xr:uid="{00000000-0005-0000-0000-0000A7780000}"/>
    <cellStyle name="Normal 84 9 2" xfId="19073" xr:uid="{00000000-0005-0000-0000-0000A8780000}"/>
    <cellStyle name="Normal 84 9 2 2" xfId="35647" xr:uid="{00000000-0005-0000-0000-0000A9780000}"/>
    <cellStyle name="Normal 84 9 3" xfId="27600" xr:uid="{00000000-0005-0000-0000-0000AA780000}"/>
    <cellStyle name="Normal 85" xfId="6037" xr:uid="{00000000-0005-0000-0000-0000AB780000}"/>
    <cellStyle name="Normal 85 10" xfId="15318" xr:uid="{00000000-0005-0000-0000-0000AC780000}"/>
    <cellStyle name="Normal 85 10 2" xfId="31872" xr:uid="{00000000-0005-0000-0000-0000AD780000}"/>
    <cellStyle name="Normal 85 11" xfId="23829" xr:uid="{00000000-0005-0000-0000-0000AE780000}"/>
    <cellStyle name="Normal 85 2" xfId="6038" xr:uid="{00000000-0005-0000-0000-0000AF780000}"/>
    <cellStyle name="Normal 85 2 2" xfId="6039" xr:uid="{00000000-0005-0000-0000-0000B0780000}"/>
    <cellStyle name="Normal 85 2 3" xfId="15319" xr:uid="{00000000-0005-0000-0000-0000B1780000}"/>
    <cellStyle name="Normal 85 2 3 2" xfId="31873" xr:uid="{00000000-0005-0000-0000-0000B2780000}"/>
    <cellStyle name="Normal 85 2 4" xfId="23830" xr:uid="{00000000-0005-0000-0000-0000B3780000}"/>
    <cellStyle name="Normal 85 3" xfId="6040" xr:uid="{00000000-0005-0000-0000-0000B4780000}"/>
    <cellStyle name="Normal 85 3 2" xfId="6041" xr:uid="{00000000-0005-0000-0000-0000B5780000}"/>
    <cellStyle name="Normal 85 3 2 2" xfId="6042" xr:uid="{00000000-0005-0000-0000-0000B6780000}"/>
    <cellStyle name="Normal 85 3 2 2 2" xfId="6043" xr:uid="{00000000-0005-0000-0000-0000B7780000}"/>
    <cellStyle name="Normal 85 3 2 2 2 2" xfId="9900" xr:uid="{00000000-0005-0000-0000-0000B8780000}"/>
    <cellStyle name="Normal 85 3 2 2 2 2 2" xfId="19074" xr:uid="{00000000-0005-0000-0000-0000B9780000}"/>
    <cellStyle name="Normal 85 3 2 2 2 2 2 2" xfId="35648" xr:uid="{00000000-0005-0000-0000-0000BA780000}"/>
    <cellStyle name="Normal 85 3 2 2 2 2 3" xfId="27601" xr:uid="{00000000-0005-0000-0000-0000BB780000}"/>
    <cellStyle name="Normal 85 3 2 2 2 3" xfId="15322" xr:uid="{00000000-0005-0000-0000-0000BC780000}"/>
    <cellStyle name="Normal 85 3 2 2 2 3 2" xfId="31876" xr:uid="{00000000-0005-0000-0000-0000BD780000}"/>
    <cellStyle name="Normal 85 3 2 2 2 4" xfId="23833" xr:uid="{00000000-0005-0000-0000-0000BE780000}"/>
    <cellStyle name="Normal 85 3 2 2 3" xfId="9901" xr:uid="{00000000-0005-0000-0000-0000BF780000}"/>
    <cellStyle name="Normal 85 3 2 2 3 2" xfId="19075" xr:uid="{00000000-0005-0000-0000-0000C0780000}"/>
    <cellStyle name="Normal 85 3 2 2 3 2 2" xfId="35649" xr:uid="{00000000-0005-0000-0000-0000C1780000}"/>
    <cellStyle name="Normal 85 3 2 2 3 3" xfId="27602" xr:uid="{00000000-0005-0000-0000-0000C2780000}"/>
    <cellStyle name="Normal 85 3 2 2 4" xfId="15321" xr:uid="{00000000-0005-0000-0000-0000C3780000}"/>
    <cellStyle name="Normal 85 3 2 2 4 2" xfId="31875" xr:uid="{00000000-0005-0000-0000-0000C4780000}"/>
    <cellStyle name="Normal 85 3 2 2 5" xfId="23832" xr:uid="{00000000-0005-0000-0000-0000C5780000}"/>
    <cellStyle name="Normal 85 3 2 3" xfId="6044" xr:uid="{00000000-0005-0000-0000-0000C6780000}"/>
    <cellStyle name="Normal 85 3 2 3 2" xfId="9902" xr:uid="{00000000-0005-0000-0000-0000C7780000}"/>
    <cellStyle name="Normal 85 3 2 3 2 2" xfId="19076" xr:uid="{00000000-0005-0000-0000-0000C8780000}"/>
    <cellStyle name="Normal 85 3 2 3 2 2 2" xfId="35650" xr:uid="{00000000-0005-0000-0000-0000C9780000}"/>
    <cellStyle name="Normal 85 3 2 3 2 3" xfId="27603" xr:uid="{00000000-0005-0000-0000-0000CA780000}"/>
    <cellStyle name="Normal 85 3 2 3 3" xfId="15323" xr:uid="{00000000-0005-0000-0000-0000CB780000}"/>
    <cellStyle name="Normal 85 3 2 3 3 2" xfId="31877" xr:uid="{00000000-0005-0000-0000-0000CC780000}"/>
    <cellStyle name="Normal 85 3 2 3 4" xfId="23834" xr:uid="{00000000-0005-0000-0000-0000CD780000}"/>
    <cellStyle name="Normal 85 3 2 4" xfId="9903" xr:uid="{00000000-0005-0000-0000-0000CE780000}"/>
    <cellStyle name="Normal 85 3 2 4 2" xfId="19077" xr:uid="{00000000-0005-0000-0000-0000CF780000}"/>
    <cellStyle name="Normal 85 3 2 4 2 2" xfId="35651" xr:uid="{00000000-0005-0000-0000-0000D0780000}"/>
    <cellStyle name="Normal 85 3 2 4 3" xfId="27604" xr:uid="{00000000-0005-0000-0000-0000D1780000}"/>
    <cellStyle name="Normal 85 3 2 5" xfId="15320" xr:uid="{00000000-0005-0000-0000-0000D2780000}"/>
    <cellStyle name="Normal 85 3 2 5 2" xfId="31874" xr:uid="{00000000-0005-0000-0000-0000D3780000}"/>
    <cellStyle name="Normal 85 3 2 6" xfId="23831" xr:uid="{00000000-0005-0000-0000-0000D4780000}"/>
    <cellStyle name="Normal 85 3 3" xfId="6045" xr:uid="{00000000-0005-0000-0000-0000D5780000}"/>
    <cellStyle name="Normal 85 3 3 2" xfId="6046" xr:uid="{00000000-0005-0000-0000-0000D6780000}"/>
    <cellStyle name="Normal 85 3 3 2 2" xfId="9904" xr:uid="{00000000-0005-0000-0000-0000D7780000}"/>
    <cellStyle name="Normal 85 3 3 2 2 2" xfId="19078" xr:uid="{00000000-0005-0000-0000-0000D8780000}"/>
    <cellStyle name="Normal 85 3 3 2 2 2 2" xfId="35652" xr:uid="{00000000-0005-0000-0000-0000D9780000}"/>
    <cellStyle name="Normal 85 3 3 2 2 3" xfId="27605" xr:uid="{00000000-0005-0000-0000-0000DA780000}"/>
    <cellStyle name="Normal 85 3 3 2 3" xfId="15325" xr:uid="{00000000-0005-0000-0000-0000DB780000}"/>
    <cellStyle name="Normal 85 3 3 2 3 2" xfId="31879" xr:uid="{00000000-0005-0000-0000-0000DC780000}"/>
    <cellStyle name="Normal 85 3 3 2 4" xfId="23836" xr:uid="{00000000-0005-0000-0000-0000DD780000}"/>
    <cellStyle name="Normal 85 3 3 3" xfId="9905" xr:uid="{00000000-0005-0000-0000-0000DE780000}"/>
    <cellStyle name="Normal 85 3 3 3 2" xfId="19079" xr:uid="{00000000-0005-0000-0000-0000DF780000}"/>
    <cellStyle name="Normal 85 3 3 3 2 2" xfId="35653" xr:uid="{00000000-0005-0000-0000-0000E0780000}"/>
    <cellStyle name="Normal 85 3 3 3 3" xfId="27606" xr:uid="{00000000-0005-0000-0000-0000E1780000}"/>
    <cellStyle name="Normal 85 3 3 4" xfId="15324" xr:uid="{00000000-0005-0000-0000-0000E2780000}"/>
    <cellStyle name="Normal 85 3 3 4 2" xfId="31878" xr:uid="{00000000-0005-0000-0000-0000E3780000}"/>
    <cellStyle name="Normal 85 3 3 5" xfId="23835" xr:uid="{00000000-0005-0000-0000-0000E4780000}"/>
    <cellStyle name="Normal 85 3 4" xfId="6047" xr:uid="{00000000-0005-0000-0000-0000E5780000}"/>
    <cellStyle name="Normal 85 3 4 2" xfId="9906" xr:uid="{00000000-0005-0000-0000-0000E6780000}"/>
    <cellStyle name="Normal 85 3 4 2 2" xfId="19080" xr:uid="{00000000-0005-0000-0000-0000E7780000}"/>
    <cellStyle name="Normal 85 3 4 2 2 2" xfId="35654" xr:uid="{00000000-0005-0000-0000-0000E8780000}"/>
    <cellStyle name="Normal 85 3 4 2 3" xfId="27607" xr:uid="{00000000-0005-0000-0000-0000E9780000}"/>
    <cellStyle name="Normal 85 3 4 3" xfId="15326" xr:uid="{00000000-0005-0000-0000-0000EA780000}"/>
    <cellStyle name="Normal 85 3 4 3 2" xfId="31880" xr:uid="{00000000-0005-0000-0000-0000EB780000}"/>
    <cellStyle name="Normal 85 3 4 4" xfId="23837" xr:uid="{00000000-0005-0000-0000-0000EC780000}"/>
    <cellStyle name="Normal 85 3 5" xfId="6048" xr:uid="{00000000-0005-0000-0000-0000ED780000}"/>
    <cellStyle name="Normal 85 3 5 2" xfId="15327" xr:uid="{00000000-0005-0000-0000-0000EE780000}"/>
    <cellStyle name="Normal 85 3 5 2 2" xfId="31881" xr:uid="{00000000-0005-0000-0000-0000EF780000}"/>
    <cellStyle name="Normal 85 3 5 3" xfId="23838" xr:uid="{00000000-0005-0000-0000-0000F0780000}"/>
    <cellStyle name="Normal 85 4" xfId="6049" xr:uid="{00000000-0005-0000-0000-0000F1780000}"/>
    <cellStyle name="Normal 85 4 2" xfId="6050" xr:uid="{00000000-0005-0000-0000-0000F2780000}"/>
    <cellStyle name="Normal 85 4 2 2" xfId="6051" xr:uid="{00000000-0005-0000-0000-0000F3780000}"/>
    <cellStyle name="Normal 85 4 2 2 2" xfId="6052" xr:uid="{00000000-0005-0000-0000-0000F4780000}"/>
    <cellStyle name="Normal 85 4 2 2 2 2" xfId="9907" xr:uid="{00000000-0005-0000-0000-0000F5780000}"/>
    <cellStyle name="Normal 85 4 2 2 2 2 2" xfId="19081" xr:uid="{00000000-0005-0000-0000-0000F6780000}"/>
    <cellStyle name="Normal 85 4 2 2 2 2 2 2" xfId="35655" xr:uid="{00000000-0005-0000-0000-0000F7780000}"/>
    <cellStyle name="Normal 85 4 2 2 2 2 3" xfId="27608" xr:uid="{00000000-0005-0000-0000-0000F8780000}"/>
    <cellStyle name="Normal 85 4 2 2 2 3" xfId="15331" xr:uid="{00000000-0005-0000-0000-0000F9780000}"/>
    <cellStyle name="Normal 85 4 2 2 2 3 2" xfId="31885" xr:uid="{00000000-0005-0000-0000-0000FA780000}"/>
    <cellStyle name="Normal 85 4 2 2 2 4" xfId="23842" xr:uid="{00000000-0005-0000-0000-0000FB780000}"/>
    <cellStyle name="Normal 85 4 2 2 3" xfId="9908" xr:uid="{00000000-0005-0000-0000-0000FC780000}"/>
    <cellStyle name="Normal 85 4 2 2 3 2" xfId="19082" xr:uid="{00000000-0005-0000-0000-0000FD780000}"/>
    <cellStyle name="Normal 85 4 2 2 3 2 2" xfId="35656" xr:uid="{00000000-0005-0000-0000-0000FE780000}"/>
    <cellStyle name="Normal 85 4 2 2 3 3" xfId="27609" xr:uid="{00000000-0005-0000-0000-0000FF780000}"/>
    <cellStyle name="Normal 85 4 2 2 4" xfId="15330" xr:uid="{00000000-0005-0000-0000-000000790000}"/>
    <cellStyle name="Normal 85 4 2 2 4 2" xfId="31884" xr:uid="{00000000-0005-0000-0000-000001790000}"/>
    <cellStyle name="Normal 85 4 2 2 5" xfId="23841" xr:uid="{00000000-0005-0000-0000-000002790000}"/>
    <cellStyle name="Normal 85 4 2 3" xfId="6053" xr:uid="{00000000-0005-0000-0000-000003790000}"/>
    <cellStyle name="Normal 85 4 2 3 2" xfId="9909" xr:uid="{00000000-0005-0000-0000-000004790000}"/>
    <cellStyle name="Normal 85 4 2 3 2 2" xfId="19083" xr:uid="{00000000-0005-0000-0000-000005790000}"/>
    <cellStyle name="Normal 85 4 2 3 2 2 2" xfId="35657" xr:uid="{00000000-0005-0000-0000-000006790000}"/>
    <cellStyle name="Normal 85 4 2 3 2 3" xfId="27610" xr:uid="{00000000-0005-0000-0000-000007790000}"/>
    <cellStyle name="Normal 85 4 2 3 3" xfId="15332" xr:uid="{00000000-0005-0000-0000-000008790000}"/>
    <cellStyle name="Normal 85 4 2 3 3 2" xfId="31886" xr:uid="{00000000-0005-0000-0000-000009790000}"/>
    <cellStyle name="Normal 85 4 2 3 4" xfId="23843" xr:uid="{00000000-0005-0000-0000-00000A790000}"/>
    <cellStyle name="Normal 85 4 2 4" xfId="9910" xr:uid="{00000000-0005-0000-0000-00000B790000}"/>
    <cellStyle name="Normal 85 4 2 4 2" xfId="19084" xr:uid="{00000000-0005-0000-0000-00000C790000}"/>
    <cellStyle name="Normal 85 4 2 4 2 2" xfId="35658" xr:uid="{00000000-0005-0000-0000-00000D790000}"/>
    <cellStyle name="Normal 85 4 2 4 3" xfId="27611" xr:uid="{00000000-0005-0000-0000-00000E790000}"/>
    <cellStyle name="Normal 85 4 2 5" xfId="15329" xr:uid="{00000000-0005-0000-0000-00000F790000}"/>
    <cellStyle name="Normal 85 4 2 5 2" xfId="31883" xr:uid="{00000000-0005-0000-0000-000010790000}"/>
    <cellStyle name="Normal 85 4 2 6" xfId="23840" xr:uid="{00000000-0005-0000-0000-000011790000}"/>
    <cellStyle name="Normal 85 4 3" xfId="6054" xr:uid="{00000000-0005-0000-0000-000012790000}"/>
    <cellStyle name="Normal 85 4 3 2" xfId="6055" xr:uid="{00000000-0005-0000-0000-000013790000}"/>
    <cellStyle name="Normal 85 4 3 2 2" xfId="9911" xr:uid="{00000000-0005-0000-0000-000014790000}"/>
    <cellStyle name="Normal 85 4 3 2 2 2" xfId="19085" xr:uid="{00000000-0005-0000-0000-000015790000}"/>
    <cellStyle name="Normal 85 4 3 2 2 2 2" xfId="35659" xr:uid="{00000000-0005-0000-0000-000016790000}"/>
    <cellStyle name="Normal 85 4 3 2 2 3" xfId="27612" xr:uid="{00000000-0005-0000-0000-000017790000}"/>
    <cellStyle name="Normal 85 4 3 2 3" xfId="15334" xr:uid="{00000000-0005-0000-0000-000018790000}"/>
    <cellStyle name="Normal 85 4 3 2 3 2" xfId="31888" xr:uid="{00000000-0005-0000-0000-000019790000}"/>
    <cellStyle name="Normal 85 4 3 2 4" xfId="23845" xr:uid="{00000000-0005-0000-0000-00001A790000}"/>
    <cellStyle name="Normal 85 4 3 3" xfId="9912" xr:uid="{00000000-0005-0000-0000-00001B790000}"/>
    <cellStyle name="Normal 85 4 3 3 2" xfId="19086" xr:uid="{00000000-0005-0000-0000-00001C790000}"/>
    <cellStyle name="Normal 85 4 3 3 2 2" xfId="35660" xr:uid="{00000000-0005-0000-0000-00001D790000}"/>
    <cellStyle name="Normal 85 4 3 3 3" xfId="27613" xr:uid="{00000000-0005-0000-0000-00001E790000}"/>
    <cellStyle name="Normal 85 4 3 4" xfId="15333" xr:uid="{00000000-0005-0000-0000-00001F790000}"/>
    <cellStyle name="Normal 85 4 3 4 2" xfId="31887" xr:uid="{00000000-0005-0000-0000-000020790000}"/>
    <cellStyle name="Normal 85 4 3 5" xfId="23844" xr:uid="{00000000-0005-0000-0000-000021790000}"/>
    <cellStyle name="Normal 85 4 4" xfId="6056" xr:uid="{00000000-0005-0000-0000-000022790000}"/>
    <cellStyle name="Normal 85 4 4 2" xfId="9913" xr:uid="{00000000-0005-0000-0000-000023790000}"/>
    <cellStyle name="Normal 85 4 4 2 2" xfId="19087" xr:uid="{00000000-0005-0000-0000-000024790000}"/>
    <cellStyle name="Normal 85 4 4 2 2 2" xfId="35661" xr:uid="{00000000-0005-0000-0000-000025790000}"/>
    <cellStyle name="Normal 85 4 4 2 3" xfId="27614" xr:uid="{00000000-0005-0000-0000-000026790000}"/>
    <cellStyle name="Normal 85 4 4 3" xfId="15335" xr:uid="{00000000-0005-0000-0000-000027790000}"/>
    <cellStyle name="Normal 85 4 4 3 2" xfId="31889" xr:uid="{00000000-0005-0000-0000-000028790000}"/>
    <cellStyle name="Normal 85 4 4 4" xfId="23846" xr:uid="{00000000-0005-0000-0000-000029790000}"/>
    <cellStyle name="Normal 85 4 5" xfId="9914" xr:uid="{00000000-0005-0000-0000-00002A790000}"/>
    <cellStyle name="Normal 85 4 5 2" xfId="19088" xr:uid="{00000000-0005-0000-0000-00002B790000}"/>
    <cellStyle name="Normal 85 4 5 2 2" xfId="35662" xr:uid="{00000000-0005-0000-0000-00002C790000}"/>
    <cellStyle name="Normal 85 4 5 3" xfId="27615" xr:uid="{00000000-0005-0000-0000-00002D790000}"/>
    <cellStyle name="Normal 85 4 6" xfId="15328" xr:uid="{00000000-0005-0000-0000-00002E790000}"/>
    <cellStyle name="Normal 85 4 6 2" xfId="31882" xr:uid="{00000000-0005-0000-0000-00002F790000}"/>
    <cellStyle name="Normal 85 4 7" xfId="23839" xr:uid="{00000000-0005-0000-0000-000030790000}"/>
    <cellStyle name="Normal 85 5" xfId="6057" xr:uid="{00000000-0005-0000-0000-000031790000}"/>
    <cellStyle name="Normal 85 5 2" xfId="6058" xr:uid="{00000000-0005-0000-0000-000032790000}"/>
    <cellStyle name="Normal 85 5 2 2" xfId="6059" xr:uid="{00000000-0005-0000-0000-000033790000}"/>
    <cellStyle name="Normal 85 5 2 2 2" xfId="6060" xr:uid="{00000000-0005-0000-0000-000034790000}"/>
    <cellStyle name="Normal 85 5 2 2 2 2" xfId="9915" xr:uid="{00000000-0005-0000-0000-000035790000}"/>
    <cellStyle name="Normal 85 5 2 2 2 2 2" xfId="19089" xr:uid="{00000000-0005-0000-0000-000036790000}"/>
    <cellStyle name="Normal 85 5 2 2 2 2 2 2" xfId="35663" xr:uid="{00000000-0005-0000-0000-000037790000}"/>
    <cellStyle name="Normal 85 5 2 2 2 2 3" xfId="27616" xr:uid="{00000000-0005-0000-0000-000038790000}"/>
    <cellStyle name="Normal 85 5 2 2 2 3" xfId="15339" xr:uid="{00000000-0005-0000-0000-000039790000}"/>
    <cellStyle name="Normal 85 5 2 2 2 3 2" xfId="31893" xr:uid="{00000000-0005-0000-0000-00003A790000}"/>
    <cellStyle name="Normal 85 5 2 2 2 4" xfId="23850" xr:uid="{00000000-0005-0000-0000-00003B790000}"/>
    <cellStyle name="Normal 85 5 2 2 3" xfId="9916" xr:uid="{00000000-0005-0000-0000-00003C790000}"/>
    <cellStyle name="Normal 85 5 2 2 3 2" xfId="19090" xr:uid="{00000000-0005-0000-0000-00003D790000}"/>
    <cellStyle name="Normal 85 5 2 2 3 2 2" xfId="35664" xr:uid="{00000000-0005-0000-0000-00003E790000}"/>
    <cellStyle name="Normal 85 5 2 2 3 3" xfId="27617" xr:uid="{00000000-0005-0000-0000-00003F790000}"/>
    <cellStyle name="Normal 85 5 2 2 4" xfId="15338" xr:uid="{00000000-0005-0000-0000-000040790000}"/>
    <cellStyle name="Normal 85 5 2 2 4 2" xfId="31892" xr:uid="{00000000-0005-0000-0000-000041790000}"/>
    <cellStyle name="Normal 85 5 2 2 5" xfId="23849" xr:uid="{00000000-0005-0000-0000-000042790000}"/>
    <cellStyle name="Normal 85 5 2 3" xfId="6061" xr:uid="{00000000-0005-0000-0000-000043790000}"/>
    <cellStyle name="Normal 85 5 2 3 2" xfId="9917" xr:uid="{00000000-0005-0000-0000-000044790000}"/>
    <cellStyle name="Normal 85 5 2 3 2 2" xfId="19091" xr:uid="{00000000-0005-0000-0000-000045790000}"/>
    <cellStyle name="Normal 85 5 2 3 2 2 2" xfId="35665" xr:uid="{00000000-0005-0000-0000-000046790000}"/>
    <cellStyle name="Normal 85 5 2 3 2 3" xfId="27618" xr:uid="{00000000-0005-0000-0000-000047790000}"/>
    <cellStyle name="Normal 85 5 2 3 3" xfId="15340" xr:uid="{00000000-0005-0000-0000-000048790000}"/>
    <cellStyle name="Normal 85 5 2 3 3 2" xfId="31894" xr:uid="{00000000-0005-0000-0000-000049790000}"/>
    <cellStyle name="Normal 85 5 2 3 4" xfId="23851" xr:uid="{00000000-0005-0000-0000-00004A790000}"/>
    <cellStyle name="Normal 85 5 2 4" xfId="9918" xr:uid="{00000000-0005-0000-0000-00004B790000}"/>
    <cellStyle name="Normal 85 5 2 4 2" xfId="19092" xr:uid="{00000000-0005-0000-0000-00004C790000}"/>
    <cellStyle name="Normal 85 5 2 4 2 2" xfId="35666" xr:uid="{00000000-0005-0000-0000-00004D790000}"/>
    <cellStyle name="Normal 85 5 2 4 3" xfId="27619" xr:uid="{00000000-0005-0000-0000-00004E790000}"/>
    <cellStyle name="Normal 85 5 2 5" xfId="15337" xr:uid="{00000000-0005-0000-0000-00004F790000}"/>
    <cellStyle name="Normal 85 5 2 5 2" xfId="31891" xr:uid="{00000000-0005-0000-0000-000050790000}"/>
    <cellStyle name="Normal 85 5 2 6" xfId="23848" xr:uid="{00000000-0005-0000-0000-000051790000}"/>
    <cellStyle name="Normal 85 5 3" xfId="6062" xr:uid="{00000000-0005-0000-0000-000052790000}"/>
    <cellStyle name="Normal 85 5 3 2" xfId="6063" xr:uid="{00000000-0005-0000-0000-000053790000}"/>
    <cellStyle name="Normal 85 5 3 2 2" xfId="9919" xr:uid="{00000000-0005-0000-0000-000054790000}"/>
    <cellStyle name="Normal 85 5 3 2 2 2" xfId="19093" xr:uid="{00000000-0005-0000-0000-000055790000}"/>
    <cellStyle name="Normal 85 5 3 2 2 2 2" xfId="35667" xr:uid="{00000000-0005-0000-0000-000056790000}"/>
    <cellStyle name="Normal 85 5 3 2 2 3" xfId="27620" xr:uid="{00000000-0005-0000-0000-000057790000}"/>
    <cellStyle name="Normal 85 5 3 2 3" xfId="15342" xr:uid="{00000000-0005-0000-0000-000058790000}"/>
    <cellStyle name="Normal 85 5 3 2 3 2" xfId="31896" xr:uid="{00000000-0005-0000-0000-000059790000}"/>
    <cellStyle name="Normal 85 5 3 2 4" xfId="23853" xr:uid="{00000000-0005-0000-0000-00005A790000}"/>
    <cellStyle name="Normal 85 5 3 3" xfId="9920" xr:uid="{00000000-0005-0000-0000-00005B790000}"/>
    <cellStyle name="Normal 85 5 3 3 2" xfId="19094" xr:uid="{00000000-0005-0000-0000-00005C790000}"/>
    <cellStyle name="Normal 85 5 3 3 2 2" xfId="35668" xr:uid="{00000000-0005-0000-0000-00005D790000}"/>
    <cellStyle name="Normal 85 5 3 3 3" xfId="27621" xr:uid="{00000000-0005-0000-0000-00005E790000}"/>
    <cellStyle name="Normal 85 5 3 4" xfId="15341" xr:uid="{00000000-0005-0000-0000-00005F790000}"/>
    <cellStyle name="Normal 85 5 3 4 2" xfId="31895" xr:uid="{00000000-0005-0000-0000-000060790000}"/>
    <cellStyle name="Normal 85 5 3 5" xfId="23852" xr:uid="{00000000-0005-0000-0000-000061790000}"/>
    <cellStyle name="Normal 85 5 4" xfId="6064" xr:uid="{00000000-0005-0000-0000-000062790000}"/>
    <cellStyle name="Normal 85 5 4 2" xfId="9921" xr:uid="{00000000-0005-0000-0000-000063790000}"/>
    <cellStyle name="Normal 85 5 4 2 2" xfId="19095" xr:uid="{00000000-0005-0000-0000-000064790000}"/>
    <cellStyle name="Normal 85 5 4 2 2 2" xfId="35669" xr:uid="{00000000-0005-0000-0000-000065790000}"/>
    <cellStyle name="Normal 85 5 4 2 3" xfId="27622" xr:uid="{00000000-0005-0000-0000-000066790000}"/>
    <cellStyle name="Normal 85 5 4 3" xfId="15343" xr:uid="{00000000-0005-0000-0000-000067790000}"/>
    <cellStyle name="Normal 85 5 4 3 2" xfId="31897" xr:uid="{00000000-0005-0000-0000-000068790000}"/>
    <cellStyle name="Normal 85 5 4 4" xfId="23854" xr:uid="{00000000-0005-0000-0000-000069790000}"/>
    <cellStyle name="Normal 85 5 5" xfId="9922" xr:uid="{00000000-0005-0000-0000-00006A790000}"/>
    <cellStyle name="Normal 85 5 5 2" xfId="19096" xr:uid="{00000000-0005-0000-0000-00006B790000}"/>
    <cellStyle name="Normal 85 5 5 2 2" xfId="35670" xr:uid="{00000000-0005-0000-0000-00006C790000}"/>
    <cellStyle name="Normal 85 5 5 3" xfId="27623" xr:uid="{00000000-0005-0000-0000-00006D790000}"/>
    <cellStyle name="Normal 85 5 6" xfId="15336" xr:uid="{00000000-0005-0000-0000-00006E790000}"/>
    <cellStyle name="Normal 85 5 6 2" xfId="31890" xr:uid="{00000000-0005-0000-0000-00006F790000}"/>
    <cellStyle name="Normal 85 5 7" xfId="23847" xr:uid="{00000000-0005-0000-0000-000070790000}"/>
    <cellStyle name="Normal 85 6" xfId="6065" xr:uid="{00000000-0005-0000-0000-000071790000}"/>
    <cellStyle name="Normal 85 6 2" xfId="6066" xr:uid="{00000000-0005-0000-0000-000072790000}"/>
    <cellStyle name="Normal 85 6 2 2" xfId="6067" xr:uid="{00000000-0005-0000-0000-000073790000}"/>
    <cellStyle name="Normal 85 6 2 2 2" xfId="9923" xr:uid="{00000000-0005-0000-0000-000074790000}"/>
    <cellStyle name="Normal 85 6 2 2 2 2" xfId="19097" xr:uid="{00000000-0005-0000-0000-000075790000}"/>
    <cellStyle name="Normal 85 6 2 2 2 2 2" xfId="35671" xr:uid="{00000000-0005-0000-0000-000076790000}"/>
    <cellStyle name="Normal 85 6 2 2 2 3" xfId="27624" xr:uid="{00000000-0005-0000-0000-000077790000}"/>
    <cellStyle name="Normal 85 6 2 2 3" xfId="15346" xr:uid="{00000000-0005-0000-0000-000078790000}"/>
    <cellStyle name="Normal 85 6 2 2 3 2" xfId="31900" xr:uid="{00000000-0005-0000-0000-000079790000}"/>
    <cellStyle name="Normal 85 6 2 2 4" xfId="23857" xr:uid="{00000000-0005-0000-0000-00007A790000}"/>
    <cellStyle name="Normal 85 6 2 3" xfId="9924" xr:uid="{00000000-0005-0000-0000-00007B790000}"/>
    <cellStyle name="Normal 85 6 2 3 2" xfId="19098" xr:uid="{00000000-0005-0000-0000-00007C790000}"/>
    <cellStyle name="Normal 85 6 2 3 2 2" xfId="35672" xr:uid="{00000000-0005-0000-0000-00007D790000}"/>
    <cellStyle name="Normal 85 6 2 3 3" xfId="27625" xr:uid="{00000000-0005-0000-0000-00007E790000}"/>
    <cellStyle name="Normal 85 6 2 4" xfId="15345" xr:uid="{00000000-0005-0000-0000-00007F790000}"/>
    <cellStyle name="Normal 85 6 2 4 2" xfId="31899" xr:uid="{00000000-0005-0000-0000-000080790000}"/>
    <cellStyle name="Normal 85 6 2 5" xfId="23856" xr:uid="{00000000-0005-0000-0000-000081790000}"/>
    <cellStyle name="Normal 85 6 3" xfId="6068" xr:uid="{00000000-0005-0000-0000-000082790000}"/>
    <cellStyle name="Normal 85 6 3 2" xfId="9925" xr:uid="{00000000-0005-0000-0000-000083790000}"/>
    <cellStyle name="Normal 85 6 3 2 2" xfId="19099" xr:uid="{00000000-0005-0000-0000-000084790000}"/>
    <cellStyle name="Normal 85 6 3 2 2 2" xfId="35673" xr:uid="{00000000-0005-0000-0000-000085790000}"/>
    <cellStyle name="Normal 85 6 3 2 3" xfId="27626" xr:uid="{00000000-0005-0000-0000-000086790000}"/>
    <cellStyle name="Normal 85 6 3 3" xfId="15347" xr:uid="{00000000-0005-0000-0000-000087790000}"/>
    <cellStyle name="Normal 85 6 3 3 2" xfId="31901" xr:uid="{00000000-0005-0000-0000-000088790000}"/>
    <cellStyle name="Normal 85 6 3 4" xfId="23858" xr:uid="{00000000-0005-0000-0000-000089790000}"/>
    <cellStyle name="Normal 85 6 4" xfId="9926" xr:uid="{00000000-0005-0000-0000-00008A790000}"/>
    <cellStyle name="Normal 85 6 4 2" xfId="19100" xr:uid="{00000000-0005-0000-0000-00008B790000}"/>
    <cellStyle name="Normal 85 6 4 2 2" xfId="35674" xr:uid="{00000000-0005-0000-0000-00008C790000}"/>
    <cellStyle name="Normal 85 6 4 3" xfId="27627" xr:uid="{00000000-0005-0000-0000-00008D790000}"/>
    <cellStyle name="Normal 85 6 5" xfId="15344" xr:uid="{00000000-0005-0000-0000-00008E790000}"/>
    <cellStyle name="Normal 85 6 5 2" xfId="31898" xr:uid="{00000000-0005-0000-0000-00008F790000}"/>
    <cellStyle name="Normal 85 6 6" xfId="23855" xr:uid="{00000000-0005-0000-0000-000090790000}"/>
    <cellStyle name="Normal 85 7" xfId="6069" xr:uid="{00000000-0005-0000-0000-000091790000}"/>
    <cellStyle name="Normal 85 7 2" xfId="6070" xr:uid="{00000000-0005-0000-0000-000092790000}"/>
    <cellStyle name="Normal 85 7 2 2" xfId="9927" xr:uid="{00000000-0005-0000-0000-000093790000}"/>
    <cellStyle name="Normal 85 7 2 2 2" xfId="19101" xr:uid="{00000000-0005-0000-0000-000094790000}"/>
    <cellStyle name="Normal 85 7 2 2 2 2" xfId="35675" xr:uid="{00000000-0005-0000-0000-000095790000}"/>
    <cellStyle name="Normal 85 7 2 2 3" xfId="27628" xr:uid="{00000000-0005-0000-0000-000096790000}"/>
    <cellStyle name="Normal 85 7 2 3" xfId="15349" xr:uid="{00000000-0005-0000-0000-000097790000}"/>
    <cellStyle name="Normal 85 7 2 3 2" xfId="31903" xr:uid="{00000000-0005-0000-0000-000098790000}"/>
    <cellStyle name="Normal 85 7 2 4" xfId="23860" xr:uid="{00000000-0005-0000-0000-000099790000}"/>
    <cellStyle name="Normal 85 7 3" xfId="9928" xr:uid="{00000000-0005-0000-0000-00009A790000}"/>
    <cellStyle name="Normal 85 7 3 2" xfId="19102" xr:uid="{00000000-0005-0000-0000-00009B790000}"/>
    <cellStyle name="Normal 85 7 3 2 2" xfId="35676" xr:uid="{00000000-0005-0000-0000-00009C790000}"/>
    <cellStyle name="Normal 85 7 3 3" xfId="27629" xr:uid="{00000000-0005-0000-0000-00009D790000}"/>
    <cellStyle name="Normal 85 7 4" xfId="15348" xr:uid="{00000000-0005-0000-0000-00009E790000}"/>
    <cellStyle name="Normal 85 7 4 2" xfId="31902" xr:uid="{00000000-0005-0000-0000-00009F790000}"/>
    <cellStyle name="Normal 85 7 5" xfId="23859" xr:uid="{00000000-0005-0000-0000-0000A0790000}"/>
    <cellStyle name="Normal 85 8" xfId="6071" xr:uid="{00000000-0005-0000-0000-0000A1790000}"/>
    <cellStyle name="Normal 85 8 2" xfId="9929" xr:uid="{00000000-0005-0000-0000-0000A2790000}"/>
    <cellStyle name="Normal 85 8 2 2" xfId="19103" xr:uid="{00000000-0005-0000-0000-0000A3790000}"/>
    <cellStyle name="Normal 85 8 2 2 2" xfId="35677" xr:uid="{00000000-0005-0000-0000-0000A4790000}"/>
    <cellStyle name="Normal 85 8 2 3" xfId="27630" xr:uid="{00000000-0005-0000-0000-0000A5790000}"/>
    <cellStyle name="Normal 85 8 3" xfId="15350" xr:uid="{00000000-0005-0000-0000-0000A6790000}"/>
    <cellStyle name="Normal 85 8 3 2" xfId="31904" xr:uid="{00000000-0005-0000-0000-0000A7790000}"/>
    <cellStyle name="Normal 85 8 4" xfId="23861" xr:uid="{00000000-0005-0000-0000-0000A8790000}"/>
    <cellStyle name="Normal 85 9" xfId="9930" xr:uid="{00000000-0005-0000-0000-0000A9790000}"/>
    <cellStyle name="Normal 85 9 2" xfId="19104" xr:uid="{00000000-0005-0000-0000-0000AA790000}"/>
    <cellStyle name="Normal 85 9 2 2" xfId="35678" xr:uid="{00000000-0005-0000-0000-0000AB790000}"/>
    <cellStyle name="Normal 85 9 3" xfId="27631" xr:uid="{00000000-0005-0000-0000-0000AC790000}"/>
    <cellStyle name="Normal 86" xfId="6072" xr:uid="{00000000-0005-0000-0000-0000AD790000}"/>
    <cellStyle name="Normal 86 10" xfId="15351" xr:uid="{00000000-0005-0000-0000-0000AE790000}"/>
    <cellStyle name="Normal 86 10 2" xfId="31905" xr:uid="{00000000-0005-0000-0000-0000AF790000}"/>
    <cellStyle name="Normal 86 11" xfId="23862" xr:uid="{00000000-0005-0000-0000-0000B0790000}"/>
    <cellStyle name="Normal 86 2" xfId="6073" xr:uid="{00000000-0005-0000-0000-0000B1790000}"/>
    <cellStyle name="Normal 86 2 2" xfId="6074" xr:uid="{00000000-0005-0000-0000-0000B2790000}"/>
    <cellStyle name="Normal 86 2 3" xfId="15352" xr:uid="{00000000-0005-0000-0000-0000B3790000}"/>
    <cellStyle name="Normal 86 2 3 2" xfId="31906" xr:uid="{00000000-0005-0000-0000-0000B4790000}"/>
    <cellStyle name="Normal 86 2 4" xfId="23863" xr:uid="{00000000-0005-0000-0000-0000B5790000}"/>
    <cellStyle name="Normal 86 3" xfId="6075" xr:uid="{00000000-0005-0000-0000-0000B6790000}"/>
    <cellStyle name="Normal 86 3 2" xfId="6076" xr:uid="{00000000-0005-0000-0000-0000B7790000}"/>
    <cellStyle name="Normal 86 3 2 2" xfId="6077" xr:uid="{00000000-0005-0000-0000-0000B8790000}"/>
    <cellStyle name="Normal 86 3 2 2 2" xfId="6078" xr:uid="{00000000-0005-0000-0000-0000B9790000}"/>
    <cellStyle name="Normal 86 3 2 2 2 2" xfId="9931" xr:uid="{00000000-0005-0000-0000-0000BA790000}"/>
    <cellStyle name="Normal 86 3 2 2 2 2 2" xfId="19105" xr:uid="{00000000-0005-0000-0000-0000BB790000}"/>
    <cellStyle name="Normal 86 3 2 2 2 2 2 2" xfId="35679" xr:uid="{00000000-0005-0000-0000-0000BC790000}"/>
    <cellStyle name="Normal 86 3 2 2 2 2 3" xfId="27632" xr:uid="{00000000-0005-0000-0000-0000BD790000}"/>
    <cellStyle name="Normal 86 3 2 2 2 3" xfId="15355" xr:uid="{00000000-0005-0000-0000-0000BE790000}"/>
    <cellStyle name="Normal 86 3 2 2 2 3 2" xfId="31909" xr:uid="{00000000-0005-0000-0000-0000BF790000}"/>
    <cellStyle name="Normal 86 3 2 2 2 4" xfId="23866" xr:uid="{00000000-0005-0000-0000-0000C0790000}"/>
    <cellStyle name="Normal 86 3 2 2 3" xfId="9932" xr:uid="{00000000-0005-0000-0000-0000C1790000}"/>
    <cellStyle name="Normal 86 3 2 2 3 2" xfId="19106" xr:uid="{00000000-0005-0000-0000-0000C2790000}"/>
    <cellStyle name="Normal 86 3 2 2 3 2 2" xfId="35680" xr:uid="{00000000-0005-0000-0000-0000C3790000}"/>
    <cellStyle name="Normal 86 3 2 2 3 3" xfId="27633" xr:uid="{00000000-0005-0000-0000-0000C4790000}"/>
    <cellStyle name="Normal 86 3 2 2 4" xfId="15354" xr:uid="{00000000-0005-0000-0000-0000C5790000}"/>
    <cellStyle name="Normal 86 3 2 2 4 2" xfId="31908" xr:uid="{00000000-0005-0000-0000-0000C6790000}"/>
    <cellStyle name="Normal 86 3 2 2 5" xfId="23865" xr:uid="{00000000-0005-0000-0000-0000C7790000}"/>
    <cellStyle name="Normal 86 3 2 3" xfId="6079" xr:uid="{00000000-0005-0000-0000-0000C8790000}"/>
    <cellStyle name="Normal 86 3 2 3 2" xfId="9933" xr:uid="{00000000-0005-0000-0000-0000C9790000}"/>
    <cellStyle name="Normal 86 3 2 3 2 2" xfId="19107" xr:uid="{00000000-0005-0000-0000-0000CA790000}"/>
    <cellStyle name="Normal 86 3 2 3 2 2 2" xfId="35681" xr:uid="{00000000-0005-0000-0000-0000CB790000}"/>
    <cellStyle name="Normal 86 3 2 3 2 3" xfId="27634" xr:uid="{00000000-0005-0000-0000-0000CC790000}"/>
    <cellStyle name="Normal 86 3 2 3 3" xfId="15356" xr:uid="{00000000-0005-0000-0000-0000CD790000}"/>
    <cellStyle name="Normal 86 3 2 3 3 2" xfId="31910" xr:uid="{00000000-0005-0000-0000-0000CE790000}"/>
    <cellStyle name="Normal 86 3 2 3 4" xfId="23867" xr:uid="{00000000-0005-0000-0000-0000CF790000}"/>
    <cellStyle name="Normal 86 3 2 4" xfId="9934" xr:uid="{00000000-0005-0000-0000-0000D0790000}"/>
    <cellStyle name="Normal 86 3 2 4 2" xfId="19108" xr:uid="{00000000-0005-0000-0000-0000D1790000}"/>
    <cellStyle name="Normal 86 3 2 4 2 2" xfId="35682" xr:uid="{00000000-0005-0000-0000-0000D2790000}"/>
    <cellStyle name="Normal 86 3 2 4 3" xfId="27635" xr:uid="{00000000-0005-0000-0000-0000D3790000}"/>
    <cellStyle name="Normal 86 3 2 5" xfId="15353" xr:uid="{00000000-0005-0000-0000-0000D4790000}"/>
    <cellStyle name="Normal 86 3 2 5 2" xfId="31907" xr:uid="{00000000-0005-0000-0000-0000D5790000}"/>
    <cellStyle name="Normal 86 3 2 6" xfId="23864" xr:uid="{00000000-0005-0000-0000-0000D6790000}"/>
    <cellStyle name="Normal 86 3 3" xfId="6080" xr:uid="{00000000-0005-0000-0000-0000D7790000}"/>
    <cellStyle name="Normal 86 3 3 2" xfId="6081" xr:uid="{00000000-0005-0000-0000-0000D8790000}"/>
    <cellStyle name="Normal 86 3 3 2 2" xfId="9935" xr:uid="{00000000-0005-0000-0000-0000D9790000}"/>
    <cellStyle name="Normal 86 3 3 2 2 2" xfId="19109" xr:uid="{00000000-0005-0000-0000-0000DA790000}"/>
    <cellStyle name="Normal 86 3 3 2 2 2 2" xfId="35683" xr:uid="{00000000-0005-0000-0000-0000DB790000}"/>
    <cellStyle name="Normal 86 3 3 2 2 3" xfId="27636" xr:uid="{00000000-0005-0000-0000-0000DC790000}"/>
    <cellStyle name="Normal 86 3 3 2 3" xfId="15358" xr:uid="{00000000-0005-0000-0000-0000DD790000}"/>
    <cellStyle name="Normal 86 3 3 2 3 2" xfId="31912" xr:uid="{00000000-0005-0000-0000-0000DE790000}"/>
    <cellStyle name="Normal 86 3 3 2 4" xfId="23869" xr:uid="{00000000-0005-0000-0000-0000DF790000}"/>
    <cellStyle name="Normal 86 3 3 3" xfId="9936" xr:uid="{00000000-0005-0000-0000-0000E0790000}"/>
    <cellStyle name="Normal 86 3 3 3 2" xfId="19110" xr:uid="{00000000-0005-0000-0000-0000E1790000}"/>
    <cellStyle name="Normal 86 3 3 3 2 2" xfId="35684" xr:uid="{00000000-0005-0000-0000-0000E2790000}"/>
    <cellStyle name="Normal 86 3 3 3 3" xfId="27637" xr:uid="{00000000-0005-0000-0000-0000E3790000}"/>
    <cellStyle name="Normal 86 3 3 4" xfId="15357" xr:uid="{00000000-0005-0000-0000-0000E4790000}"/>
    <cellStyle name="Normal 86 3 3 4 2" xfId="31911" xr:uid="{00000000-0005-0000-0000-0000E5790000}"/>
    <cellStyle name="Normal 86 3 3 5" xfId="23868" xr:uid="{00000000-0005-0000-0000-0000E6790000}"/>
    <cellStyle name="Normal 86 3 4" xfId="6082" xr:uid="{00000000-0005-0000-0000-0000E7790000}"/>
    <cellStyle name="Normal 86 3 4 2" xfId="9937" xr:uid="{00000000-0005-0000-0000-0000E8790000}"/>
    <cellStyle name="Normal 86 3 4 2 2" xfId="19111" xr:uid="{00000000-0005-0000-0000-0000E9790000}"/>
    <cellStyle name="Normal 86 3 4 2 2 2" xfId="35685" xr:uid="{00000000-0005-0000-0000-0000EA790000}"/>
    <cellStyle name="Normal 86 3 4 2 3" xfId="27638" xr:uid="{00000000-0005-0000-0000-0000EB790000}"/>
    <cellStyle name="Normal 86 3 4 3" xfId="15359" xr:uid="{00000000-0005-0000-0000-0000EC790000}"/>
    <cellStyle name="Normal 86 3 4 3 2" xfId="31913" xr:uid="{00000000-0005-0000-0000-0000ED790000}"/>
    <cellStyle name="Normal 86 3 4 4" xfId="23870" xr:uid="{00000000-0005-0000-0000-0000EE790000}"/>
    <cellStyle name="Normal 86 3 5" xfId="6083" xr:uid="{00000000-0005-0000-0000-0000EF790000}"/>
    <cellStyle name="Normal 86 3 5 2" xfId="15360" xr:uid="{00000000-0005-0000-0000-0000F0790000}"/>
    <cellStyle name="Normal 86 3 5 2 2" xfId="31914" xr:uid="{00000000-0005-0000-0000-0000F1790000}"/>
    <cellStyle name="Normal 86 3 5 3" xfId="23871" xr:uid="{00000000-0005-0000-0000-0000F2790000}"/>
    <cellStyle name="Normal 86 4" xfId="6084" xr:uid="{00000000-0005-0000-0000-0000F3790000}"/>
    <cellStyle name="Normal 86 4 2" xfId="6085" xr:uid="{00000000-0005-0000-0000-0000F4790000}"/>
    <cellStyle name="Normal 86 4 2 2" xfId="6086" xr:uid="{00000000-0005-0000-0000-0000F5790000}"/>
    <cellStyle name="Normal 86 4 2 2 2" xfId="6087" xr:uid="{00000000-0005-0000-0000-0000F6790000}"/>
    <cellStyle name="Normal 86 4 2 2 2 2" xfId="9938" xr:uid="{00000000-0005-0000-0000-0000F7790000}"/>
    <cellStyle name="Normal 86 4 2 2 2 2 2" xfId="19112" xr:uid="{00000000-0005-0000-0000-0000F8790000}"/>
    <cellStyle name="Normal 86 4 2 2 2 2 2 2" xfId="35686" xr:uid="{00000000-0005-0000-0000-0000F9790000}"/>
    <cellStyle name="Normal 86 4 2 2 2 2 3" xfId="27639" xr:uid="{00000000-0005-0000-0000-0000FA790000}"/>
    <cellStyle name="Normal 86 4 2 2 2 3" xfId="15364" xr:uid="{00000000-0005-0000-0000-0000FB790000}"/>
    <cellStyle name="Normal 86 4 2 2 2 3 2" xfId="31918" xr:uid="{00000000-0005-0000-0000-0000FC790000}"/>
    <cellStyle name="Normal 86 4 2 2 2 4" xfId="23875" xr:uid="{00000000-0005-0000-0000-0000FD790000}"/>
    <cellStyle name="Normal 86 4 2 2 3" xfId="9939" xr:uid="{00000000-0005-0000-0000-0000FE790000}"/>
    <cellStyle name="Normal 86 4 2 2 3 2" xfId="19113" xr:uid="{00000000-0005-0000-0000-0000FF790000}"/>
    <cellStyle name="Normal 86 4 2 2 3 2 2" xfId="35687" xr:uid="{00000000-0005-0000-0000-0000007A0000}"/>
    <cellStyle name="Normal 86 4 2 2 3 3" xfId="27640" xr:uid="{00000000-0005-0000-0000-0000017A0000}"/>
    <cellStyle name="Normal 86 4 2 2 4" xfId="15363" xr:uid="{00000000-0005-0000-0000-0000027A0000}"/>
    <cellStyle name="Normal 86 4 2 2 4 2" xfId="31917" xr:uid="{00000000-0005-0000-0000-0000037A0000}"/>
    <cellStyle name="Normal 86 4 2 2 5" xfId="23874" xr:uid="{00000000-0005-0000-0000-0000047A0000}"/>
    <cellStyle name="Normal 86 4 2 3" xfId="6088" xr:uid="{00000000-0005-0000-0000-0000057A0000}"/>
    <cellStyle name="Normal 86 4 2 3 2" xfId="9940" xr:uid="{00000000-0005-0000-0000-0000067A0000}"/>
    <cellStyle name="Normal 86 4 2 3 2 2" xfId="19114" xr:uid="{00000000-0005-0000-0000-0000077A0000}"/>
    <cellStyle name="Normal 86 4 2 3 2 2 2" xfId="35688" xr:uid="{00000000-0005-0000-0000-0000087A0000}"/>
    <cellStyle name="Normal 86 4 2 3 2 3" xfId="27641" xr:uid="{00000000-0005-0000-0000-0000097A0000}"/>
    <cellStyle name="Normal 86 4 2 3 3" xfId="15365" xr:uid="{00000000-0005-0000-0000-00000A7A0000}"/>
    <cellStyle name="Normal 86 4 2 3 3 2" xfId="31919" xr:uid="{00000000-0005-0000-0000-00000B7A0000}"/>
    <cellStyle name="Normal 86 4 2 3 4" xfId="23876" xr:uid="{00000000-0005-0000-0000-00000C7A0000}"/>
    <cellStyle name="Normal 86 4 2 4" xfId="9941" xr:uid="{00000000-0005-0000-0000-00000D7A0000}"/>
    <cellStyle name="Normal 86 4 2 4 2" xfId="19115" xr:uid="{00000000-0005-0000-0000-00000E7A0000}"/>
    <cellStyle name="Normal 86 4 2 4 2 2" xfId="35689" xr:uid="{00000000-0005-0000-0000-00000F7A0000}"/>
    <cellStyle name="Normal 86 4 2 4 3" xfId="27642" xr:uid="{00000000-0005-0000-0000-0000107A0000}"/>
    <cellStyle name="Normal 86 4 2 5" xfId="15362" xr:uid="{00000000-0005-0000-0000-0000117A0000}"/>
    <cellStyle name="Normal 86 4 2 5 2" xfId="31916" xr:uid="{00000000-0005-0000-0000-0000127A0000}"/>
    <cellStyle name="Normal 86 4 2 6" xfId="23873" xr:uid="{00000000-0005-0000-0000-0000137A0000}"/>
    <cellStyle name="Normal 86 4 3" xfId="6089" xr:uid="{00000000-0005-0000-0000-0000147A0000}"/>
    <cellStyle name="Normal 86 4 3 2" xfId="6090" xr:uid="{00000000-0005-0000-0000-0000157A0000}"/>
    <cellStyle name="Normal 86 4 3 2 2" xfId="9942" xr:uid="{00000000-0005-0000-0000-0000167A0000}"/>
    <cellStyle name="Normal 86 4 3 2 2 2" xfId="19116" xr:uid="{00000000-0005-0000-0000-0000177A0000}"/>
    <cellStyle name="Normal 86 4 3 2 2 2 2" xfId="35690" xr:uid="{00000000-0005-0000-0000-0000187A0000}"/>
    <cellStyle name="Normal 86 4 3 2 2 3" xfId="27643" xr:uid="{00000000-0005-0000-0000-0000197A0000}"/>
    <cellStyle name="Normal 86 4 3 2 3" xfId="15367" xr:uid="{00000000-0005-0000-0000-00001A7A0000}"/>
    <cellStyle name="Normal 86 4 3 2 3 2" xfId="31921" xr:uid="{00000000-0005-0000-0000-00001B7A0000}"/>
    <cellStyle name="Normal 86 4 3 2 4" xfId="23878" xr:uid="{00000000-0005-0000-0000-00001C7A0000}"/>
    <cellStyle name="Normal 86 4 3 3" xfId="9943" xr:uid="{00000000-0005-0000-0000-00001D7A0000}"/>
    <cellStyle name="Normal 86 4 3 3 2" xfId="19117" xr:uid="{00000000-0005-0000-0000-00001E7A0000}"/>
    <cellStyle name="Normal 86 4 3 3 2 2" xfId="35691" xr:uid="{00000000-0005-0000-0000-00001F7A0000}"/>
    <cellStyle name="Normal 86 4 3 3 3" xfId="27644" xr:uid="{00000000-0005-0000-0000-0000207A0000}"/>
    <cellStyle name="Normal 86 4 3 4" xfId="15366" xr:uid="{00000000-0005-0000-0000-0000217A0000}"/>
    <cellStyle name="Normal 86 4 3 4 2" xfId="31920" xr:uid="{00000000-0005-0000-0000-0000227A0000}"/>
    <cellStyle name="Normal 86 4 3 5" xfId="23877" xr:uid="{00000000-0005-0000-0000-0000237A0000}"/>
    <cellStyle name="Normal 86 4 4" xfId="6091" xr:uid="{00000000-0005-0000-0000-0000247A0000}"/>
    <cellStyle name="Normal 86 4 4 2" xfId="9944" xr:uid="{00000000-0005-0000-0000-0000257A0000}"/>
    <cellStyle name="Normal 86 4 4 2 2" xfId="19118" xr:uid="{00000000-0005-0000-0000-0000267A0000}"/>
    <cellStyle name="Normal 86 4 4 2 2 2" xfId="35692" xr:uid="{00000000-0005-0000-0000-0000277A0000}"/>
    <cellStyle name="Normal 86 4 4 2 3" xfId="27645" xr:uid="{00000000-0005-0000-0000-0000287A0000}"/>
    <cellStyle name="Normal 86 4 4 3" xfId="15368" xr:uid="{00000000-0005-0000-0000-0000297A0000}"/>
    <cellStyle name="Normal 86 4 4 3 2" xfId="31922" xr:uid="{00000000-0005-0000-0000-00002A7A0000}"/>
    <cellStyle name="Normal 86 4 4 4" xfId="23879" xr:uid="{00000000-0005-0000-0000-00002B7A0000}"/>
    <cellStyle name="Normal 86 4 5" xfId="9945" xr:uid="{00000000-0005-0000-0000-00002C7A0000}"/>
    <cellStyle name="Normal 86 4 5 2" xfId="19119" xr:uid="{00000000-0005-0000-0000-00002D7A0000}"/>
    <cellStyle name="Normal 86 4 5 2 2" xfId="35693" xr:uid="{00000000-0005-0000-0000-00002E7A0000}"/>
    <cellStyle name="Normal 86 4 5 3" xfId="27646" xr:uid="{00000000-0005-0000-0000-00002F7A0000}"/>
    <cellStyle name="Normal 86 4 6" xfId="15361" xr:uid="{00000000-0005-0000-0000-0000307A0000}"/>
    <cellStyle name="Normal 86 4 6 2" xfId="31915" xr:uid="{00000000-0005-0000-0000-0000317A0000}"/>
    <cellStyle name="Normal 86 4 7" xfId="23872" xr:uid="{00000000-0005-0000-0000-0000327A0000}"/>
    <cellStyle name="Normal 86 5" xfId="6092" xr:uid="{00000000-0005-0000-0000-0000337A0000}"/>
    <cellStyle name="Normal 86 5 2" xfId="6093" xr:uid="{00000000-0005-0000-0000-0000347A0000}"/>
    <cellStyle name="Normal 86 5 2 2" xfId="6094" xr:uid="{00000000-0005-0000-0000-0000357A0000}"/>
    <cellStyle name="Normal 86 5 2 2 2" xfId="6095" xr:uid="{00000000-0005-0000-0000-0000367A0000}"/>
    <cellStyle name="Normal 86 5 2 2 2 2" xfId="9946" xr:uid="{00000000-0005-0000-0000-0000377A0000}"/>
    <cellStyle name="Normal 86 5 2 2 2 2 2" xfId="19120" xr:uid="{00000000-0005-0000-0000-0000387A0000}"/>
    <cellStyle name="Normal 86 5 2 2 2 2 2 2" xfId="35694" xr:uid="{00000000-0005-0000-0000-0000397A0000}"/>
    <cellStyle name="Normal 86 5 2 2 2 2 3" xfId="27647" xr:uid="{00000000-0005-0000-0000-00003A7A0000}"/>
    <cellStyle name="Normal 86 5 2 2 2 3" xfId="15372" xr:uid="{00000000-0005-0000-0000-00003B7A0000}"/>
    <cellStyle name="Normal 86 5 2 2 2 3 2" xfId="31926" xr:uid="{00000000-0005-0000-0000-00003C7A0000}"/>
    <cellStyle name="Normal 86 5 2 2 2 4" xfId="23883" xr:uid="{00000000-0005-0000-0000-00003D7A0000}"/>
    <cellStyle name="Normal 86 5 2 2 3" xfId="9947" xr:uid="{00000000-0005-0000-0000-00003E7A0000}"/>
    <cellStyle name="Normal 86 5 2 2 3 2" xfId="19121" xr:uid="{00000000-0005-0000-0000-00003F7A0000}"/>
    <cellStyle name="Normal 86 5 2 2 3 2 2" xfId="35695" xr:uid="{00000000-0005-0000-0000-0000407A0000}"/>
    <cellStyle name="Normal 86 5 2 2 3 3" xfId="27648" xr:uid="{00000000-0005-0000-0000-0000417A0000}"/>
    <cellStyle name="Normal 86 5 2 2 4" xfId="15371" xr:uid="{00000000-0005-0000-0000-0000427A0000}"/>
    <cellStyle name="Normal 86 5 2 2 4 2" xfId="31925" xr:uid="{00000000-0005-0000-0000-0000437A0000}"/>
    <cellStyle name="Normal 86 5 2 2 5" xfId="23882" xr:uid="{00000000-0005-0000-0000-0000447A0000}"/>
    <cellStyle name="Normal 86 5 2 3" xfId="6096" xr:uid="{00000000-0005-0000-0000-0000457A0000}"/>
    <cellStyle name="Normal 86 5 2 3 2" xfId="9948" xr:uid="{00000000-0005-0000-0000-0000467A0000}"/>
    <cellStyle name="Normal 86 5 2 3 2 2" xfId="19122" xr:uid="{00000000-0005-0000-0000-0000477A0000}"/>
    <cellStyle name="Normal 86 5 2 3 2 2 2" xfId="35696" xr:uid="{00000000-0005-0000-0000-0000487A0000}"/>
    <cellStyle name="Normal 86 5 2 3 2 3" xfId="27649" xr:uid="{00000000-0005-0000-0000-0000497A0000}"/>
    <cellStyle name="Normal 86 5 2 3 3" xfId="15373" xr:uid="{00000000-0005-0000-0000-00004A7A0000}"/>
    <cellStyle name="Normal 86 5 2 3 3 2" xfId="31927" xr:uid="{00000000-0005-0000-0000-00004B7A0000}"/>
    <cellStyle name="Normal 86 5 2 3 4" xfId="23884" xr:uid="{00000000-0005-0000-0000-00004C7A0000}"/>
    <cellStyle name="Normal 86 5 2 4" xfId="9949" xr:uid="{00000000-0005-0000-0000-00004D7A0000}"/>
    <cellStyle name="Normal 86 5 2 4 2" xfId="19123" xr:uid="{00000000-0005-0000-0000-00004E7A0000}"/>
    <cellStyle name="Normal 86 5 2 4 2 2" xfId="35697" xr:uid="{00000000-0005-0000-0000-00004F7A0000}"/>
    <cellStyle name="Normal 86 5 2 4 3" xfId="27650" xr:uid="{00000000-0005-0000-0000-0000507A0000}"/>
    <cellStyle name="Normal 86 5 2 5" xfId="15370" xr:uid="{00000000-0005-0000-0000-0000517A0000}"/>
    <cellStyle name="Normal 86 5 2 5 2" xfId="31924" xr:uid="{00000000-0005-0000-0000-0000527A0000}"/>
    <cellStyle name="Normal 86 5 2 6" xfId="23881" xr:uid="{00000000-0005-0000-0000-0000537A0000}"/>
    <cellStyle name="Normal 86 5 3" xfId="6097" xr:uid="{00000000-0005-0000-0000-0000547A0000}"/>
    <cellStyle name="Normal 86 5 3 2" xfId="6098" xr:uid="{00000000-0005-0000-0000-0000557A0000}"/>
    <cellStyle name="Normal 86 5 3 2 2" xfId="9950" xr:uid="{00000000-0005-0000-0000-0000567A0000}"/>
    <cellStyle name="Normal 86 5 3 2 2 2" xfId="19124" xr:uid="{00000000-0005-0000-0000-0000577A0000}"/>
    <cellStyle name="Normal 86 5 3 2 2 2 2" xfId="35698" xr:uid="{00000000-0005-0000-0000-0000587A0000}"/>
    <cellStyle name="Normal 86 5 3 2 2 3" xfId="27651" xr:uid="{00000000-0005-0000-0000-0000597A0000}"/>
    <cellStyle name="Normal 86 5 3 2 3" xfId="15375" xr:uid="{00000000-0005-0000-0000-00005A7A0000}"/>
    <cellStyle name="Normal 86 5 3 2 3 2" xfId="31929" xr:uid="{00000000-0005-0000-0000-00005B7A0000}"/>
    <cellStyle name="Normal 86 5 3 2 4" xfId="23886" xr:uid="{00000000-0005-0000-0000-00005C7A0000}"/>
    <cellStyle name="Normal 86 5 3 3" xfId="9951" xr:uid="{00000000-0005-0000-0000-00005D7A0000}"/>
    <cellStyle name="Normal 86 5 3 3 2" xfId="19125" xr:uid="{00000000-0005-0000-0000-00005E7A0000}"/>
    <cellStyle name="Normal 86 5 3 3 2 2" xfId="35699" xr:uid="{00000000-0005-0000-0000-00005F7A0000}"/>
    <cellStyle name="Normal 86 5 3 3 3" xfId="27652" xr:uid="{00000000-0005-0000-0000-0000607A0000}"/>
    <cellStyle name="Normal 86 5 3 4" xfId="15374" xr:uid="{00000000-0005-0000-0000-0000617A0000}"/>
    <cellStyle name="Normal 86 5 3 4 2" xfId="31928" xr:uid="{00000000-0005-0000-0000-0000627A0000}"/>
    <cellStyle name="Normal 86 5 3 5" xfId="23885" xr:uid="{00000000-0005-0000-0000-0000637A0000}"/>
    <cellStyle name="Normal 86 5 4" xfId="6099" xr:uid="{00000000-0005-0000-0000-0000647A0000}"/>
    <cellStyle name="Normal 86 5 4 2" xfId="9952" xr:uid="{00000000-0005-0000-0000-0000657A0000}"/>
    <cellStyle name="Normal 86 5 4 2 2" xfId="19126" xr:uid="{00000000-0005-0000-0000-0000667A0000}"/>
    <cellStyle name="Normal 86 5 4 2 2 2" xfId="35700" xr:uid="{00000000-0005-0000-0000-0000677A0000}"/>
    <cellStyle name="Normal 86 5 4 2 3" xfId="27653" xr:uid="{00000000-0005-0000-0000-0000687A0000}"/>
    <cellStyle name="Normal 86 5 4 3" xfId="15376" xr:uid="{00000000-0005-0000-0000-0000697A0000}"/>
    <cellStyle name="Normal 86 5 4 3 2" xfId="31930" xr:uid="{00000000-0005-0000-0000-00006A7A0000}"/>
    <cellStyle name="Normal 86 5 4 4" xfId="23887" xr:uid="{00000000-0005-0000-0000-00006B7A0000}"/>
    <cellStyle name="Normal 86 5 5" xfId="9953" xr:uid="{00000000-0005-0000-0000-00006C7A0000}"/>
    <cellStyle name="Normal 86 5 5 2" xfId="19127" xr:uid="{00000000-0005-0000-0000-00006D7A0000}"/>
    <cellStyle name="Normal 86 5 5 2 2" xfId="35701" xr:uid="{00000000-0005-0000-0000-00006E7A0000}"/>
    <cellStyle name="Normal 86 5 5 3" xfId="27654" xr:uid="{00000000-0005-0000-0000-00006F7A0000}"/>
    <cellStyle name="Normal 86 5 6" xfId="15369" xr:uid="{00000000-0005-0000-0000-0000707A0000}"/>
    <cellStyle name="Normal 86 5 6 2" xfId="31923" xr:uid="{00000000-0005-0000-0000-0000717A0000}"/>
    <cellStyle name="Normal 86 5 7" xfId="23880" xr:uid="{00000000-0005-0000-0000-0000727A0000}"/>
    <cellStyle name="Normal 86 6" xfId="6100" xr:uid="{00000000-0005-0000-0000-0000737A0000}"/>
    <cellStyle name="Normal 86 6 2" xfId="6101" xr:uid="{00000000-0005-0000-0000-0000747A0000}"/>
    <cellStyle name="Normal 86 6 2 2" xfId="6102" xr:uid="{00000000-0005-0000-0000-0000757A0000}"/>
    <cellStyle name="Normal 86 6 2 2 2" xfId="9954" xr:uid="{00000000-0005-0000-0000-0000767A0000}"/>
    <cellStyle name="Normal 86 6 2 2 2 2" xfId="19128" xr:uid="{00000000-0005-0000-0000-0000777A0000}"/>
    <cellStyle name="Normal 86 6 2 2 2 2 2" xfId="35702" xr:uid="{00000000-0005-0000-0000-0000787A0000}"/>
    <cellStyle name="Normal 86 6 2 2 2 3" xfId="27655" xr:uid="{00000000-0005-0000-0000-0000797A0000}"/>
    <cellStyle name="Normal 86 6 2 2 3" xfId="15379" xr:uid="{00000000-0005-0000-0000-00007A7A0000}"/>
    <cellStyle name="Normal 86 6 2 2 3 2" xfId="31933" xr:uid="{00000000-0005-0000-0000-00007B7A0000}"/>
    <cellStyle name="Normal 86 6 2 2 4" xfId="23890" xr:uid="{00000000-0005-0000-0000-00007C7A0000}"/>
    <cellStyle name="Normal 86 6 2 3" xfId="9955" xr:uid="{00000000-0005-0000-0000-00007D7A0000}"/>
    <cellStyle name="Normal 86 6 2 3 2" xfId="19129" xr:uid="{00000000-0005-0000-0000-00007E7A0000}"/>
    <cellStyle name="Normal 86 6 2 3 2 2" xfId="35703" xr:uid="{00000000-0005-0000-0000-00007F7A0000}"/>
    <cellStyle name="Normal 86 6 2 3 3" xfId="27656" xr:uid="{00000000-0005-0000-0000-0000807A0000}"/>
    <cellStyle name="Normal 86 6 2 4" xfId="15378" xr:uid="{00000000-0005-0000-0000-0000817A0000}"/>
    <cellStyle name="Normal 86 6 2 4 2" xfId="31932" xr:uid="{00000000-0005-0000-0000-0000827A0000}"/>
    <cellStyle name="Normal 86 6 2 5" xfId="23889" xr:uid="{00000000-0005-0000-0000-0000837A0000}"/>
    <cellStyle name="Normal 86 6 3" xfId="6103" xr:uid="{00000000-0005-0000-0000-0000847A0000}"/>
    <cellStyle name="Normal 86 6 3 2" xfId="9956" xr:uid="{00000000-0005-0000-0000-0000857A0000}"/>
    <cellStyle name="Normal 86 6 3 2 2" xfId="19130" xr:uid="{00000000-0005-0000-0000-0000867A0000}"/>
    <cellStyle name="Normal 86 6 3 2 2 2" xfId="35704" xr:uid="{00000000-0005-0000-0000-0000877A0000}"/>
    <cellStyle name="Normal 86 6 3 2 3" xfId="27657" xr:uid="{00000000-0005-0000-0000-0000887A0000}"/>
    <cellStyle name="Normal 86 6 3 3" xfId="15380" xr:uid="{00000000-0005-0000-0000-0000897A0000}"/>
    <cellStyle name="Normal 86 6 3 3 2" xfId="31934" xr:uid="{00000000-0005-0000-0000-00008A7A0000}"/>
    <cellStyle name="Normal 86 6 3 4" xfId="23891" xr:uid="{00000000-0005-0000-0000-00008B7A0000}"/>
    <cellStyle name="Normal 86 6 4" xfId="9957" xr:uid="{00000000-0005-0000-0000-00008C7A0000}"/>
    <cellStyle name="Normal 86 6 4 2" xfId="19131" xr:uid="{00000000-0005-0000-0000-00008D7A0000}"/>
    <cellStyle name="Normal 86 6 4 2 2" xfId="35705" xr:uid="{00000000-0005-0000-0000-00008E7A0000}"/>
    <cellStyle name="Normal 86 6 4 3" xfId="27658" xr:uid="{00000000-0005-0000-0000-00008F7A0000}"/>
    <cellStyle name="Normal 86 6 5" xfId="15377" xr:uid="{00000000-0005-0000-0000-0000907A0000}"/>
    <cellStyle name="Normal 86 6 5 2" xfId="31931" xr:uid="{00000000-0005-0000-0000-0000917A0000}"/>
    <cellStyle name="Normal 86 6 6" xfId="23888" xr:uid="{00000000-0005-0000-0000-0000927A0000}"/>
    <cellStyle name="Normal 86 7" xfId="6104" xr:uid="{00000000-0005-0000-0000-0000937A0000}"/>
    <cellStyle name="Normal 86 7 2" xfId="6105" xr:uid="{00000000-0005-0000-0000-0000947A0000}"/>
    <cellStyle name="Normal 86 7 2 2" xfId="9958" xr:uid="{00000000-0005-0000-0000-0000957A0000}"/>
    <cellStyle name="Normal 86 7 2 2 2" xfId="19132" xr:uid="{00000000-0005-0000-0000-0000967A0000}"/>
    <cellStyle name="Normal 86 7 2 2 2 2" xfId="35706" xr:uid="{00000000-0005-0000-0000-0000977A0000}"/>
    <cellStyle name="Normal 86 7 2 2 3" xfId="27659" xr:uid="{00000000-0005-0000-0000-0000987A0000}"/>
    <cellStyle name="Normal 86 7 2 3" xfId="15382" xr:uid="{00000000-0005-0000-0000-0000997A0000}"/>
    <cellStyle name="Normal 86 7 2 3 2" xfId="31936" xr:uid="{00000000-0005-0000-0000-00009A7A0000}"/>
    <cellStyle name="Normal 86 7 2 4" xfId="23893" xr:uid="{00000000-0005-0000-0000-00009B7A0000}"/>
    <cellStyle name="Normal 86 7 3" xfId="9959" xr:uid="{00000000-0005-0000-0000-00009C7A0000}"/>
    <cellStyle name="Normal 86 7 3 2" xfId="19133" xr:uid="{00000000-0005-0000-0000-00009D7A0000}"/>
    <cellStyle name="Normal 86 7 3 2 2" xfId="35707" xr:uid="{00000000-0005-0000-0000-00009E7A0000}"/>
    <cellStyle name="Normal 86 7 3 3" xfId="27660" xr:uid="{00000000-0005-0000-0000-00009F7A0000}"/>
    <cellStyle name="Normal 86 7 4" xfId="15381" xr:uid="{00000000-0005-0000-0000-0000A07A0000}"/>
    <cellStyle name="Normal 86 7 4 2" xfId="31935" xr:uid="{00000000-0005-0000-0000-0000A17A0000}"/>
    <cellStyle name="Normal 86 7 5" xfId="23892" xr:uid="{00000000-0005-0000-0000-0000A27A0000}"/>
    <cellStyle name="Normal 86 8" xfId="6106" xr:uid="{00000000-0005-0000-0000-0000A37A0000}"/>
    <cellStyle name="Normal 86 8 2" xfId="9960" xr:uid="{00000000-0005-0000-0000-0000A47A0000}"/>
    <cellStyle name="Normal 86 8 2 2" xfId="19134" xr:uid="{00000000-0005-0000-0000-0000A57A0000}"/>
    <cellStyle name="Normal 86 8 2 2 2" xfId="35708" xr:uid="{00000000-0005-0000-0000-0000A67A0000}"/>
    <cellStyle name="Normal 86 8 2 3" xfId="27661" xr:uid="{00000000-0005-0000-0000-0000A77A0000}"/>
    <cellStyle name="Normal 86 8 3" xfId="15383" xr:uid="{00000000-0005-0000-0000-0000A87A0000}"/>
    <cellStyle name="Normal 86 8 3 2" xfId="31937" xr:uid="{00000000-0005-0000-0000-0000A97A0000}"/>
    <cellStyle name="Normal 86 8 4" xfId="23894" xr:uid="{00000000-0005-0000-0000-0000AA7A0000}"/>
    <cellStyle name="Normal 86 9" xfId="9961" xr:uid="{00000000-0005-0000-0000-0000AB7A0000}"/>
    <cellStyle name="Normal 86 9 2" xfId="19135" xr:uid="{00000000-0005-0000-0000-0000AC7A0000}"/>
    <cellStyle name="Normal 86 9 2 2" xfId="35709" xr:uid="{00000000-0005-0000-0000-0000AD7A0000}"/>
    <cellStyle name="Normal 86 9 3" xfId="27662" xr:uid="{00000000-0005-0000-0000-0000AE7A0000}"/>
    <cellStyle name="Normal 87" xfId="6107" xr:uid="{00000000-0005-0000-0000-0000AF7A0000}"/>
    <cellStyle name="Normal 87 10" xfId="15384" xr:uid="{00000000-0005-0000-0000-0000B07A0000}"/>
    <cellStyle name="Normal 87 10 2" xfId="31938" xr:uid="{00000000-0005-0000-0000-0000B17A0000}"/>
    <cellStyle name="Normal 87 11" xfId="23895" xr:uid="{00000000-0005-0000-0000-0000B27A0000}"/>
    <cellStyle name="Normal 87 2" xfId="6108" xr:uid="{00000000-0005-0000-0000-0000B37A0000}"/>
    <cellStyle name="Normal 87 2 2" xfId="6109" xr:uid="{00000000-0005-0000-0000-0000B47A0000}"/>
    <cellStyle name="Normal 87 2 3" xfId="15385" xr:uid="{00000000-0005-0000-0000-0000B57A0000}"/>
    <cellStyle name="Normal 87 2 3 2" xfId="31939" xr:uid="{00000000-0005-0000-0000-0000B67A0000}"/>
    <cellStyle name="Normal 87 2 4" xfId="23896" xr:uid="{00000000-0005-0000-0000-0000B77A0000}"/>
    <cellStyle name="Normal 87 3" xfId="6110" xr:uid="{00000000-0005-0000-0000-0000B87A0000}"/>
    <cellStyle name="Normal 87 3 2" xfId="6111" xr:uid="{00000000-0005-0000-0000-0000B97A0000}"/>
    <cellStyle name="Normal 87 3 2 2" xfId="6112" xr:uid="{00000000-0005-0000-0000-0000BA7A0000}"/>
    <cellStyle name="Normal 87 3 2 2 2" xfId="6113" xr:uid="{00000000-0005-0000-0000-0000BB7A0000}"/>
    <cellStyle name="Normal 87 3 2 2 2 2" xfId="9962" xr:uid="{00000000-0005-0000-0000-0000BC7A0000}"/>
    <cellStyle name="Normal 87 3 2 2 2 2 2" xfId="19136" xr:uid="{00000000-0005-0000-0000-0000BD7A0000}"/>
    <cellStyle name="Normal 87 3 2 2 2 2 2 2" xfId="35710" xr:uid="{00000000-0005-0000-0000-0000BE7A0000}"/>
    <cellStyle name="Normal 87 3 2 2 2 2 3" xfId="27663" xr:uid="{00000000-0005-0000-0000-0000BF7A0000}"/>
    <cellStyle name="Normal 87 3 2 2 2 3" xfId="15388" xr:uid="{00000000-0005-0000-0000-0000C07A0000}"/>
    <cellStyle name="Normal 87 3 2 2 2 3 2" xfId="31942" xr:uid="{00000000-0005-0000-0000-0000C17A0000}"/>
    <cellStyle name="Normal 87 3 2 2 2 4" xfId="23899" xr:uid="{00000000-0005-0000-0000-0000C27A0000}"/>
    <cellStyle name="Normal 87 3 2 2 3" xfId="9963" xr:uid="{00000000-0005-0000-0000-0000C37A0000}"/>
    <cellStyle name="Normal 87 3 2 2 3 2" xfId="19137" xr:uid="{00000000-0005-0000-0000-0000C47A0000}"/>
    <cellStyle name="Normal 87 3 2 2 3 2 2" xfId="35711" xr:uid="{00000000-0005-0000-0000-0000C57A0000}"/>
    <cellStyle name="Normal 87 3 2 2 3 3" xfId="27664" xr:uid="{00000000-0005-0000-0000-0000C67A0000}"/>
    <cellStyle name="Normal 87 3 2 2 4" xfId="15387" xr:uid="{00000000-0005-0000-0000-0000C77A0000}"/>
    <cellStyle name="Normal 87 3 2 2 4 2" xfId="31941" xr:uid="{00000000-0005-0000-0000-0000C87A0000}"/>
    <cellStyle name="Normal 87 3 2 2 5" xfId="23898" xr:uid="{00000000-0005-0000-0000-0000C97A0000}"/>
    <cellStyle name="Normal 87 3 2 3" xfId="6114" xr:uid="{00000000-0005-0000-0000-0000CA7A0000}"/>
    <cellStyle name="Normal 87 3 2 3 2" xfId="9964" xr:uid="{00000000-0005-0000-0000-0000CB7A0000}"/>
    <cellStyle name="Normal 87 3 2 3 2 2" xfId="19138" xr:uid="{00000000-0005-0000-0000-0000CC7A0000}"/>
    <cellStyle name="Normal 87 3 2 3 2 2 2" xfId="35712" xr:uid="{00000000-0005-0000-0000-0000CD7A0000}"/>
    <cellStyle name="Normal 87 3 2 3 2 3" xfId="27665" xr:uid="{00000000-0005-0000-0000-0000CE7A0000}"/>
    <cellStyle name="Normal 87 3 2 3 3" xfId="15389" xr:uid="{00000000-0005-0000-0000-0000CF7A0000}"/>
    <cellStyle name="Normal 87 3 2 3 3 2" xfId="31943" xr:uid="{00000000-0005-0000-0000-0000D07A0000}"/>
    <cellStyle name="Normal 87 3 2 3 4" xfId="23900" xr:uid="{00000000-0005-0000-0000-0000D17A0000}"/>
    <cellStyle name="Normal 87 3 2 4" xfId="9965" xr:uid="{00000000-0005-0000-0000-0000D27A0000}"/>
    <cellStyle name="Normal 87 3 2 4 2" xfId="19139" xr:uid="{00000000-0005-0000-0000-0000D37A0000}"/>
    <cellStyle name="Normal 87 3 2 4 2 2" xfId="35713" xr:uid="{00000000-0005-0000-0000-0000D47A0000}"/>
    <cellStyle name="Normal 87 3 2 4 3" xfId="27666" xr:uid="{00000000-0005-0000-0000-0000D57A0000}"/>
    <cellStyle name="Normal 87 3 2 5" xfId="15386" xr:uid="{00000000-0005-0000-0000-0000D67A0000}"/>
    <cellStyle name="Normal 87 3 2 5 2" xfId="31940" xr:uid="{00000000-0005-0000-0000-0000D77A0000}"/>
    <cellStyle name="Normal 87 3 2 6" xfId="23897" xr:uid="{00000000-0005-0000-0000-0000D87A0000}"/>
    <cellStyle name="Normal 87 3 3" xfId="6115" xr:uid="{00000000-0005-0000-0000-0000D97A0000}"/>
    <cellStyle name="Normal 87 3 3 2" xfId="6116" xr:uid="{00000000-0005-0000-0000-0000DA7A0000}"/>
    <cellStyle name="Normal 87 3 3 2 2" xfId="9966" xr:uid="{00000000-0005-0000-0000-0000DB7A0000}"/>
    <cellStyle name="Normal 87 3 3 2 2 2" xfId="19140" xr:uid="{00000000-0005-0000-0000-0000DC7A0000}"/>
    <cellStyle name="Normal 87 3 3 2 2 2 2" xfId="35714" xr:uid="{00000000-0005-0000-0000-0000DD7A0000}"/>
    <cellStyle name="Normal 87 3 3 2 2 3" xfId="27667" xr:uid="{00000000-0005-0000-0000-0000DE7A0000}"/>
    <cellStyle name="Normal 87 3 3 2 3" xfId="15391" xr:uid="{00000000-0005-0000-0000-0000DF7A0000}"/>
    <cellStyle name="Normal 87 3 3 2 3 2" xfId="31945" xr:uid="{00000000-0005-0000-0000-0000E07A0000}"/>
    <cellStyle name="Normal 87 3 3 2 4" xfId="23902" xr:uid="{00000000-0005-0000-0000-0000E17A0000}"/>
    <cellStyle name="Normal 87 3 3 3" xfId="9967" xr:uid="{00000000-0005-0000-0000-0000E27A0000}"/>
    <cellStyle name="Normal 87 3 3 3 2" xfId="19141" xr:uid="{00000000-0005-0000-0000-0000E37A0000}"/>
    <cellStyle name="Normal 87 3 3 3 2 2" xfId="35715" xr:uid="{00000000-0005-0000-0000-0000E47A0000}"/>
    <cellStyle name="Normal 87 3 3 3 3" xfId="27668" xr:uid="{00000000-0005-0000-0000-0000E57A0000}"/>
    <cellStyle name="Normal 87 3 3 4" xfId="15390" xr:uid="{00000000-0005-0000-0000-0000E67A0000}"/>
    <cellStyle name="Normal 87 3 3 4 2" xfId="31944" xr:uid="{00000000-0005-0000-0000-0000E77A0000}"/>
    <cellStyle name="Normal 87 3 3 5" xfId="23901" xr:uid="{00000000-0005-0000-0000-0000E87A0000}"/>
    <cellStyle name="Normal 87 3 4" xfId="6117" xr:uid="{00000000-0005-0000-0000-0000E97A0000}"/>
    <cellStyle name="Normal 87 3 4 2" xfId="9968" xr:uid="{00000000-0005-0000-0000-0000EA7A0000}"/>
    <cellStyle name="Normal 87 3 4 2 2" xfId="19142" xr:uid="{00000000-0005-0000-0000-0000EB7A0000}"/>
    <cellStyle name="Normal 87 3 4 2 2 2" xfId="35716" xr:uid="{00000000-0005-0000-0000-0000EC7A0000}"/>
    <cellStyle name="Normal 87 3 4 2 3" xfId="27669" xr:uid="{00000000-0005-0000-0000-0000ED7A0000}"/>
    <cellStyle name="Normal 87 3 4 3" xfId="15392" xr:uid="{00000000-0005-0000-0000-0000EE7A0000}"/>
    <cellStyle name="Normal 87 3 4 3 2" xfId="31946" xr:uid="{00000000-0005-0000-0000-0000EF7A0000}"/>
    <cellStyle name="Normal 87 3 4 4" xfId="23903" xr:uid="{00000000-0005-0000-0000-0000F07A0000}"/>
    <cellStyle name="Normal 87 3 5" xfId="6118" xr:uid="{00000000-0005-0000-0000-0000F17A0000}"/>
    <cellStyle name="Normal 87 3 5 2" xfId="15393" xr:uid="{00000000-0005-0000-0000-0000F27A0000}"/>
    <cellStyle name="Normal 87 3 5 2 2" xfId="31947" xr:uid="{00000000-0005-0000-0000-0000F37A0000}"/>
    <cellStyle name="Normal 87 3 5 3" xfId="23904" xr:uid="{00000000-0005-0000-0000-0000F47A0000}"/>
    <cellStyle name="Normal 87 4" xfId="6119" xr:uid="{00000000-0005-0000-0000-0000F57A0000}"/>
    <cellStyle name="Normal 87 4 2" xfId="6120" xr:uid="{00000000-0005-0000-0000-0000F67A0000}"/>
    <cellStyle name="Normal 87 4 2 2" xfId="6121" xr:uid="{00000000-0005-0000-0000-0000F77A0000}"/>
    <cellStyle name="Normal 87 4 2 2 2" xfId="6122" xr:uid="{00000000-0005-0000-0000-0000F87A0000}"/>
    <cellStyle name="Normal 87 4 2 2 2 2" xfId="9969" xr:uid="{00000000-0005-0000-0000-0000F97A0000}"/>
    <cellStyle name="Normal 87 4 2 2 2 2 2" xfId="19143" xr:uid="{00000000-0005-0000-0000-0000FA7A0000}"/>
    <cellStyle name="Normal 87 4 2 2 2 2 2 2" xfId="35717" xr:uid="{00000000-0005-0000-0000-0000FB7A0000}"/>
    <cellStyle name="Normal 87 4 2 2 2 2 3" xfId="27670" xr:uid="{00000000-0005-0000-0000-0000FC7A0000}"/>
    <cellStyle name="Normal 87 4 2 2 2 3" xfId="15397" xr:uid="{00000000-0005-0000-0000-0000FD7A0000}"/>
    <cellStyle name="Normal 87 4 2 2 2 3 2" xfId="31951" xr:uid="{00000000-0005-0000-0000-0000FE7A0000}"/>
    <cellStyle name="Normal 87 4 2 2 2 4" xfId="23908" xr:uid="{00000000-0005-0000-0000-0000FF7A0000}"/>
    <cellStyle name="Normal 87 4 2 2 3" xfId="9970" xr:uid="{00000000-0005-0000-0000-0000007B0000}"/>
    <cellStyle name="Normal 87 4 2 2 3 2" xfId="19144" xr:uid="{00000000-0005-0000-0000-0000017B0000}"/>
    <cellStyle name="Normal 87 4 2 2 3 2 2" xfId="35718" xr:uid="{00000000-0005-0000-0000-0000027B0000}"/>
    <cellStyle name="Normal 87 4 2 2 3 3" xfId="27671" xr:uid="{00000000-0005-0000-0000-0000037B0000}"/>
    <cellStyle name="Normal 87 4 2 2 4" xfId="15396" xr:uid="{00000000-0005-0000-0000-0000047B0000}"/>
    <cellStyle name="Normal 87 4 2 2 4 2" xfId="31950" xr:uid="{00000000-0005-0000-0000-0000057B0000}"/>
    <cellStyle name="Normal 87 4 2 2 5" xfId="23907" xr:uid="{00000000-0005-0000-0000-0000067B0000}"/>
    <cellStyle name="Normal 87 4 2 3" xfId="6123" xr:uid="{00000000-0005-0000-0000-0000077B0000}"/>
    <cellStyle name="Normal 87 4 2 3 2" xfId="9971" xr:uid="{00000000-0005-0000-0000-0000087B0000}"/>
    <cellStyle name="Normal 87 4 2 3 2 2" xfId="19145" xr:uid="{00000000-0005-0000-0000-0000097B0000}"/>
    <cellStyle name="Normal 87 4 2 3 2 2 2" xfId="35719" xr:uid="{00000000-0005-0000-0000-00000A7B0000}"/>
    <cellStyle name="Normal 87 4 2 3 2 3" xfId="27672" xr:uid="{00000000-0005-0000-0000-00000B7B0000}"/>
    <cellStyle name="Normal 87 4 2 3 3" xfId="15398" xr:uid="{00000000-0005-0000-0000-00000C7B0000}"/>
    <cellStyle name="Normal 87 4 2 3 3 2" xfId="31952" xr:uid="{00000000-0005-0000-0000-00000D7B0000}"/>
    <cellStyle name="Normal 87 4 2 3 4" xfId="23909" xr:uid="{00000000-0005-0000-0000-00000E7B0000}"/>
    <cellStyle name="Normal 87 4 2 4" xfId="9972" xr:uid="{00000000-0005-0000-0000-00000F7B0000}"/>
    <cellStyle name="Normal 87 4 2 4 2" xfId="19146" xr:uid="{00000000-0005-0000-0000-0000107B0000}"/>
    <cellStyle name="Normal 87 4 2 4 2 2" xfId="35720" xr:uid="{00000000-0005-0000-0000-0000117B0000}"/>
    <cellStyle name="Normal 87 4 2 4 3" xfId="27673" xr:uid="{00000000-0005-0000-0000-0000127B0000}"/>
    <cellStyle name="Normal 87 4 2 5" xfId="15395" xr:uid="{00000000-0005-0000-0000-0000137B0000}"/>
    <cellStyle name="Normal 87 4 2 5 2" xfId="31949" xr:uid="{00000000-0005-0000-0000-0000147B0000}"/>
    <cellStyle name="Normal 87 4 2 6" xfId="23906" xr:uid="{00000000-0005-0000-0000-0000157B0000}"/>
    <cellStyle name="Normal 87 4 3" xfId="6124" xr:uid="{00000000-0005-0000-0000-0000167B0000}"/>
    <cellStyle name="Normal 87 4 3 2" xfId="6125" xr:uid="{00000000-0005-0000-0000-0000177B0000}"/>
    <cellStyle name="Normal 87 4 3 2 2" xfId="9973" xr:uid="{00000000-0005-0000-0000-0000187B0000}"/>
    <cellStyle name="Normal 87 4 3 2 2 2" xfId="19147" xr:uid="{00000000-0005-0000-0000-0000197B0000}"/>
    <cellStyle name="Normal 87 4 3 2 2 2 2" xfId="35721" xr:uid="{00000000-0005-0000-0000-00001A7B0000}"/>
    <cellStyle name="Normal 87 4 3 2 2 3" xfId="27674" xr:uid="{00000000-0005-0000-0000-00001B7B0000}"/>
    <cellStyle name="Normal 87 4 3 2 3" xfId="15400" xr:uid="{00000000-0005-0000-0000-00001C7B0000}"/>
    <cellStyle name="Normal 87 4 3 2 3 2" xfId="31954" xr:uid="{00000000-0005-0000-0000-00001D7B0000}"/>
    <cellStyle name="Normal 87 4 3 2 4" xfId="23911" xr:uid="{00000000-0005-0000-0000-00001E7B0000}"/>
    <cellStyle name="Normal 87 4 3 3" xfId="9974" xr:uid="{00000000-0005-0000-0000-00001F7B0000}"/>
    <cellStyle name="Normal 87 4 3 3 2" xfId="19148" xr:uid="{00000000-0005-0000-0000-0000207B0000}"/>
    <cellStyle name="Normal 87 4 3 3 2 2" xfId="35722" xr:uid="{00000000-0005-0000-0000-0000217B0000}"/>
    <cellStyle name="Normal 87 4 3 3 3" xfId="27675" xr:uid="{00000000-0005-0000-0000-0000227B0000}"/>
    <cellStyle name="Normal 87 4 3 4" xfId="15399" xr:uid="{00000000-0005-0000-0000-0000237B0000}"/>
    <cellStyle name="Normal 87 4 3 4 2" xfId="31953" xr:uid="{00000000-0005-0000-0000-0000247B0000}"/>
    <cellStyle name="Normal 87 4 3 5" xfId="23910" xr:uid="{00000000-0005-0000-0000-0000257B0000}"/>
    <cellStyle name="Normal 87 4 4" xfId="6126" xr:uid="{00000000-0005-0000-0000-0000267B0000}"/>
    <cellStyle name="Normal 87 4 4 2" xfId="9975" xr:uid="{00000000-0005-0000-0000-0000277B0000}"/>
    <cellStyle name="Normal 87 4 4 2 2" xfId="19149" xr:uid="{00000000-0005-0000-0000-0000287B0000}"/>
    <cellStyle name="Normal 87 4 4 2 2 2" xfId="35723" xr:uid="{00000000-0005-0000-0000-0000297B0000}"/>
    <cellStyle name="Normal 87 4 4 2 3" xfId="27676" xr:uid="{00000000-0005-0000-0000-00002A7B0000}"/>
    <cellStyle name="Normal 87 4 4 3" xfId="15401" xr:uid="{00000000-0005-0000-0000-00002B7B0000}"/>
    <cellStyle name="Normal 87 4 4 3 2" xfId="31955" xr:uid="{00000000-0005-0000-0000-00002C7B0000}"/>
    <cellStyle name="Normal 87 4 4 4" xfId="23912" xr:uid="{00000000-0005-0000-0000-00002D7B0000}"/>
    <cellStyle name="Normal 87 4 5" xfId="9976" xr:uid="{00000000-0005-0000-0000-00002E7B0000}"/>
    <cellStyle name="Normal 87 4 5 2" xfId="19150" xr:uid="{00000000-0005-0000-0000-00002F7B0000}"/>
    <cellStyle name="Normal 87 4 5 2 2" xfId="35724" xr:uid="{00000000-0005-0000-0000-0000307B0000}"/>
    <cellStyle name="Normal 87 4 5 3" xfId="27677" xr:uid="{00000000-0005-0000-0000-0000317B0000}"/>
    <cellStyle name="Normal 87 4 6" xfId="15394" xr:uid="{00000000-0005-0000-0000-0000327B0000}"/>
    <cellStyle name="Normal 87 4 6 2" xfId="31948" xr:uid="{00000000-0005-0000-0000-0000337B0000}"/>
    <cellStyle name="Normal 87 4 7" xfId="23905" xr:uid="{00000000-0005-0000-0000-0000347B0000}"/>
    <cellStyle name="Normal 87 5" xfId="6127" xr:uid="{00000000-0005-0000-0000-0000357B0000}"/>
    <cellStyle name="Normal 87 5 2" xfId="6128" xr:uid="{00000000-0005-0000-0000-0000367B0000}"/>
    <cellStyle name="Normal 87 5 2 2" xfId="6129" xr:uid="{00000000-0005-0000-0000-0000377B0000}"/>
    <cellStyle name="Normal 87 5 2 2 2" xfId="6130" xr:uid="{00000000-0005-0000-0000-0000387B0000}"/>
    <cellStyle name="Normal 87 5 2 2 2 2" xfId="9977" xr:uid="{00000000-0005-0000-0000-0000397B0000}"/>
    <cellStyle name="Normal 87 5 2 2 2 2 2" xfId="19151" xr:uid="{00000000-0005-0000-0000-00003A7B0000}"/>
    <cellStyle name="Normal 87 5 2 2 2 2 2 2" xfId="35725" xr:uid="{00000000-0005-0000-0000-00003B7B0000}"/>
    <cellStyle name="Normal 87 5 2 2 2 2 3" xfId="27678" xr:uid="{00000000-0005-0000-0000-00003C7B0000}"/>
    <cellStyle name="Normal 87 5 2 2 2 3" xfId="15405" xr:uid="{00000000-0005-0000-0000-00003D7B0000}"/>
    <cellStyle name="Normal 87 5 2 2 2 3 2" xfId="31959" xr:uid="{00000000-0005-0000-0000-00003E7B0000}"/>
    <cellStyle name="Normal 87 5 2 2 2 4" xfId="23916" xr:uid="{00000000-0005-0000-0000-00003F7B0000}"/>
    <cellStyle name="Normal 87 5 2 2 3" xfId="9978" xr:uid="{00000000-0005-0000-0000-0000407B0000}"/>
    <cellStyle name="Normal 87 5 2 2 3 2" xfId="19152" xr:uid="{00000000-0005-0000-0000-0000417B0000}"/>
    <cellStyle name="Normal 87 5 2 2 3 2 2" xfId="35726" xr:uid="{00000000-0005-0000-0000-0000427B0000}"/>
    <cellStyle name="Normal 87 5 2 2 3 3" xfId="27679" xr:uid="{00000000-0005-0000-0000-0000437B0000}"/>
    <cellStyle name="Normal 87 5 2 2 4" xfId="15404" xr:uid="{00000000-0005-0000-0000-0000447B0000}"/>
    <cellStyle name="Normal 87 5 2 2 4 2" xfId="31958" xr:uid="{00000000-0005-0000-0000-0000457B0000}"/>
    <cellStyle name="Normal 87 5 2 2 5" xfId="23915" xr:uid="{00000000-0005-0000-0000-0000467B0000}"/>
    <cellStyle name="Normal 87 5 2 3" xfId="6131" xr:uid="{00000000-0005-0000-0000-0000477B0000}"/>
    <cellStyle name="Normal 87 5 2 3 2" xfId="9979" xr:uid="{00000000-0005-0000-0000-0000487B0000}"/>
    <cellStyle name="Normal 87 5 2 3 2 2" xfId="19153" xr:uid="{00000000-0005-0000-0000-0000497B0000}"/>
    <cellStyle name="Normal 87 5 2 3 2 2 2" xfId="35727" xr:uid="{00000000-0005-0000-0000-00004A7B0000}"/>
    <cellStyle name="Normal 87 5 2 3 2 3" xfId="27680" xr:uid="{00000000-0005-0000-0000-00004B7B0000}"/>
    <cellStyle name="Normal 87 5 2 3 3" xfId="15406" xr:uid="{00000000-0005-0000-0000-00004C7B0000}"/>
    <cellStyle name="Normal 87 5 2 3 3 2" xfId="31960" xr:uid="{00000000-0005-0000-0000-00004D7B0000}"/>
    <cellStyle name="Normal 87 5 2 3 4" xfId="23917" xr:uid="{00000000-0005-0000-0000-00004E7B0000}"/>
    <cellStyle name="Normal 87 5 2 4" xfId="9980" xr:uid="{00000000-0005-0000-0000-00004F7B0000}"/>
    <cellStyle name="Normal 87 5 2 4 2" xfId="19154" xr:uid="{00000000-0005-0000-0000-0000507B0000}"/>
    <cellStyle name="Normal 87 5 2 4 2 2" xfId="35728" xr:uid="{00000000-0005-0000-0000-0000517B0000}"/>
    <cellStyle name="Normal 87 5 2 4 3" xfId="27681" xr:uid="{00000000-0005-0000-0000-0000527B0000}"/>
    <cellStyle name="Normal 87 5 2 5" xfId="15403" xr:uid="{00000000-0005-0000-0000-0000537B0000}"/>
    <cellStyle name="Normal 87 5 2 5 2" xfId="31957" xr:uid="{00000000-0005-0000-0000-0000547B0000}"/>
    <cellStyle name="Normal 87 5 2 6" xfId="23914" xr:uid="{00000000-0005-0000-0000-0000557B0000}"/>
    <cellStyle name="Normal 87 5 3" xfId="6132" xr:uid="{00000000-0005-0000-0000-0000567B0000}"/>
    <cellStyle name="Normal 87 5 3 2" xfId="6133" xr:uid="{00000000-0005-0000-0000-0000577B0000}"/>
    <cellStyle name="Normal 87 5 3 2 2" xfId="9981" xr:uid="{00000000-0005-0000-0000-0000587B0000}"/>
    <cellStyle name="Normal 87 5 3 2 2 2" xfId="19155" xr:uid="{00000000-0005-0000-0000-0000597B0000}"/>
    <cellStyle name="Normal 87 5 3 2 2 2 2" xfId="35729" xr:uid="{00000000-0005-0000-0000-00005A7B0000}"/>
    <cellStyle name="Normal 87 5 3 2 2 3" xfId="27682" xr:uid="{00000000-0005-0000-0000-00005B7B0000}"/>
    <cellStyle name="Normal 87 5 3 2 3" xfId="15408" xr:uid="{00000000-0005-0000-0000-00005C7B0000}"/>
    <cellStyle name="Normal 87 5 3 2 3 2" xfId="31962" xr:uid="{00000000-0005-0000-0000-00005D7B0000}"/>
    <cellStyle name="Normal 87 5 3 2 4" xfId="23919" xr:uid="{00000000-0005-0000-0000-00005E7B0000}"/>
    <cellStyle name="Normal 87 5 3 3" xfId="9982" xr:uid="{00000000-0005-0000-0000-00005F7B0000}"/>
    <cellStyle name="Normal 87 5 3 3 2" xfId="19156" xr:uid="{00000000-0005-0000-0000-0000607B0000}"/>
    <cellStyle name="Normal 87 5 3 3 2 2" xfId="35730" xr:uid="{00000000-0005-0000-0000-0000617B0000}"/>
    <cellStyle name="Normal 87 5 3 3 3" xfId="27683" xr:uid="{00000000-0005-0000-0000-0000627B0000}"/>
    <cellStyle name="Normal 87 5 3 4" xfId="15407" xr:uid="{00000000-0005-0000-0000-0000637B0000}"/>
    <cellStyle name="Normal 87 5 3 4 2" xfId="31961" xr:uid="{00000000-0005-0000-0000-0000647B0000}"/>
    <cellStyle name="Normal 87 5 3 5" xfId="23918" xr:uid="{00000000-0005-0000-0000-0000657B0000}"/>
    <cellStyle name="Normal 87 5 4" xfId="6134" xr:uid="{00000000-0005-0000-0000-0000667B0000}"/>
    <cellStyle name="Normal 87 5 4 2" xfId="9983" xr:uid="{00000000-0005-0000-0000-0000677B0000}"/>
    <cellStyle name="Normal 87 5 4 2 2" xfId="19157" xr:uid="{00000000-0005-0000-0000-0000687B0000}"/>
    <cellStyle name="Normal 87 5 4 2 2 2" xfId="35731" xr:uid="{00000000-0005-0000-0000-0000697B0000}"/>
    <cellStyle name="Normal 87 5 4 2 3" xfId="27684" xr:uid="{00000000-0005-0000-0000-00006A7B0000}"/>
    <cellStyle name="Normal 87 5 4 3" xfId="15409" xr:uid="{00000000-0005-0000-0000-00006B7B0000}"/>
    <cellStyle name="Normal 87 5 4 3 2" xfId="31963" xr:uid="{00000000-0005-0000-0000-00006C7B0000}"/>
    <cellStyle name="Normal 87 5 4 4" xfId="23920" xr:uid="{00000000-0005-0000-0000-00006D7B0000}"/>
    <cellStyle name="Normal 87 5 5" xfId="9984" xr:uid="{00000000-0005-0000-0000-00006E7B0000}"/>
    <cellStyle name="Normal 87 5 5 2" xfId="19158" xr:uid="{00000000-0005-0000-0000-00006F7B0000}"/>
    <cellStyle name="Normal 87 5 5 2 2" xfId="35732" xr:uid="{00000000-0005-0000-0000-0000707B0000}"/>
    <cellStyle name="Normal 87 5 5 3" xfId="27685" xr:uid="{00000000-0005-0000-0000-0000717B0000}"/>
    <cellStyle name="Normal 87 5 6" xfId="15402" xr:uid="{00000000-0005-0000-0000-0000727B0000}"/>
    <cellStyle name="Normal 87 5 6 2" xfId="31956" xr:uid="{00000000-0005-0000-0000-0000737B0000}"/>
    <cellStyle name="Normal 87 5 7" xfId="23913" xr:uid="{00000000-0005-0000-0000-0000747B0000}"/>
    <cellStyle name="Normal 87 6" xfId="6135" xr:uid="{00000000-0005-0000-0000-0000757B0000}"/>
    <cellStyle name="Normal 87 6 2" xfId="6136" xr:uid="{00000000-0005-0000-0000-0000767B0000}"/>
    <cellStyle name="Normal 87 6 2 2" xfId="6137" xr:uid="{00000000-0005-0000-0000-0000777B0000}"/>
    <cellStyle name="Normal 87 6 2 2 2" xfId="9985" xr:uid="{00000000-0005-0000-0000-0000787B0000}"/>
    <cellStyle name="Normal 87 6 2 2 2 2" xfId="19159" xr:uid="{00000000-0005-0000-0000-0000797B0000}"/>
    <cellStyle name="Normal 87 6 2 2 2 2 2" xfId="35733" xr:uid="{00000000-0005-0000-0000-00007A7B0000}"/>
    <cellStyle name="Normal 87 6 2 2 2 3" xfId="27686" xr:uid="{00000000-0005-0000-0000-00007B7B0000}"/>
    <cellStyle name="Normal 87 6 2 2 3" xfId="15412" xr:uid="{00000000-0005-0000-0000-00007C7B0000}"/>
    <cellStyle name="Normal 87 6 2 2 3 2" xfId="31966" xr:uid="{00000000-0005-0000-0000-00007D7B0000}"/>
    <cellStyle name="Normal 87 6 2 2 4" xfId="23923" xr:uid="{00000000-0005-0000-0000-00007E7B0000}"/>
    <cellStyle name="Normal 87 6 2 3" xfId="9986" xr:uid="{00000000-0005-0000-0000-00007F7B0000}"/>
    <cellStyle name="Normal 87 6 2 3 2" xfId="19160" xr:uid="{00000000-0005-0000-0000-0000807B0000}"/>
    <cellStyle name="Normal 87 6 2 3 2 2" xfId="35734" xr:uid="{00000000-0005-0000-0000-0000817B0000}"/>
    <cellStyle name="Normal 87 6 2 3 3" xfId="27687" xr:uid="{00000000-0005-0000-0000-0000827B0000}"/>
    <cellStyle name="Normal 87 6 2 4" xfId="15411" xr:uid="{00000000-0005-0000-0000-0000837B0000}"/>
    <cellStyle name="Normal 87 6 2 4 2" xfId="31965" xr:uid="{00000000-0005-0000-0000-0000847B0000}"/>
    <cellStyle name="Normal 87 6 2 5" xfId="23922" xr:uid="{00000000-0005-0000-0000-0000857B0000}"/>
    <cellStyle name="Normal 87 6 3" xfId="6138" xr:uid="{00000000-0005-0000-0000-0000867B0000}"/>
    <cellStyle name="Normal 87 6 3 2" xfId="9987" xr:uid="{00000000-0005-0000-0000-0000877B0000}"/>
    <cellStyle name="Normal 87 6 3 2 2" xfId="19161" xr:uid="{00000000-0005-0000-0000-0000887B0000}"/>
    <cellStyle name="Normal 87 6 3 2 2 2" xfId="35735" xr:uid="{00000000-0005-0000-0000-0000897B0000}"/>
    <cellStyle name="Normal 87 6 3 2 3" xfId="27688" xr:uid="{00000000-0005-0000-0000-00008A7B0000}"/>
    <cellStyle name="Normal 87 6 3 3" xfId="15413" xr:uid="{00000000-0005-0000-0000-00008B7B0000}"/>
    <cellStyle name="Normal 87 6 3 3 2" xfId="31967" xr:uid="{00000000-0005-0000-0000-00008C7B0000}"/>
    <cellStyle name="Normal 87 6 3 4" xfId="23924" xr:uid="{00000000-0005-0000-0000-00008D7B0000}"/>
    <cellStyle name="Normal 87 6 4" xfId="9988" xr:uid="{00000000-0005-0000-0000-00008E7B0000}"/>
    <cellStyle name="Normal 87 6 4 2" xfId="19162" xr:uid="{00000000-0005-0000-0000-00008F7B0000}"/>
    <cellStyle name="Normal 87 6 4 2 2" xfId="35736" xr:uid="{00000000-0005-0000-0000-0000907B0000}"/>
    <cellStyle name="Normal 87 6 4 3" xfId="27689" xr:uid="{00000000-0005-0000-0000-0000917B0000}"/>
    <cellStyle name="Normal 87 6 5" xfId="15410" xr:uid="{00000000-0005-0000-0000-0000927B0000}"/>
    <cellStyle name="Normal 87 6 5 2" xfId="31964" xr:uid="{00000000-0005-0000-0000-0000937B0000}"/>
    <cellStyle name="Normal 87 6 6" xfId="23921" xr:uid="{00000000-0005-0000-0000-0000947B0000}"/>
    <cellStyle name="Normal 87 7" xfId="6139" xr:uid="{00000000-0005-0000-0000-0000957B0000}"/>
    <cellStyle name="Normal 87 7 2" xfId="6140" xr:uid="{00000000-0005-0000-0000-0000967B0000}"/>
    <cellStyle name="Normal 87 7 2 2" xfId="9989" xr:uid="{00000000-0005-0000-0000-0000977B0000}"/>
    <cellStyle name="Normal 87 7 2 2 2" xfId="19163" xr:uid="{00000000-0005-0000-0000-0000987B0000}"/>
    <cellStyle name="Normal 87 7 2 2 2 2" xfId="35737" xr:uid="{00000000-0005-0000-0000-0000997B0000}"/>
    <cellStyle name="Normal 87 7 2 2 3" xfId="27690" xr:uid="{00000000-0005-0000-0000-00009A7B0000}"/>
    <cellStyle name="Normal 87 7 2 3" xfId="15415" xr:uid="{00000000-0005-0000-0000-00009B7B0000}"/>
    <cellStyle name="Normal 87 7 2 3 2" xfId="31969" xr:uid="{00000000-0005-0000-0000-00009C7B0000}"/>
    <cellStyle name="Normal 87 7 2 4" xfId="23926" xr:uid="{00000000-0005-0000-0000-00009D7B0000}"/>
    <cellStyle name="Normal 87 7 3" xfId="9990" xr:uid="{00000000-0005-0000-0000-00009E7B0000}"/>
    <cellStyle name="Normal 87 7 3 2" xfId="19164" xr:uid="{00000000-0005-0000-0000-00009F7B0000}"/>
    <cellStyle name="Normal 87 7 3 2 2" xfId="35738" xr:uid="{00000000-0005-0000-0000-0000A07B0000}"/>
    <cellStyle name="Normal 87 7 3 3" xfId="27691" xr:uid="{00000000-0005-0000-0000-0000A17B0000}"/>
    <cellStyle name="Normal 87 7 4" xfId="15414" xr:uid="{00000000-0005-0000-0000-0000A27B0000}"/>
    <cellStyle name="Normal 87 7 4 2" xfId="31968" xr:uid="{00000000-0005-0000-0000-0000A37B0000}"/>
    <cellStyle name="Normal 87 7 5" xfId="23925" xr:uid="{00000000-0005-0000-0000-0000A47B0000}"/>
    <cellStyle name="Normal 87 8" xfId="6141" xr:uid="{00000000-0005-0000-0000-0000A57B0000}"/>
    <cellStyle name="Normal 87 8 2" xfId="9991" xr:uid="{00000000-0005-0000-0000-0000A67B0000}"/>
    <cellStyle name="Normal 87 8 2 2" xfId="19165" xr:uid="{00000000-0005-0000-0000-0000A77B0000}"/>
    <cellStyle name="Normal 87 8 2 2 2" xfId="35739" xr:uid="{00000000-0005-0000-0000-0000A87B0000}"/>
    <cellStyle name="Normal 87 8 2 3" xfId="27692" xr:uid="{00000000-0005-0000-0000-0000A97B0000}"/>
    <cellStyle name="Normal 87 8 3" xfId="15416" xr:uid="{00000000-0005-0000-0000-0000AA7B0000}"/>
    <cellStyle name="Normal 87 8 3 2" xfId="31970" xr:uid="{00000000-0005-0000-0000-0000AB7B0000}"/>
    <cellStyle name="Normal 87 8 4" xfId="23927" xr:uid="{00000000-0005-0000-0000-0000AC7B0000}"/>
    <cellStyle name="Normal 87 9" xfId="9992" xr:uid="{00000000-0005-0000-0000-0000AD7B0000}"/>
    <cellStyle name="Normal 87 9 2" xfId="19166" xr:uid="{00000000-0005-0000-0000-0000AE7B0000}"/>
    <cellStyle name="Normal 87 9 2 2" xfId="35740" xr:uid="{00000000-0005-0000-0000-0000AF7B0000}"/>
    <cellStyle name="Normal 87 9 3" xfId="27693" xr:uid="{00000000-0005-0000-0000-0000B07B0000}"/>
    <cellStyle name="Normal 88" xfId="6142" xr:uid="{00000000-0005-0000-0000-0000B17B0000}"/>
    <cellStyle name="Normal 88 10" xfId="15417" xr:uid="{00000000-0005-0000-0000-0000B27B0000}"/>
    <cellStyle name="Normal 88 10 2" xfId="31971" xr:uid="{00000000-0005-0000-0000-0000B37B0000}"/>
    <cellStyle name="Normal 88 11" xfId="23928" xr:uid="{00000000-0005-0000-0000-0000B47B0000}"/>
    <cellStyle name="Normal 88 2" xfId="6143" xr:uid="{00000000-0005-0000-0000-0000B57B0000}"/>
    <cellStyle name="Normal 88 2 2" xfId="6144" xr:uid="{00000000-0005-0000-0000-0000B67B0000}"/>
    <cellStyle name="Normal 88 2 3" xfId="15418" xr:uid="{00000000-0005-0000-0000-0000B77B0000}"/>
    <cellStyle name="Normal 88 2 3 2" xfId="31972" xr:uid="{00000000-0005-0000-0000-0000B87B0000}"/>
    <cellStyle name="Normal 88 2 4" xfId="23929" xr:uid="{00000000-0005-0000-0000-0000B97B0000}"/>
    <cellStyle name="Normal 88 3" xfId="6145" xr:uid="{00000000-0005-0000-0000-0000BA7B0000}"/>
    <cellStyle name="Normal 88 3 2" xfId="6146" xr:uid="{00000000-0005-0000-0000-0000BB7B0000}"/>
    <cellStyle name="Normal 88 3 2 2" xfId="6147" xr:uid="{00000000-0005-0000-0000-0000BC7B0000}"/>
    <cellStyle name="Normal 88 3 2 2 2" xfId="6148" xr:uid="{00000000-0005-0000-0000-0000BD7B0000}"/>
    <cellStyle name="Normal 88 3 2 2 2 2" xfId="9993" xr:uid="{00000000-0005-0000-0000-0000BE7B0000}"/>
    <cellStyle name="Normal 88 3 2 2 2 2 2" xfId="19167" xr:uid="{00000000-0005-0000-0000-0000BF7B0000}"/>
    <cellStyle name="Normal 88 3 2 2 2 2 2 2" xfId="35741" xr:uid="{00000000-0005-0000-0000-0000C07B0000}"/>
    <cellStyle name="Normal 88 3 2 2 2 2 3" xfId="27694" xr:uid="{00000000-0005-0000-0000-0000C17B0000}"/>
    <cellStyle name="Normal 88 3 2 2 2 3" xfId="15421" xr:uid="{00000000-0005-0000-0000-0000C27B0000}"/>
    <cellStyle name="Normal 88 3 2 2 2 3 2" xfId="31975" xr:uid="{00000000-0005-0000-0000-0000C37B0000}"/>
    <cellStyle name="Normal 88 3 2 2 2 4" xfId="23932" xr:uid="{00000000-0005-0000-0000-0000C47B0000}"/>
    <cellStyle name="Normal 88 3 2 2 3" xfId="9994" xr:uid="{00000000-0005-0000-0000-0000C57B0000}"/>
    <cellStyle name="Normal 88 3 2 2 3 2" xfId="19168" xr:uid="{00000000-0005-0000-0000-0000C67B0000}"/>
    <cellStyle name="Normal 88 3 2 2 3 2 2" xfId="35742" xr:uid="{00000000-0005-0000-0000-0000C77B0000}"/>
    <cellStyle name="Normal 88 3 2 2 3 3" xfId="27695" xr:uid="{00000000-0005-0000-0000-0000C87B0000}"/>
    <cellStyle name="Normal 88 3 2 2 4" xfId="15420" xr:uid="{00000000-0005-0000-0000-0000C97B0000}"/>
    <cellStyle name="Normal 88 3 2 2 4 2" xfId="31974" xr:uid="{00000000-0005-0000-0000-0000CA7B0000}"/>
    <cellStyle name="Normal 88 3 2 2 5" xfId="23931" xr:uid="{00000000-0005-0000-0000-0000CB7B0000}"/>
    <cellStyle name="Normal 88 3 2 3" xfId="6149" xr:uid="{00000000-0005-0000-0000-0000CC7B0000}"/>
    <cellStyle name="Normal 88 3 2 3 2" xfId="9995" xr:uid="{00000000-0005-0000-0000-0000CD7B0000}"/>
    <cellStyle name="Normal 88 3 2 3 2 2" xfId="19169" xr:uid="{00000000-0005-0000-0000-0000CE7B0000}"/>
    <cellStyle name="Normal 88 3 2 3 2 2 2" xfId="35743" xr:uid="{00000000-0005-0000-0000-0000CF7B0000}"/>
    <cellStyle name="Normal 88 3 2 3 2 3" xfId="27696" xr:uid="{00000000-0005-0000-0000-0000D07B0000}"/>
    <cellStyle name="Normal 88 3 2 3 3" xfId="15422" xr:uid="{00000000-0005-0000-0000-0000D17B0000}"/>
    <cellStyle name="Normal 88 3 2 3 3 2" xfId="31976" xr:uid="{00000000-0005-0000-0000-0000D27B0000}"/>
    <cellStyle name="Normal 88 3 2 3 4" xfId="23933" xr:uid="{00000000-0005-0000-0000-0000D37B0000}"/>
    <cellStyle name="Normal 88 3 2 4" xfId="9996" xr:uid="{00000000-0005-0000-0000-0000D47B0000}"/>
    <cellStyle name="Normal 88 3 2 4 2" xfId="19170" xr:uid="{00000000-0005-0000-0000-0000D57B0000}"/>
    <cellStyle name="Normal 88 3 2 4 2 2" xfId="35744" xr:uid="{00000000-0005-0000-0000-0000D67B0000}"/>
    <cellStyle name="Normal 88 3 2 4 3" xfId="27697" xr:uid="{00000000-0005-0000-0000-0000D77B0000}"/>
    <cellStyle name="Normal 88 3 2 5" xfId="15419" xr:uid="{00000000-0005-0000-0000-0000D87B0000}"/>
    <cellStyle name="Normal 88 3 2 5 2" xfId="31973" xr:uid="{00000000-0005-0000-0000-0000D97B0000}"/>
    <cellStyle name="Normal 88 3 2 6" xfId="23930" xr:uid="{00000000-0005-0000-0000-0000DA7B0000}"/>
    <cellStyle name="Normal 88 3 3" xfId="6150" xr:uid="{00000000-0005-0000-0000-0000DB7B0000}"/>
    <cellStyle name="Normal 88 3 3 2" xfId="6151" xr:uid="{00000000-0005-0000-0000-0000DC7B0000}"/>
    <cellStyle name="Normal 88 3 3 2 2" xfId="9997" xr:uid="{00000000-0005-0000-0000-0000DD7B0000}"/>
    <cellStyle name="Normal 88 3 3 2 2 2" xfId="19171" xr:uid="{00000000-0005-0000-0000-0000DE7B0000}"/>
    <cellStyle name="Normal 88 3 3 2 2 2 2" xfId="35745" xr:uid="{00000000-0005-0000-0000-0000DF7B0000}"/>
    <cellStyle name="Normal 88 3 3 2 2 3" xfId="27698" xr:uid="{00000000-0005-0000-0000-0000E07B0000}"/>
    <cellStyle name="Normal 88 3 3 2 3" xfId="15424" xr:uid="{00000000-0005-0000-0000-0000E17B0000}"/>
    <cellStyle name="Normal 88 3 3 2 3 2" xfId="31978" xr:uid="{00000000-0005-0000-0000-0000E27B0000}"/>
    <cellStyle name="Normal 88 3 3 2 4" xfId="23935" xr:uid="{00000000-0005-0000-0000-0000E37B0000}"/>
    <cellStyle name="Normal 88 3 3 3" xfId="9998" xr:uid="{00000000-0005-0000-0000-0000E47B0000}"/>
    <cellStyle name="Normal 88 3 3 3 2" xfId="19172" xr:uid="{00000000-0005-0000-0000-0000E57B0000}"/>
    <cellStyle name="Normal 88 3 3 3 2 2" xfId="35746" xr:uid="{00000000-0005-0000-0000-0000E67B0000}"/>
    <cellStyle name="Normal 88 3 3 3 3" xfId="27699" xr:uid="{00000000-0005-0000-0000-0000E77B0000}"/>
    <cellStyle name="Normal 88 3 3 4" xfId="15423" xr:uid="{00000000-0005-0000-0000-0000E87B0000}"/>
    <cellStyle name="Normal 88 3 3 4 2" xfId="31977" xr:uid="{00000000-0005-0000-0000-0000E97B0000}"/>
    <cellStyle name="Normal 88 3 3 5" xfId="23934" xr:uid="{00000000-0005-0000-0000-0000EA7B0000}"/>
    <cellStyle name="Normal 88 3 4" xfId="6152" xr:uid="{00000000-0005-0000-0000-0000EB7B0000}"/>
    <cellStyle name="Normal 88 3 4 2" xfId="9999" xr:uid="{00000000-0005-0000-0000-0000EC7B0000}"/>
    <cellStyle name="Normal 88 3 4 2 2" xfId="19173" xr:uid="{00000000-0005-0000-0000-0000ED7B0000}"/>
    <cellStyle name="Normal 88 3 4 2 2 2" xfId="35747" xr:uid="{00000000-0005-0000-0000-0000EE7B0000}"/>
    <cellStyle name="Normal 88 3 4 2 3" xfId="27700" xr:uid="{00000000-0005-0000-0000-0000EF7B0000}"/>
    <cellStyle name="Normal 88 3 4 3" xfId="15425" xr:uid="{00000000-0005-0000-0000-0000F07B0000}"/>
    <cellStyle name="Normal 88 3 4 3 2" xfId="31979" xr:uid="{00000000-0005-0000-0000-0000F17B0000}"/>
    <cellStyle name="Normal 88 3 4 4" xfId="23936" xr:uid="{00000000-0005-0000-0000-0000F27B0000}"/>
    <cellStyle name="Normal 88 3 5" xfId="6153" xr:uid="{00000000-0005-0000-0000-0000F37B0000}"/>
    <cellStyle name="Normal 88 3 5 2" xfId="15426" xr:uid="{00000000-0005-0000-0000-0000F47B0000}"/>
    <cellStyle name="Normal 88 3 5 2 2" xfId="31980" xr:uid="{00000000-0005-0000-0000-0000F57B0000}"/>
    <cellStyle name="Normal 88 3 5 3" xfId="23937" xr:uid="{00000000-0005-0000-0000-0000F67B0000}"/>
    <cellStyle name="Normal 88 4" xfId="6154" xr:uid="{00000000-0005-0000-0000-0000F77B0000}"/>
    <cellStyle name="Normal 88 4 2" xfId="6155" xr:uid="{00000000-0005-0000-0000-0000F87B0000}"/>
    <cellStyle name="Normal 88 4 2 2" xfId="6156" xr:uid="{00000000-0005-0000-0000-0000F97B0000}"/>
    <cellStyle name="Normal 88 4 2 2 2" xfId="6157" xr:uid="{00000000-0005-0000-0000-0000FA7B0000}"/>
    <cellStyle name="Normal 88 4 2 2 2 2" xfId="10000" xr:uid="{00000000-0005-0000-0000-0000FB7B0000}"/>
    <cellStyle name="Normal 88 4 2 2 2 2 2" xfId="19174" xr:uid="{00000000-0005-0000-0000-0000FC7B0000}"/>
    <cellStyle name="Normal 88 4 2 2 2 2 2 2" xfId="35748" xr:uid="{00000000-0005-0000-0000-0000FD7B0000}"/>
    <cellStyle name="Normal 88 4 2 2 2 2 3" xfId="27701" xr:uid="{00000000-0005-0000-0000-0000FE7B0000}"/>
    <cellStyle name="Normal 88 4 2 2 2 3" xfId="15430" xr:uid="{00000000-0005-0000-0000-0000FF7B0000}"/>
    <cellStyle name="Normal 88 4 2 2 2 3 2" xfId="31984" xr:uid="{00000000-0005-0000-0000-0000007C0000}"/>
    <cellStyle name="Normal 88 4 2 2 2 4" xfId="23941" xr:uid="{00000000-0005-0000-0000-0000017C0000}"/>
    <cellStyle name="Normal 88 4 2 2 3" xfId="10001" xr:uid="{00000000-0005-0000-0000-0000027C0000}"/>
    <cellStyle name="Normal 88 4 2 2 3 2" xfId="19175" xr:uid="{00000000-0005-0000-0000-0000037C0000}"/>
    <cellStyle name="Normal 88 4 2 2 3 2 2" xfId="35749" xr:uid="{00000000-0005-0000-0000-0000047C0000}"/>
    <cellStyle name="Normal 88 4 2 2 3 3" xfId="27702" xr:uid="{00000000-0005-0000-0000-0000057C0000}"/>
    <cellStyle name="Normal 88 4 2 2 4" xfId="15429" xr:uid="{00000000-0005-0000-0000-0000067C0000}"/>
    <cellStyle name="Normal 88 4 2 2 4 2" xfId="31983" xr:uid="{00000000-0005-0000-0000-0000077C0000}"/>
    <cellStyle name="Normal 88 4 2 2 5" xfId="23940" xr:uid="{00000000-0005-0000-0000-0000087C0000}"/>
    <cellStyle name="Normal 88 4 2 3" xfId="6158" xr:uid="{00000000-0005-0000-0000-0000097C0000}"/>
    <cellStyle name="Normal 88 4 2 3 2" xfId="10002" xr:uid="{00000000-0005-0000-0000-00000A7C0000}"/>
    <cellStyle name="Normal 88 4 2 3 2 2" xfId="19176" xr:uid="{00000000-0005-0000-0000-00000B7C0000}"/>
    <cellStyle name="Normal 88 4 2 3 2 2 2" xfId="35750" xr:uid="{00000000-0005-0000-0000-00000C7C0000}"/>
    <cellStyle name="Normal 88 4 2 3 2 3" xfId="27703" xr:uid="{00000000-0005-0000-0000-00000D7C0000}"/>
    <cellStyle name="Normal 88 4 2 3 3" xfId="15431" xr:uid="{00000000-0005-0000-0000-00000E7C0000}"/>
    <cellStyle name="Normal 88 4 2 3 3 2" xfId="31985" xr:uid="{00000000-0005-0000-0000-00000F7C0000}"/>
    <cellStyle name="Normal 88 4 2 3 4" xfId="23942" xr:uid="{00000000-0005-0000-0000-0000107C0000}"/>
    <cellStyle name="Normal 88 4 2 4" xfId="10003" xr:uid="{00000000-0005-0000-0000-0000117C0000}"/>
    <cellStyle name="Normal 88 4 2 4 2" xfId="19177" xr:uid="{00000000-0005-0000-0000-0000127C0000}"/>
    <cellStyle name="Normal 88 4 2 4 2 2" xfId="35751" xr:uid="{00000000-0005-0000-0000-0000137C0000}"/>
    <cellStyle name="Normal 88 4 2 4 3" xfId="27704" xr:uid="{00000000-0005-0000-0000-0000147C0000}"/>
    <cellStyle name="Normal 88 4 2 5" xfId="15428" xr:uid="{00000000-0005-0000-0000-0000157C0000}"/>
    <cellStyle name="Normal 88 4 2 5 2" xfId="31982" xr:uid="{00000000-0005-0000-0000-0000167C0000}"/>
    <cellStyle name="Normal 88 4 2 6" xfId="23939" xr:uid="{00000000-0005-0000-0000-0000177C0000}"/>
    <cellStyle name="Normal 88 4 3" xfId="6159" xr:uid="{00000000-0005-0000-0000-0000187C0000}"/>
    <cellStyle name="Normal 88 4 3 2" xfId="6160" xr:uid="{00000000-0005-0000-0000-0000197C0000}"/>
    <cellStyle name="Normal 88 4 3 2 2" xfId="10004" xr:uid="{00000000-0005-0000-0000-00001A7C0000}"/>
    <cellStyle name="Normal 88 4 3 2 2 2" xfId="19178" xr:uid="{00000000-0005-0000-0000-00001B7C0000}"/>
    <cellStyle name="Normal 88 4 3 2 2 2 2" xfId="35752" xr:uid="{00000000-0005-0000-0000-00001C7C0000}"/>
    <cellStyle name="Normal 88 4 3 2 2 3" xfId="27705" xr:uid="{00000000-0005-0000-0000-00001D7C0000}"/>
    <cellStyle name="Normal 88 4 3 2 3" xfId="15433" xr:uid="{00000000-0005-0000-0000-00001E7C0000}"/>
    <cellStyle name="Normal 88 4 3 2 3 2" xfId="31987" xr:uid="{00000000-0005-0000-0000-00001F7C0000}"/>
    <cellStyle name="Normal 88 4 3 2 4" xfId="23944" xr:uid="{00000000-0005-0000-0000-0000207C0000}"/>
    <cellStyle name="Normal 88 4 3 3" xfId="10005" xr:uid="{00000000-0005-0000-0000-0000217C0000}"/>
    <cellStyle name="Normal 88 4 3 3 2" xfId="19179" xr:uid="{00000000-0005-0000-0000-0000227C0000}"/>
    <cellStyle name="Normal 88 4 3 3 2 2" xfId="35753" xr:uid="{00000000-0005-0000-0000-0000237C0000}"/>
    <cellStyle name="Normal 88 4 3 3 3" xfId="27706" xr:uid="{00000000-0005-0000-0000-0000247C0000}"/>
    <cellStyle name="Normal 88 4 3 4" xfId="15432" xr:uid="{00000000-0005-0000-0000-0000257C0000}"/>
    <cellStyle name="Normal 88 4 3 4 2" xfId="31986" xr:uid="{00000000-0005-0000-0000-0000267C0000}"/>
    <cellStyle name="Normal 88 4 3 5" xfId="23943" xr:uid="{00000000-0005-0000-0000-0000277C0000}"/>
    <cellStyle name="Normal 88 4 4" xfId="6161" xr:uid="{00000000-0005-0000-0000-0000287C0000}"/>
    <cellStyle name="Normal 88 4 4 2" xfId="10006" xr:uid="{00000000-0005-0000-0000-0000297C0000}"/>
    <cellStyle name="Normal 88 4 4 2 2" xfId="19180" xr:uid="{00000000-0005-0000-0000-00002A7C0000}"/>
    <cellStyle name="Normal 88 4 4 2 2 2" xfId="35754" xr:uid="{00000000-0005-0000-0000-00002B7C0000}"/>
    <cellStyle name="Normal 88 4 4 2 3" xfId="27707" xr:uid="{00000000-0005-0000-0000-00002C7C0000}"/>
    <cellStyle name="Normal 88 4 4 3" xfId="15434" xr:uid="{00000000-0005-0000-0000-00002D7C0000}"/>
    <cellStyle name="Normal 88 4 4 3 2" xfId="31988" xr:uid="{00000000-0005-0000-0000-00002E7C0000}"/>
    <cellStyle name="Normal 88 4 4 4" xfId="23945" xr:uid="{00000000-0005-0000-0000-00002F7C0000}"/>
    <cellStyle name="Normal 88 4 5" xfId="10007" xr:uid="{00000000-0005-0000-0000-0000307C0000}"/>
    <cellStyle name="Normal 88 4 5 2" xfId="19181" xr:uid="{00000000-0005-0000-0000-0000317C0000}"/>
    <cellStyle name="Normal 88 4 5 2 2" xfId="35755" xr:uid="{00000000-0005-0000-0000-0000327C0000}"/>
    <cellStyle name="Normal 88 4 5 3" xfId="27708" xr:uid="{00000000-0005-0000-0000-0000337C0000}"/>
    <cellStyle name="Normal 88 4 6" xfId="15427" xr:uid="{00000000-0005-0000-0000-0000347C0000}"/>
    <cellStyle name="Normal 88 4 6 2" xfId="31981" xr:uid="{00000000-0005-0000-0000-0000357C0000}"/>
    <cellStyle name="Normal 88 4 7" xfId="23938" xr:uid="{00000000-0005-0000-0000-0000367C0000}"/>
    <cellStyle name="Normal 88 5" xfId="6162" xr:uid="{00000000-0005-0000-0000-0000377C0000}"/>
    <cellStyle name="Normal 88 5 2" xfId="6163" xr:uid="{00000000-0005-0000-0000-0000387C0000}"/>
    <cellStyle name="Normal 88 5 2 2" xfId="6164" xr:uid="{00000000-0005-0000-0000-0000397C0000}"/>
    <cellStyle name="Normal 88 5 2 2 2" xfId="6165" xr:uid="{00000000-0005-0000-0000-00003A7C0000}"/>
    <cellStyle name="Normal 88 5 2 2 2 2" xfId="10008" xr:uid="{00000000-0005-0000-0000-00003B7C0000}"/>
    <cellStyle name="Normal 88 5 2 2 2 2 2" xfId="19182" xr:uid="{00000000-0005-0000-0000-00003C7C0000}"/>
    <cellStyle name="Normal 88 5 2 2 2 2 2 2" xfId="35756" xr:uid="{00000000-0005-0000-0000-00003D7C0000}"/>
    <cellStyle name="Normal 88 5 2 2 2 2 3" xfId="27709" xr:uid="{00000000-0005-0000-0000-00003E7C0000}"/>
    <cellStyle name="Normal 88 5 2 2 2 3" xfId="15438" xr:uid="{00000000-0005-0000-0000-00003F7C0000}"/>
    <cellStyle name="Normal 88 5 2 2 2 3 2" xfId="31992" xr:uid="{00000000-0005-0000-0000-0000407C0000}"/>
    <cellStyle name="Normal 88 5 2 2 2 4" xfId="23949" xr:uid="{00000000-0005-0000-0000-0000417C0000}"/>
    <cellStyle name="Normal 88 5 2 2 3" xfId="10009" xr:uid="{00000000-0005-0000-0000-0000427C0000}"/>
    <cellStyle name="Normal 88 5 2 2 3 2" xfId="19183" xr:uid="{00000000-0005-0000-0000-0000437C0000}"/>
    <cellStyle name="Normal 88 5 2 2 3 2 2" xfId="35757" xr:uid="{00000000-0005-0000-0000-0000447C0000}"/>
    <cellStyle name="Normal 88 5 2 2 3 3" xfId="27710" xr:uid="{00000000-0005-0000-0000-0000457C0000}"/>
    <cellStyle name="Normal 88 5 2 2 4" xfId="15437" xr:uid="{00000000-0005-0000-0000-0000467C0000}"/>
    <cellStyle name="Normal 88 5 2 2 4 2" xfId="31991" xr:uid="{00000000-0005-0000-0000-0000477C0000}"/>
    <cellStyle name="Normal 88 5 2 2 5" xfId="23948" xr:uid="{00000000-0005-0000-0000-0000487C0000}"/>
    <cellStyle name="Normal 88 5 2 3" xfId="6166" xr:uid="{00000000-0005-0000-0000-0000497C0000}"/>
    <cellStyle name="Normal 88 5 2 3 2" xfId="10010" xr:uid="{00000000-0005-0000-0000-00004A7C0000}"/>
    <cellStyle name="Normal 88 5 2 3 2 2" xfId="19184" xr:uid="{00000000-0005-0000-0000-00004B7C0000}"/>
    <cellStyle name="Normal 88 5 2 3 2 2 2" xfId="35758" xr:uid="{00000000-0005-0000-0000-00004C7C0000}"/>
    <cellStyle name="Normal 88 5 2 3 2 3" xfId="27711" xr:uid="{00000000-0005-0000-0000-00004D7C0000}"/>
    <cellStyle name="Normal 88 5 2 3 3" xfId="15439" xr:uid="{00000000-0005-0000-0000-00004E7C0000}"/>
    <cellStyle name="Normal 88 5 2 3 3 2" xfId="31993" xr:uid="{00000000-0005-0000-0000-00004F7C0000}"/>
    <cellStyle name="Normal 88 5 2 3 4" xfId="23950" xr:uid="{00000000-0005-0000-0000-0000507C0000}"/>
    <cellStyle name="Normal 88 5 2 4" xfId="10011" xr:uid="{00000000-0005-0000-0000-0000517C0000}"/>
    <cellStyle name="Normal 88 5 2 4 2" xfId="19185" xr:uid="{00000000-0005-0000-0000-0000527C0000}"/>
    <cellStyle name="Normal 88 5 2 4 2 2" xfId="35759" xr:uid="{00000000-0005-0000-0000-0000537C0000}"/>
    <cellStyle name="Normal 88 5 2 4 3" xfId="27712" xr:uid="{00000000-0005-0000-0000-0000547C0000}"/>
    <cellStyle name="Normal 88 5 2 5" xfId="15436" xr:uid="{00000000-0005-0000-0000-0000557C0000}"/>
    <cellStyle name="Normal 88 5 2 5 2" xfId="31990" xr:uid="{00000000-0005-0000-0000-0000567C0000}"/>
    <cellStyle name="Normal 88 5 2 6" xfId="23947" xr:uid="{00000000-0005-0000-0000-0000577C0000}"/>
    <cellStyle name="Normal 88 5 3" xfId="6167" xr:uid="{00000000-0005-0000-0000-0000587C0000}"/>
    <cellStyle name="Normal 88 5 3 2" xfId="6168" xr:uid="{00000000-0005-0000-0000-0000597C0000}"/>
    <cellStyle name="Normal 88 5 3 2 2" xfId="10012" xr:uid="{00000000-0005-0000-0000-00005A7C0000}"/>
    <cellStyle name="Normal 88 5 3 2 2 2" xfId="19186" xr:uid="{00000000-0005-0000-0000-00005B7C0000}"/>
    <cellStyle name="Normal 88 5 3 2 2 2 2" xfId="35760" xr:uid="{00000000-0005-0000-0000-00005C7C0000}"/>
    <cellStyle name="Normal 88 5 3 2 2 3" xfId="27713" xr:uid="{00000000-0005-0000-0000-00005D7C0000}"/>
    <cellStyle name="Normal 88 5 3 2 3" xfId="15441" xr:uid="{00000000-0005-0000-0000-00005E7C0000}"/>
    <cellStyle name="Normal 88 5 3 2 3 2" xfId="31995" xr:uid="{00000000-0005-0000-0000-00005F7C0000}"/>
    <cellStyle name="Normal 88 5 3 2 4" xfId="23952" xr:uid="{00000000-0005-0000-0000-0000607C0000}"/>
    <cellStyle name="Normal 88 5 3 3" xfId="10013" xr:uid="{00000000-0005-0000-0000-0000617C0000}"/>
    <cellStyle name="Normal 88 5 3 3 2" xfId="19187" xr:uid="{00000000-0005-0000-0000-0000627C0000}"/>
    <cellStyle name="Normal 88 5 3 3 2 2" xfId="35761" xr:uid="{00000000-0005-0000-0000-0000637C0000}"/>
    <cellStyle name="Normal 88 5 3 3 3" xfId="27714" xr:uid="{00000000-0005-0000-0000-0000647C0000}"/>
    <cellStyle name="Normal 88 5 3 4" xfId="15440" xr:uid="{00000000-0005-0000-0000-0000657C0000}"/>
    <cellStyle name="Normal 88 5 3 4 2" xfId="31994" xr:uid="{00000000-0005-0000-0000-0000667C0000}"/>
    <cellStyle name="Normal 88 5 3 5" xfId="23951" xr:uid="{00000000-0005-0000-0000-0000677C0000}"/>
    <cellStyle name="Normal 88 5 4" xfId="6169" xr:uid="{00000000-0005-0000-0000-0000687C0000}"/>
    <cellStyle name="Normal 88 5 4 2" xfId="10014" xr:uid="{00000000-0005-0000-0000-0000697C0000}"/>
    <cellStyle name="Normal 88 5 4 2 2" xfId="19188" xr:uid="{00000000-0005-0000-0000-00006A7C0000}"/>
    <cellStyle name="Normal 88 5 4 2 2 2" xfId="35762" xr:uid="{00000000-0005-0000-0000-00006B7C0000}"/>
    <cellStyle name="Normal 88 5 4 2 3" xfId="27715" xr:uid="{00000000-0005-0000-0000-00006C7C0000}"/>
    <cellStyle name="Normal 88 5 4 3" xfId="15442" xr:uid="{00000000-0005-0000-0000-00006D7C0000}"/>
    <cellStyle name="Normal 88 5 4 3 2" xfId="31996" xr:uid="{00000000-0005-0000-0000-00006E7C0000}"/>
    <cellStyle name="Normal 88 5 4 4" xfId="23953" xr:uid="{00000000-0005-0000-0000-00006F7C0000}"/>
    <cellStyle name="Normal 88 5 5" xfId="10015" xr:uid="{00000000-0005-0000-0000-0000707C0000}"/>
    <cellStyle name="Normal 88 5 5 2" xfId="19189" xr:uid="{00000000-0005-0000-0000-0000717C0000}"/>
    <cellStyle name="Normal 88 5 5 2 2" xfId="35763" xr:uid="{00000000-0005-0000-0000-0000727C0000}"/>
    <cellStyle name="Normal 88 5 5 3" xfId="27716" xr:uid="{00000000-0005-0000-0000-0000737C0000}"/>
    <cellStyle name="Normal 88 5 6" xfId="15435" xr:uid="{00000000-0005-0000-0000-0000747C0000}"/>
    <cellStyle name="Normal 88 5 6 2" xfId="31989" xr:uid="{00000000-0005-0000-0000-0000757C0000}"/>
    <cellStyle name="Normal 88 5 7" xfId="23946" xr:uid="{00000000-0005-0000-0000-0000767C0000}"/>
    <cellStyle name="Normal 88 6" xfId="6170" xr:uid="{00000000-0005-0000-0000-0000777C0000}"/>
    <cellStyle name="Normal 88 6 2" xfId="6171" xr:uid="{00000000-0005-0000-0000-0000787C0000}"/>
    <cellStyle name="Normal 88 6 2 2" xfId="6172" xr:uid="{00000000-0005-0000-0000-0000797C0000}"/>
    <cellStyle name="Normal 88 6 2 2 2" xfId="10016" xr:uid="{00000000-0005-0000-0000-00007A7C0000}"/>
    <cellStyle name="Normal 88 6 2 2 2 2" xfId="19190" xr:uid="{00000000-0005-0000-0000-00007B7C0000}"/>
    <cellStyle name="Normal 88 6 2 2 2 2 2" xfId="35764" xr:uid="{00000000-0005-0000-0000-00007C7C0000}"/>
    <cellStyle name="Normal 88 6 2 2 2 3" xfId="27717" xr:uid="{00000000-0005-0000-0000-00007D7C0000}"/>
    <cellStyle name="Normal 88 6 2 2 3" xfId="15445" xr:uid="{00000000-0005-0000-0000-00007E7C0000}"/>
    <cellStyle name="Normal 88 6 2 2 3 2" xfId="31999" xr:uid="{00000000-0005-0000-0000-00007F7C0000}"/>
    <cellStyle name="Normal 88 6 2 2 4" xfId="23956" xr:uid="{00000000-0005-0000-0000-0000807C0000}"/>
    <cellStyle name="Normal 88 6 2 3" xfId="10017" xr:uid="{00000000-0005-0000-0000-0000817C0000}"/>
    <cellStyle name="Normal 88 6 2 3 2" xfId="19191" xr:uid="{00000000-0005-0000-0000-0000827C0000}"/>
    <cellStyle name="Normal 88 6 2 3 2 2" xfId="35765" xr:uid="{00000000-0005-0000-0000-0000837C0000}"/>
    <cellStyle name="Normal 88 6 2 3 3" xfId="27718" xr:uid="{00000000-0005-0000-0000-0000847C0000}"/>
    <cellStyle name="Normal 88 6 2 4" xfId="15444" xr:uid="{00000000-0005-0000-0000-0000857C0000}"/>
    <cellStyle name="Normal 88 6 2 4 2" xfId="31998" xr:uid="{00000000-0005-0000-0000-0000867C0000}"/>
    <cellStyle name="Normal 88 6 2 5" xfId="23955" xr:uid="{00000000-0005-0000-0000-0000877C0000}"/>
    <cellStyle name="Normal 88 6 3" xfId="6173" xr:uid="{00000000-0005-0000-0000-0000887C0000}"/>
    <cellStyle name="Normal 88 6 3 2" xfId="10018" xr:uid="{00000000-0005-0000-0000-0000897C0000}"/>
    <cellStyle name="Normal 88 6 3 2 2" xfId="19192" xr:uid="{00000000-0005-0000-0000-00008A7C0000}"/>
    <cellStyle name="Normal 88 6 3 2 2 2" xfId="35766" xr:uid="{00000000-0005-0000-0000-00008B7C0000}"/>
    <cellStyle name="Normal 88 6 3 2 3" xfId="27719" xr:uid="{00000000-0005-0000-0000-00008C7C0000}"/>
    <cellStyle name="Normal 88 6 3 3" xfId="15446" xr:uid="{00000000-0005-0000-0000-00008D7C0000}"/>
    <cellStyle name="Normal 88 6 3 3 2" xfId="32000" xr:uid="{00000000-0005-0000-0000-00008E7C0000}"/>
    <cellStyle name="Normal 88 6 3 4" xfId="23957" xr:uid="{00000000-0005-0000-0000-00008F7C0000}"/>
    <cellStyle name="Normal 88 6 4" xfId="10019" xr:uid="{00000000-0005-0000-0000-0000907C0000}"/>
    <cellStyle name="Normal 88 6 4 2" xfId="19193" xr:uid="{00000000-0005-0000-0000-0000917C0000}"/>
    <cellStyle name="Normal 88 6 4 2 2" xfId="35767" xr:uid="{00000000-0005-0000-0000-0000927C0000}"/>
    <cellStyle name="Normal 88 6 4 3" xfId="27720" xr:uid="{00000000-0005-0000-0000-0000937C0000}"/>
    <cellStyle name="Normal 88 6 5" xfId="15443" xr:uid="{00000000-0005-0000-0000-0000947C0000}"/>
    <cellStyle name="Normal 88 6 5 2" xfId="31997" xr:uid="{00000000-0005-0000-0000-0000957C0000}"/>
    <cellStyle name="Normal 88 6 6" xfId="23954" xr:uid="{00000000-0005-0000-0000-0000967C0000}"/>
    <cellStyle name="Normal 88 7" xfId="6174" xr:uid="{00000000-0005-0000-0000-0000977C0000}"/>
    <cellStyle name="Normal 88 7 2" xfId="6175" xr:uid="{00000000-0005-0000-0000-0000987C0000}"/>
    <cellStyle name="Normal 88 7 2 2" xfId="10020" xr:uid="{00000000-0005-0000-0000-0000997C0000}"/>
    <cellStyle name="Normal 88 7 2 2 2" xfId="19194" xr:uid="{00000000-0005-0000-0000-00009A7C0000}"/>
    <cellStyle name="Normal 88 7 2 2 2 2" xfId="35768" xr:uid="{00000000-0005-0000-0000-00009B7C0000}"/>
    <cellStyle name="Normal 88 7 2 2 3" xfId="27721" xr:uid="{00000000-0005-0000-0000-00009C7C0000}"/>
    <cellStyle name="Normal 88 7 2 3" xfId="15448" xr:uid="{00000000-0005-0000-0000-00009D7C0000}"/>
    <cellStyle name="Normal 88 7 2 3 2" xfId="32002" xr:uid="{00000000-0005-0000-0000-00009E7C0000}"/>
    <cellStyle name="Normal 88 7 2 4" xfId="23959" xr:uid="{00000000-0005-0000-0000-00009F7C0000}"/>
    <cellStyle name="Normal 88 7 3" xfId="10021" xr:uid="{00000000-0005-0000-0000-0000A07C0000}"/>
    <cellStyle name="Normal 88 7 3 2" xfId="19195" xr:uid="{00000000-0005-0000-0000-0000A17C0000}"/>
    <cellStyle name="Normal 88 7 3 2 2" xfId="35769" xr:uid="{00000000-0005-0000-0000-0000A27C0000}"/>
    <cellStyle name="Normal 88 7 3 3" xfId="27722" xr:uid="{00000000-0005-0000-0000-0000A37C0000}"/>
    <cellStyle name="Normal 88 7 4" xfId="15447" xr:uid="{00000000-0005-0000-0000-0000A47C0000}"/>
    <cellStyle name="Normal 88 7 4 2" xfId="32001" xr:uid="{00000000-0005-0000-0000-0000A57C0000}"/>
    <cellStyle name="Normal 88 7 5" xfId="23958" xr:uid="{00000000-0005-0000-0000-0000A67C0000}"/>
    <cellStyle name="Normal 88 8" xfId="6176" xr:uid="{00000000-0005-0000-0000-0000A77C0000}"/>
    <cellStyle name="Normal 88 8 2" xfId="10022" xr:uid="{00000000-0005-0000-0000-0000A87C0000}"/>
    <cellStyle name="Normal 88 8 2 2" xfId="19196" xr:uid="{00000000-0005-0000-0000-0000A97C0000}"/>
    <cellStyle name="Normal 88 8 2 2 2" xfId="35770" xr:uid="{00000000-0005-0000-0000-0000AA7C0000}"/>
    <cellStyle name="Normal 88 8 2 3" xfId="27723" xr:uid="{00000000-0005-0000-0000-0000AB7C0000}"/>
    <cellStyle name="Normal 88 8 3" xfId="15449" xr:uid="{00000000-0005-0000-0000-0000AC7C0000}"/>
    <cellStyle name="Normal 88 8 3 2" xfId="32003" xr:uid="{00000000-0005-0000-0000-0000AD7C0000}"/>
    <cellStyle name="Normal 88 8 4" xfId="23960" xr:uid="{00000000-0005-0000-0000-0000AE7C0000}"/>
    <cellStyle name="Normal 88 9" xfId="10023" xr:uid="{00000000-0005-0000-0000-0000AF7C0000}"/>
    <cellStyle name="Normal 88 9 2" xfId="19197" xr:uid="{00000000-0005-0000-0000-0000B07C0000}"/>
    <cellStyle name="Normal 88 9 2 2" xfId="35771" xr:uid="{00000000-0005-0000-0000-0000B17C0000}"/>
    <cellStyle name="Normal 88 9 3" xfId="27724" xr:uid="{00000000-0005-0000-0000-0000B27C0000}"/>
    <cellStyle name="Normal 89" xfId="6177" xr:uid="{00000000-0005-0000-0000-0000B37C0000}"/>
    <cellStyle name="Normal 89 10" xfId="15450" xr:uid="{00000000-0005-0000-0000-0000B47C0000}"/>
    <cellStyle name="Normal 89 10 2" xfId="32004" xr:uid="{00000000-0005-0000-0000-0000B57C0000}"/>
    <cellStyle name="Normal 89 11" xfId="23961" xr:uid="{00000000-0005-0000-0000-0000B67C0000}"/>
    <cellStyle name="Normal 89 2" xfId="6178" xr:uid="{00000000-0005-0000-0000-0000B77C0000}"/>
    <cellStyle name="Normal 89 2 2" xfId="6179" xr:uid="{00000000-0005-0000-0000-0000B87C0000}"/>
    <cellStyle name="Normal 89 2 3" xfId="15451" xr:uid="{00000000-0005-0000-0000-0000B97C0000}"/>
    <cellStyle name="Normal 89 2 3 2" xfId="32005" xr:uid="{00000000-0005-0000-0000-0000BA7C0000}"/>
    <cellStyle name="Normal 89 2 4" xfId="23962" xr:uid="{00000000-0005-0000-0000-0000BB7C0000}"/>
    <cellStyle name="Normal 89 3" xfId="6180" xr:uid="{00000000-0005-0000-0000-0000BC7C0000}"/>
    <cellStyle name="Normal 89 3 2" xfId="6181" xr:uid="{00000000-0005-0000-0000-0000BD7C0000}"/>
    <cellStyle name="Normal 89 3 2 2" xfId="6182" xr:uid="{00000000-0005-0000-0000-0000BE7C0000}"/>
    <cellStyle name="Normal 89 3 2 2 2" xfId="6183" xr:uid="{00000000-0005-0000-0000-0000BF7C0000}"/>
    <cellStyle name="Normal 89 3 2 2 2 2" xfId="10024" xr:uid="{00000000-0005-0000-0000-0000C07C0000}"/>
    <cellStyle name="Normal 89 3 2 2 2 2 2" xfId="19198" xr:uid="{00000000-0005-0000-0000-0000C17C0000}"/>
    <cellStyle name="Normal 89 3 2 2 2 2 2 2" xfId="35772" xr:uid="{00000000-0005-0000-0000-0000C27C0000}"/>
    <cellStyle name="Normal 89 3 2 2 2 2 3" xfId="27725" xr:uid="{00000000-0005-0000-0000-0000C37C0000}"/>
    <cellStyle name="Normal 89 3 2 2 2 3" xfId="15454" xr:uid="{00000000-0005-0000-0000-0000C47C0000}"/>
    <cellStyle name="Normal 89 3 2 2 2 3 2" xfId="32008" xr:uid="{00000000-0005-0000-0000-0000C57C0000}"/>
    <cellStyle name="Normal 89 3 2 2 2 4" xfId="23965" xr:uid="{00000000-0005-0000-0000-0000C67C0000}"/>
    <cellStyle name="Normal 89 3 2 2 3" xfId="10025" xr:uid="{00000000-0005-0000-0000-0000C77C0000}"/>
    <cellStyle name="Normal 89 3 2 2 3 2" xfId="19199" xr:uid="{00000000-0005-0000-0000-0000C87C0000}"/>
    <cellStyle name="Normal 89 3 2 2 3 2 2" xfId="35773" xr:uid="{00000000-0005-0000-0000-0000C97C0000}"/>
    <cellStyle name="Normal 89 3 2 2 3 3" xfId="27726" xr:uid="{00000000-0005-0000-0000-0000CA7C0000}"/>
    <cellStyle name="Normal 89 3 2 2 4" xfId="15453" xr:uid="{00000000-0005-0000-0000-0000CB7C0000}"/>
    <cellStyle name="Normal 89 3 2 2 4 2" xfId="32007" xr:uid="{00000000-0005-0000-0000-0000CC7C0000}"/>
    <cellStyle name="Normal 89 3 2 2 5" xfId="23964" xr:uid="{00000000-0005-0000-0000-0000CD7C0000}"/>
    <cellStyle name="Normal 89 3 2 3" xfId="6184" xr:uid="{00000000-0005-0000-0000-0000CE7C0000}"/>
    <cellStyle name="Normal 89 3 2 3 2" xfId="10026" xr:uid="{00000000-0005-0000-0000-0000CF7C0000}"/>
    <cellStyle name="Normal 89 3 2 3 2 2" xfId="19200" xr:uid="{00000000-0005-0000-0000-0000D07C0000}"/>
    <cellStyle name="Normal 89 3 2 3 2 2 2" xfId="35774" xr:uid="{00000000-0005-0000-0000-0000D17C0000}"/>
    <cellStyle name="Normal 89 3 2 3 2 3" xfId="27727" xr:uid="{00000000-0005-0000-0000-0000D27C0000}"/>
    <cellStyle name="Normal 89 3 2 3 3" xfId="15455" xr:uid="{00000000-0005-0000-0000-0000D37C0000}"/>
    <cellStyle name="Normal 89 3 2 3 3 2" xfId="32009" xr:uid="{00000000-0005-0000-0000-0000D47C0000}"/>
    <cellStyle name="Normal 89 3 2 3 4" xfId="23966" xr:uid="{00000000-0005-0000-0000-0000D57C0000}"/>
    <cellStyle name="Normal 89 3 2 4" xfId="10027" xr:uid="{00000000-0005-0000-0000-0000D67C0000}"/>
    <cellStyle name="Normal 89 3 2 4 2" xfId="19201" xr:uid="{00000000-0005-0000-0000-0000D77C0000}"/>
    <cellStyle name="Normal 89 3 2 4 2 2" xfId="35775" xr:uid="{00000000-0005-0000-0000-0000D87C0000}"/>
    <cellStyle name="Normal 89 3 2 4 3" xfId="27728" xr:uid="{00000000-0005-0000-0000-0000D97C0000}"/>
    <cellStyle name="Normal 89 3 2 5" xfId="15452" xr:uid="{00000000-0005-0000-0000-0000DA7C0000}"/>
    <cellStyle name="Normal 89 3 2 5 2" xfId="32006" xr:uid="{00000000-0005-0000-0000-0000DB7C0000}"/>
    <cellStyle name="Normal 89 3 2 6" xfId="23963" xr:uid="{00000000-0005-0000-0000-0000DC7C0000}"/>
    <cellStyle name="Normal 89 3 3" xfId="6185" xr:uid="{00000000-0005-0000-0000-0000DD7C0000}"/>
    <cellStyle name="Normal 89 3 3 2" xfId="6186" xr:uid="{00000000-0005-0000-0000-0000DE7C0000}"/>
    <cellStyle name="Normal 89 3 3 2 2" xfId="10028" xr:uid="{00000000-0005-0000-0000-0000DF7C0000}"/>
    <cellStyle name="Normal 89 3 3 2 2 2" xfId="19202" xr:uid="{00000000-0005-0000-0000-0000E07C0000}"/>
    <cellStyle name="Normal 89 3 3 2 2 2 2" xfId="35776" xr:uid="{00000000-0005-0000-0000-0000E17C0000}"/>
    <cellStyle name="Normal 89 3 3 2 2 3" xfId="27729" xr:uid="{00000000-0005-0000-0000-0000E27C0000}"/>
    <cellStyle name="Normal 89 3 3 2 3" xfId="15457" xr:uid="{00000000-0005-0000-0000-0000E37C0000}"/>
    <cellStyle name="Normal 89 3 3 2 3 2" xfId="32011" xr:uid="{00000000-0005-0000-0000-0000E47C0000}"/>
    <cellStyle name="Normal 89 3 3 2 4" xfId="23968" xr:uid="{00000000-0005-0000-0000-0000E57C0000}"/>
    <cellStyle name="Normal 89 3 3 3" xfId="10029" xr:uid="{00000000-0005-0000-0000-0000E67C0000}"/>
    <cellStyle name="Normal 89 3 3 3 2" xfId="19203" xr:uid="{00000000-0005-0000-0000-0000E77C0000}"/>
    <cellStyle name="Normal 89 3 3 3 2 2" xfId="35777" xr:uid="{00000000-0005-0000-0000-0000E87C0000}"/>
    <cellStyle name="Normal 89 3 3 3 3" xfId="27730" xr:uid="{00000000-0005-0000-0000-0000E97C0000}"/>
    <cellStyle name="Normal 89 3 3 4" xfId="15456" xr:uid="{00000000-0005-0000-0000-0000EA7C0000}"/>
    <cellStyle name="Normal 89 3 3 4 2" xfId="32010" xr:uid="{00000000-0005-0000-0000-0000EB7C0000}"/>
    <cellStyle name="Normal 89 3 3 5" xfId="23967" xr:uid="{00000000-0005-0000-0000-0000EC7C0000}"/>
    <cellStyle name="Normal 89 3 4" xfId="6187" xr:uid="{00000000-0005-0000-0000-0000ED7C0000}"/>
    <cellStyle name="Normal 89 3 4 2" xfId="10030" xr:uid="{00000000-0005-0000-0000-0000EE7C0000}"/>
    <cellStyle name="Normal 89 3 4 2 2" xfId="19204" xr:uid="{00000000-0005-0000-0000-0000EF7C0000}"/>
    <cellStyle name="Normal 89 3 4 2 2 2" xfId="35778" xr:uid="{00000000-0005-0000-0000-0000F07C0000}"/>
    <cellStyle name="Normal 89 3 4 2 3" xfId="27731" xr:uid="{00000000-0005-0000-0000-0000F17C0000}"/>
    <cellStyle name="Normal 89 3 4 3" xfId="15458" xr:uid="{00000000-0005-0000-0000-0000F27C0000}"/>
    <cellStyle name="Normal 89 3 4 3 2" xfId="32012" xr:uid="{00000000-0005-0000-0000-0000F37C0000}"/>
    <cellStyle name="Normal 89 3 4 4" xfId="23969" xr:uid="{00000000-0005-0000-0000-0000F47C0000}"/>
    <cellStyle name="Normal 89 3 5" xfId="6188" xr:uid="{00000000-0005-0000-0000-0000F57C0000}"/>
    <cellStyle name="Normal 89 3 5 2" xfId="15459" xr:uid="{00000000-0005-0000-0000-0000F67C0000}"/>
    <cellStyle name="Normal 89 3 5 2 2" xfId="32013" xr:uid="{00000000-0005-0000-0000-0000F77C0000}"/>
    <cellStyle name="Normal 89 3 5 3" xfId="23970" xr:uid="{00000000-0005-0000-0000-0000F87C0000}"/>
    <cellStyle name="Normal 89 4" xfId="6189" xr:uid="{00000000-0005-0000-0000-0000F97C0000}"/>
    <cellStyle name="Normal 89 4 2" xfId="6190" xr:uid="{00000000-0005-0000-0000-0000FA7C0000}"/>
    <cellStyle name="Normal 89 4 2 2" xfId="6191" xr:uid="{00000000-0005-0000-0000-0000FB7C0000}"/>
    <cellStyle name="Normal 89 4 2 2 2" xfId="6192" xr:uid="{00000000-0005-0000-0000-0000FC7C0000}"/>
    <cellStyle name="Normal 89 4 2 2 2 2" xfId="10031" xr:uid="{00000000-0005-0000-0000-0000FD7C0000}"/>
    <cellStyle name="Normal 89 4 2 2 2 2 2" xfId="19205" xr:uid="{00000000-0005-0000-0000-0000FE7C0000}"/>
    <cellStyle name="Normal 89 4 2 2 2 2 2 2" xfId="35779" xr:uid="{00000000-0005-0000-0000-0000FF7C0000}"/>
    <cellStyle name="Normal 89 4 2 2 2 2 3" xfId="27732" xr:uid="{00000000-0005-0000-0000-0000007D0000}"/>
    <cellStyle name="Normal 89 4 2 2 2 3" xfId="15463" xr:uid="{00000000-0005-0000-0000-0000017D0000}"/>
    <cellStyle name="Normal 89 4 2 2 2 3 2" xfId="32017" xr:uid="{00000000-0005-0000-0000-0000027D0000}"/>
    <cellStyle name="Normal 89 4 2 2 2 4" xfId="23974" xr:uid="{00000000-0005-0000-0000-0000037D0000}"/>
    <cellStyle name="Normal 89 4 2 2 3" xfId="10032" xr:uid="{00000000-0005-0000-0000-0000047D0000}"/>
    <cellStyle name="Normal 89 4 2 2 3 2" xfId="19206" xr:uid="{00000000-0005-0000-0000-0000057D0000}"/>
    <cellStyle name="Normal 89 4 2 2 3 2 2" xfId="35780" xr:uid="{00000000-0005-0000-0000-0000067D0000}"/>
    <cellStyle name="Normal 89 4 2 2 3 3" xfId="27733" xr:uid="{00000000-0005-0000-0000-0000077D0000}"/>
    <cellStyle name="Normal 89 4 2 2 4" xfId="15462" xr:uid="{00000000-0005-0000-0000-0000087D0000}"/>
    <cellStyle name="Normal 89 4 2 2 4 2" xfId="32016" xr:uid="{00000000-0005-0000-0000-0000097D0000}"/>
    <cellStyle name="Normal 89 4 2 2 5" xfId="23973" xr:uid="{00000000-0005-0000-0000-00000A7D0000}"/>
    <cellStyle name="Normal 89 4 2 3" xfId="6193" xr:uid="{00000000-0005-0000-0000-00000B7D0000}"/>
    <cellStyle name="Normal 89 4 2 3 2" xfId="10033" xr:uid="{00000000-0005-0000-0000-00000C7D0000}"/>
    <cellStyle name="Normal 89 4 2 3 2 2" xfId="19207" xr:uid="{00000000-0005-0000-0000-00000D7D0000}"/>
    <cellStyle name="Normal 89 4 2 3 2 2 2" xfId="35781" xr:uid="{00000000-0005-0000-0000-00000E7D0000}"/>
    <cellStyle name="Normal 89 4 2 3 2 3" xfId="27734" xr:uid="{00000000-0005-0000-0000-00000F7D0000}"/>
    <cellStyle name="Normal 89 4 2 3 3" xfId="15464" xr:uid="{00000000-0005-0000-0000-0000107D0000}"/>
    <cellStyle name="Normal 89 4 2 3 3 2" xfId="32018" xr:uid="{00000000-0005-0000-0000-0000117D0000}"/>
    <cellStyle name="Normal 89 4 2 3 4" xfId="23975" xr:uid="{00000000-0005-0000-0000-0000127D0000}"/>
    <cellStyle name="Normal 89 4 2 4" xfId="10034" xr:uid="{00000000-0005-0000-0000-0000137D0000}"/>
    <cellStyle name="Normal 89 4 2 4 2" xfId="19208" xr:uid="{00000000-0005-0000-0000-0000147D0000}"/>
    <cellStyle name="Normal 89 4 2 4 2 2" xfId="35782" xr:uid="{00000000-0005-0000-0000-0000157D0000}"/>
    <cellStyle name="Normal 89 4 2 4 3" xfId="27735" xr:uid="{00000000-0005-0000-0000-0000167D0000}"/>
    <cellStyle name="Normal 89 4 2 5" xfId="15461" xr:uid="{00000000-0005-0000-0000-0000177D0000}"/>
    <cellStyle name="Normal 89 4 2 5 2" xfId="32015" xr:uid="{00000000-0005-0000-0000-0000187D0000}"/>
    <cellStyle name="Normal 89 4 2 6" xfId="23972" xr:uid="{00000000-0005-0000-0000-0000197D0000}"/>
    <cellStyle name="Normal 89 4 3" xfId="6194" xr:uid="{00000000-0005-0000-0000-00001A7D0000}"/>
    <cellStyle name="Normal 89 4 3 2" xfId="6195" xr:uid="{00000000-0005-0000-0000-00001B7D0000}"/>
    <cellStyle name="Normal 89 4 3 2 2" xfId="10035" xr:uid="{00000000-0005-0000-0000-00001C7D0000}"/>
    <cellStyle name="Normal 89 4 3 2 2 2" xfId="19209" xr:uid="{00000000-0005-0000-0000-00001D7D0000}"/>
    <cellStyle name="Normal 89 4 3 2 2 2 2" xfId="35783" xr:uid="{00000000-0005-0000-0000-00001E7D0000}"/>
    <cellStyle name="Normal 89 4 3 2 2 3" xfId="27736" xr:uid="{00000000-0005-0000-0000-00001F7D0000}"/>
    <cellStyle name="Normal 89 4 3 2 3" xfId="15466" xr:uid="{00000000-0005-0000-0000-0000207D0000}"/>
    <cellStyle name="Normal 89 4 3 2 3 2" xfId="32020" xr:uid="{00000000-0005-0000-0000-0000217D0000}"/>
    <cellStyle name="Normal 89 4 3 2 4" xfId="23977" xr:uid="{00000000-0005-0000-0000-0000227D0000}"/>
    <cellStyle name="Normal 89 4 3 3" xfId="10036" xr:uid="{00000000-0005-0000-0000-0000237D0000}"/>
    <cellStyle name="Normal 89 4 3 3 2" xfId="19210" xr:uid="{00000000-0005-0000-0000-0000247D0000}"/>
    <cellStyle name="Normal 89 4 3 3 2 2" xfId="35784" xr:uid="{00000000-0005-0000-0000-0000257D0000}"/>
    <cellStyle name="Normal 89 4 3 3 3" xfId="27737" xr:uid="{00000000-0005-0000-0000-0000267D0000}"/>
    <cellStyle name="Normal 89 4 3 4" xfId="15465" xr:uid="{00000000-0005-0000-0000-0000277D0000}"/>
    <cellStyle name="Normal 89 4 3 4 2" xfId="32019" xr:uid="{00000000-0005-0000-0000-0000287D0000}"/>
    <cellStyle name="Normal 89 4 3 5" xfId="23976" xr:uid="{00000000-0005-0000-0000-0000297D0000}"/>
    <cellStyle name="Normal 89 4 4" xfId="6196" xr:uid="{00000000-0005-0000-0000-00002A7D0000}"/>
    <cellStyle name="Normal 89 4 4 2" xfId="10037" xr:uid="{00000000-0005-0000-0000-00002B7D0000}"/>
    <cellStyle name="Normal 89 4 4 2 2" xfId="19211" xr:uid="{00000000-0005-0000-0000-00002C7D0000}"/>
    <cellStyle name="Normal 89 4 4 2 2 2" xfId="35785" xr:uid="{00000000-0005-0000-0000-00002D7D0000}"/>
    <cellStyle name="Normal 89 4 4 2 3" xfId="27738" xr:uid="{00000000-0005-0000-0000-00002E7D0000}"/>
    <cellStyle name="Normal 89 4 4 3" xfId="15467" xr:uid="{00000000-0005-0000-0000-00002F7D0000}"/>
    <cellStyle name="Normal 89 4 4 3 2" xfId="32021" xr:uid="{00000000-0005-0000-0000-0000307D0000}"/>
    <cellStyle name="Normal 89 4 4 4" xfId="23978" xr:uid="{00000000-0005-0000-0000-0000317D0000}"/>
    <cellStyle name="Normal 89 4 5" xfId="10038" xr:uid="{00000000-0005-0000-0000-0000327D0000}"/>
    <cellStyle name="Normal 89 4 5 2" xfId="19212" xr:uid="{00000000-0005-0000-0000-0000337D0000}"/>
    <cellStyle name="Normal 89 4 5 2 2" xfId="35786" xr:uid="{00000000-0005-0000-0000-0000347D0000}"/>
    <cellStyle name="Normal 89 4 5 3" xfId="27739" xr:uid="{00000000-0005-0000-0000-0000357D0000}"/>
    <cellStyle name="Normal 89 4 6" xfId="15460" xr:uid="{00000000-0005-0000-0000-0000367D0000}"/>
    <cellStyle name="Normal 89 4 6 2" xfId="32014" xr:uid="{00000000-0005-0000-0000-0000377D0000}"/>
    <cellStyle name="Normal 89 4 7" xfId="23971" xr:uid="{00000000-0005-0000-0000-0000387D0000}"/>
    <cellStyle name="Normal 89 5" xfId="6197" xr:uid="{00000000-0005-0000-0000-0000397D0000}"/>
    <cellStyle name="Normal 89 5 2" xfId="6198" xr:uid="{00000000-0005-0000-0000-00003A7D0000}"/>
    <cellStyle name="Normal 89 5 2 2" xfId="6199" xr:uid="{00000000-0005-0000-0000-00003B7D0000}"/>
    <cellStyle name="Normal 89 5 2 2 2" xfId="6200" xr:uid="{00000000-0005-0000-0000-00003C7D0000}"/>
    <cellStyle name="Normal 89 5 2 2 2 2" xfId="10039" xr:uid="{00000000-0005-0000-0000-00003D7D0000}"/>
    <cellStyle name="Normal 89 5 2 2 2 2 2" xfId="19213" xr:uid="{00000000-0005-0000-0000-00003E7D0000}"/>
    <cellStyle name="Normal 89 5 2 2 2 2 2 2" xfId="35787" xr:uid="{00000000-0005-0000-0000-00003F7D0000}"/>
    <cellStyle name="Normal 89 5 2 2 2 2 3" xfId="27740" xr:uid="{00000000-0005-0000-0000-0000407D0000}"/>
    <cellStyle name="Normal 89 5 2 2 2 3" xfId="15471" xr:uid="{00000000-0005-0000-0000-0000417D0000}"/>
    <cellStyle name="Normal 89 5 2 2 2 3 2" xfId="32025" xr:uid="{00000000-0005-0000-0000-0000427D0000}"/>
    <cellStyle name="Normal 89 5 2 2 2 4" xfId="23982" xr:uid="{00000000-0005-0000-0000-0000437D0000}"/>
    <cellStyle name="Normal 89 5 2 2 3" xfId="10040" xr:uid="{00000000-0005-0000-0000-0000447D0000}"/>
    <cellStyle name="Normal 89 5 2 2 3 2" xfId="19214" xr:uid="{00000000-0005-0000-0000-0000457D0000}"/>
    <cellStyle name="Normal 89 5 2 2 3 2 2" xfId="35788" xr:uid="{00000000-0005-0000-0000-0000467D0000}"/>
    <cellStyle name="Normal 89 5 2 2 3 3" xfId="27741" xr:uid="{00000000-0005-0000-0000-0000477D0000}"/>
    <cellStyle name="Normal 89 5 2 2 4" xfId="15470" xr:uid="{00000000-0005-0000-0000-0000487D0000}"/>
    <cellStyle name="Normal 89 5 2 2 4 2" xfId="32024" xr:uid="{00000000-0005-0000-0000-0000497D0000}"/>
    <cellStyle name="Normal 89 5 2 2 5" xfId="23981" xr:uid="{00000000-0005-0000-0000-00004A7D0000}"/>
    <cellStyle name="Normal 89 5 2 3" xfId="6201" xr:uid="{00000000-0005-0000-0000-00004B7D0000}"/>
    <cellStyle name="Normal 89 5 2 3 2" xfId="10041" xr:uid="{00000000-0005-0000-0000-00004C7D0000}"/>
    <cellStyle name="Normal 89 5 2 3 2 2" xfId="19215" xr:uid="{00000000-0005-0000-0000-00004D7D0000}"/>
    <cellStyle name="Normal 89 5 2 3 2 2 2" xfId="35789" xr:uid="{00000000-0005-0000-0000-00004E7D0000}"/>
    <cellStyle name="Normal 89 5 2 3 2 3" xfId="27742" xr:uid="{00000000-0005-0000-0000-00004F7D0000}"/>
    <cellStyle name="Normal 89 5 2 3 3" xfId="15472" xr:uid="{00000000-0005-0000-0000-0000507D0000}"/>
    <cellStyle name="Normal 89 5 2 3 3 2" xfId="32026" xr:uid="{00000000-0005-0000-0000-0000517D0000}"/>
    <cellStyle name="Normal 89 5 2 3 4" xfId="23983" xr:uid="{00000000-0005-0000-0000-0000527D0000}"/>
    <cellStyle name="Normal 89 5 2 4" xfId="10042" xr:uid="{00000000-0005-0000-0000-0000537D0000}"/>
    <cellStyle name="Normal 89 5 2 4 2" xfId="19216" xr:uid="{00000000-0005-0000-0000-0000547D0000}"/>
    <cellStyle name="Normal 89 5 2 4 2 2" xfId="35790" xr:uid="{00000000-0005-0000-0000-0000557D0000}"/>
    <cellStyle name="Normal 89 5 2 4 3" xfId="27743" xr:uid="{00000000-0005-0000-0000-0000567D0000}"/>
    <cellStyle name="Normal 89 5 2 5" xfId="15469" xr:uid="{00000000-0005-0000-0000-0000577D0000}"/>
    <cellStyle name="Normal 89 5 2 5 2" xfId="32023" xr:uid="{00000000-0005-0000-0000-0000587D0000}"/>
    <cellStyle name="Normal 89 5 2 6" xfId="23980" xr:uid="{00000000-0005-0000-0000-0000597D0000}"/>
    <cellStyle name="Normal 89 5 3" xfId="6202" xr:uid="{00000000-0005-0000-0000-00005A7D0000}"/>
    <cellStyle name="Normal 89 5 3 2" xfId="6203" xr:uid="{00000000-0005-0000-0000-00005B7D0000}"/>
    <cellStyle name="Normal 89 5 3 2 2" xfId="10043" xr:uid="{00000000-0005-0000-0000-00005C7D0000}"/>
    <cellStyle name="Normal 89 5 3 2 2 2" xfId="19217" xr:uid="{00000000-0005-0000-0000-00005D7D0000}"/>
    <cellStyle name="Normal 89 5 3 2 2 2 2" xfId="35791" xr:uid="{00000000-0005-0000-0000-00005E7D0000}"/>
    <cellStyle name="Normal 89 5 3 2 2 3" xfId="27744" xr:uid="{00000000-0005-0000-0000-00005F7D0000}"/>
    <cellStyle name="Normal 89 5 3 2 3" xfId="15474" xr:uid="{00000000-0005-0000-0000-0000607D0000}"/>
    <cellStyle name="Normal 89 5 3 2 3 2" xfId="32028" xr:uid="{00000000-0005-0000-0000-0000617D0000}"/>
    <cellStyle name="Normal 89 5 3 2 4" xfId="23985" xr:uid="{00000000-0005-0000-0000-0000627D0000}"/>
    <cellStyle name="Normal 89 5 3 3" xfId="10044" xr:uid="{00000000-0005-0000-0000-0000637D0000}"/>
    <cellStyle name="Normal 89 5 3 3 2" xfId="19218" xr:uid="{00000000-0005-0000-0000-0000647D0000}"/>
    <cellStyle name="Normal 89 5 3 3 2 2" xfId="35792" xr:uid="{00000000-0005-0000-0000-0000657D0000}"/>
    <cellStyle name="Normal 89 5 3 3 3" xfId="27745" xr:uid="{00000000-0005-0000-0000-0000667D0000}"/>
    <cellStyle name="Normal 89 5 3 4" xfId="15473" xr:uid="{00000000-0005-0000-0000-0000677D0000}"/>
    <cellStyle name="Normal 89 5 3 4 2" xfId="32027" xr:uid="{00000000-0005-0000-0000-0000687D0000}"/>
    <cellStyle name="Normal 89 5 3 5" xfId="23984" xr:uid="{00000000-0005-0000-0000-0000697D0000}"/>
    <cellStyle name="Normal 89 5 4" xfId="6204" xr:uid="{00000000-0005-0000-0000-00006A7D0000}"/>
    <cellStyle name="Normal 89 5 4 2" xfId="10045" xr:uid="{00000000-0005-0000-0000-00006B7D0000}"/>
    <cellStyle name="Normal 89 5 4 2 2" xfId="19219" xr:uid="{00000000-0005-0000-0000-00006C7D0000}"/>
    <cellStyle name="Normal 89 5 4 2 2 2" xfId="35793" xr:uid="{00000000-0005-0000-0000-00006D7D0000}"/>
    <cellStyle name="Normal 89 5 4 2 3" xfId="27746" xr:uid="{00000000-0005-0000-0000-00006E7D0000}"/>
    <cellStyle name="Normal 89 5 4 3" xfId="15475" xr:uid="{00000000-0005-0000-0000-00006F7D0000}"/>
    <cellStyle name="Normal 89 5 4 3 2" xfId="32029" xr:uid="{00000000-0005-0000-0000-0000707D0000}"/>
    <cellStyle name="Normal 89 5 4 4" xfId="23986" xr:uid="{00000000-0005-0000-0000-0000717D0000}"/>
    <cellStyle name="Normal 89 5 5" xfId="10046" xr:uid="{00000000-0005-0000-0000-0000727D0000}"/>
    <cellStyle name="Normal 89 5 5 2" xfId="19220" xr:uid="{00000000-0005-0000-0000-0000737D0000}"/>
    <cellStyle name="Normal 89 5 5 2 2" xfId="35794" xr:uid="{00000000-0005-0000-0000-0000747D0000}"/>
    <cellStyle name="Normal 89 5 5 3" xfId="27747" xr:uid="{00000000-0005-0000-0000-0000757D0000}"/>
    <cellStyle name="Normal 89 5 6" xfId="15468" xr:uid="{00000000-0005-0000-0000-0000767D0000}"/>
    <cellStyle name="Normal 89 5 6 2" xfId="32022" xr:uid="{00000000-0005-0000-0000-0000777D0000}"/>
    <cellStyle name="Normal 89 5 7" xfId="23979" xr:uid="{00000000-0005-0000-0000-0000787D0000}"/>
    <cellStyle name="Normal 89 6" xfId="6205" xr:uid="{00000000-0005-0000-0000-0000797D0000}"/>
    <cellStyle name="Normal 89 6 2" xfId="6206" xr:uid="{00000000-0005-0000-0000-00007A7D0000}"/>
    <cellStyle name="Normal 89 6 2 2" xfId="6207" xr:uid="{00000000-0005-0000-0000-00007B7D0000}"/>
    <cellStyle name="Normal 89 6 2 2 2" xfId="10047" xr:uid="{00000000-0005-0000-0000-00007C7D0000}"/>
    <cellStyle name="Normal 89 6 2 2 2 2" xfId="19221" xr:uid="{00000000-0005-0000-0000-00007D7D0000}"/>
    <cellStyle name="Normal 89 6 2 2 2 2 2" xfId="35795" xr:uid="{00000000-0005-0000-0000-00007E7D0000}"/>
    <cellStyle name="Normal 89 6 2 2 2 3" xfId="27748" xr:uid="{00000000-0005-0000-0000-00007F7D0000}"/>
    <cellStyle name="Normal 89 6 2 2 3" xfId="15478" xr:uid="{00000000-0005-0000-0000-0000807D0000}"/>
    <cellStyle name="Normal 89 6 2 2 3 2" xfId="32032" xr:uid="{00000000-0005-0000-0000-0000817D0000}"/>
    <cellStyle name="Normal 89 6 2 2 4" xfId="23989" xr:uid="{00000000-0005-0000-0000-0000827D0000}"/>
    <cellStyle name="Normal 89 6 2 3" xfId="10048" xr:uid="{00000000-0005-0000-0000-0000837D0000}"/>
    <cellStyle name="Normal 89 6 2 3 2" xfId="19222" xr:uid="{00000000-0005-0000-0000-0000847D0000}"/>
    <cellStyle name="Normal 89 6 2 3 2 2" xfId="35796" xr:uid="{00000000-0005-0000-0000-0000857D0000}"/>
    <cellStyle name="Normal 89 6 2 3 3" xfId="27749" xr:uid="{00000000-0005-0000-0000-0000867D0000}"/>
    <cellStyle name="Normal 89 6 2 4" xfId="15477" xr:uid="{00000000-0005-0000-0000-0000877D0000}"/>
    <cellStyle name="Normal 89 6 2 4 2" xfId="32031" xr:uid="{00000000-0005-0000-0000-0000887D0000}"/>
    <cellStyle name="Normal 89 6 2 5" xfId="23988" xr:uid="{00000000-0005-0000-0000-0000897D0000}"/>
    <cellStyle name="Normal 89 6 3" xfId="6208" xr:uid="{00000000-0005-0000-0000-00008A7D0000}"/>
    <cellStyle name="Normal 89 6 3 2" xfId="10049" xr:uid="{00000000-0005-0000-0000-00008B7D0000}"/>
    <cellStyle name="Normal 89 6 3 2 2" xfId="19223" xr:uid="{00000000-0005-0000-0000-00008C7D0000}"/>
    <cellStyle name="Normal 89 6 3 2 2 2" xfId="35797" xr:uid="{00000000-0005-0000-0000-00008D7D0000}"/>
    <cellStyle name="Normal 89 6 3 2 3" xfId="27750" xr:uid="{00000000-0005-0000-0000-00008E7D0000}"/>
    <cellStyle name="Normal 89 6 3 3" xfId="15479" xr:uid="{00000000-0005-0000-0000-00008F7D0000}"/>
    <cellStyle name="Normal 89 6 3 3 2" xfId="32033" xr:uid="{00000000-0005-0000-0000-0000907D0000}"/>
    <cellStyle name="Normal 89 6 3 4" xfId="23990" xr:uid="{00000000-0005-0000-0000-0000917D0000}"/>
    <cellStyle name="Normal 89 6 4" xfId="10050" xr:uid="{00000000-0005-0000-0000-0000927D0000}"/>
    <cellStyle name="Normal 89 6 4 2" xfId="19224" xr:uid="{00000000-0005-0000-0000-0000937D0000}"/>
    <cellStyle name="Normal 89 6 4 2 2" xfId="35798" xr:uid="{00000000-0005-0000-0000-0000947D0000}"/>
    <cellStyle name="Normal 89 6 4 3" xfId="27751" xr:uid="{00000000-0005-0000-0000-0000957D0000}"/>
    <cellStyle name="Normal 89 6 5" xfId="15476" xr:uid="{00000000-0005-0000-0000-0000967D0000}"/>
    <cellStyle name="Normal 89 6 5 2" xfId="32030" xr:uid="{00000000-0005-0000-0000-0000977D0000}"/>
    <cellStyle name="Normal 89 6 6" xfId="23987" xr:uid="{00000000-0005-0000-0000-0000987D0000}"/>
    <cellStyle name="Normal 89 7" xfId="6209" xr:uid="{00000000-0005-0000-0000-0000997D0000}"/>
    <cellStyle name="Normal 89 7 2" xfId="6210" xr:uid="{00000000-0005-0000-0000-00009A7D0000}"/>
    <cellStyle name="Normal 89 7 2 2" xfId="10051" xr:uid="{00000000-0005-0000-0000-00009B7D0000}"/>
    <cellStyle name="Normal 89 7 2 2 2" xfId="19225" xr:uid="{00000000-0005-0000-0000-00009C7D0000}"/>
    <cellStyle name="Normal 89 7 2 2 2 2" xfId="35799" xr:uid="{00000000-0005-0000-0000-00009D7D0000}"/>
    <cellStyle name="Normal 89 7 2 2 3" xfId="27752" xr:uid="{00000000-0005-0000-0000-00009E7D0000}"/>
    <cellStyle name="Normal 89 7 2 3" xfId="15481" xr:uid="{00000000-0005-0000-0000-00009F7D0000}"/>
    <cellStyle name="Normal 89 7 2 3 2" xfId="32035" xr:uid="{00000000-0005-0000-0000-0000A07D0000}"/>
    <cellStyle name="Normal 89 7 2 4" xfId="23992" xr:uid="{00000000-0005-0000-0000-0000A17D0000}"/>
    <cellStyle name="Normal 89 7 3" xfId="10052" xr:uid="{00000000-0005-0000-0000-0000A27D0000}"/>
    <cellStyle name="Normal 89 7 3 2" xfId="19226" xr:uid="{00000000-0005-0000-0000-0000A37D0000}"/>
    <cellStyle name="Normal 89 7 3 2 2" xfId="35800" xr:uid="{00000000-0005-0000-0000-0000A47D0000}"/>
    <cellStyle name="Normal 89 7 3 3" xfId="27753" xr:uid="{00000000-0005-0000-0000-0000A57D0000}"/>
    <cellStyle name="Normal 89 7 4" xfId="15480" xr:uid="{00000000-0005-0000-0000-0000A67D0000}"/>
    <cellStyle name="Normal 89 7 4 2" xfId="32034" xr:uid="{00000000-0005-0000-0000-0000A77D0000}"/>
    <cellStyle name="Normal 89 7 5" xfId="23991" xr:uid="{00000000-0005-0000-0000-0000A87D0000}"/>
    <cellStyle name="Normal 89 8" xfId="6211" xr:uid="{00000000-0005-0000-0000-0000A97D0000}"/>
    <cellStyle name="Normal 89 8 2" xfId="10053" xr:uid="{00000000-0005-0000-0000-0000AA7D0000}"/>
    <cellStyle name="Normal 89 8 2 2" xfId="19227" xr:uid="{00000000-0005-0000-0000-0000AB7D0000}"/>
    <cellStyle name="Normal 89 8 2 2 2" xfId="35801" xr:uid="{00000000-0005-0000-0000-0000AC7D0000}"/>
    <cellStyle name="Normal 89 8 2 3" xfId="27754" xr:uid="{00000000-0005-0000-0000-0000AD7D0000}"/>
    <cellStyle name="Normal 89 8 3" xfId="15482" xr:uid="{00000000-0005-0000-0000-0000AE7D0000}"/>
    <cellStyle name="Normal 89 8 3 2" xfId="32036" xr:uid="{00000000-0005-0000-0000-0000AF7D0000}"/>
    <cellStyle name="Normal 89 8 4" xfId="23993" xr:uid="{00000000-0005-0000-0000-0000B07D0000}"/>
    <cellStyle name="Normal 89 9" xfId="10054" xr:uid="{00000000-0005-0000-0000-0000B17D0000}"/>
    <cellStyle name="Normal 89 9 2" xfId="19228" xr:uid="{00000000-0005-0000-0000-0000B27D0000}"/>
    <cellStyle name="Normal 89 9 2 2" xfId="35802" xr:uid="{00000000-0005-0000-0000-0000B37D0000}"/>
    <cellStyle name="Normal 89 9 3" xfId="27755" xr:uid="{00000000-0005-0000-0000-0000B47D0000}"/>
    <cellStyle name="Normal 9" xfId="55" xr:uid="{00000000-0005-0000-0000-0000B57D0000}"/>
    <cellStyle name="Normal 9 10" xfId="11136" xr:uid="{00000000-0005-0000-0000-0000B67D0000}"/>
    <cellStyle name="Normal 9 11" xfId="15483" xr:uid="{00000000-0005-0000-0000-0000B77D0000}"/>
    <cellStyle name="Normal 9 11 2" xfId="32037" xr:uid="{00000000-0005-0000-0000-0000B87D0000}"/>
    <cellStyle name="Normal 9 12" xfId="23994" xr:uid="{00000000-0005-0000-0000-0000B97D0000}"/>
    <cellStyle name="Normal 9 2" xfId="336" xr:uid="{00000000-0005-0000-0000-0000BA7D0000}"/>
    <cellStyle name="Normal 9 2 2" xfId="337" xr:uid="{00000000-0005-0000-0000-0000BB7D0000}"/>
    <cellStyle name="Normal 9 2 2 2" xfId="6212" xr:uid="{00000000-0005-0000-0000-0000BC7D0000}"/>
    <cellStyle name="Normal 9 2 3" xfId="15484" xr:uid="{00000000-0005-0000-0000-0000BD7D0000}"/>
    <cellStyle name="Normal 9 2 3 2" xfId="32038" xr:uid="{00000000-0005-0000-0000-0000BE7D0000}"/>
    <cellStyle name="Normal 9 2 4" xfId="23995" xr:uid="{00000000-0005-0000-0000-0000BF7D0000}"/>
    <cellStyle name="Normal 9 3" xfId="338" xr:uid="{00000000-0005-0000-0000-0000C07D0000}"/>
    <cellStyle name="Normal 9 3 2" xfId="6214" xr:uid="{00000000-0005-0000-0000-0000C17D0000}"/>
    <cellStyle name="Normal 9 3 2 2" xfId="6215" xr:uid="{00000000-0005-0000-0000-0000C27D0000}"/>
    <cellStyle name="Normal 9 3 2 2 2" xfId="6216" xr:uid="{00000000-0005-0000-0000-0000C37D0000}"/>
    <cellStyle name="Normal 9 3 2 2 2 2" xfId="10055" xr:uid="{00000000-0005-0000-0000-0000C47D0000}"/>
    <cellStyle name="Normal 9 3 2 2 2 2 2" xfId="19229" xr:uid="{00000000-0005-0000-0000-0000C57D0000}"/>
    <cellStyle name="Normal 9 3 2 2 2 2 2 2" xfId="35803" xr:uid="{00000000-0005-0000-0000-0000C67D0000}"/>
    <cellStyle name="Normal 9 3 2 2 2 2 3" xfId="27756" xr:uid="{00000000-0005-0000-0000-0000C77D0000}"/>
    <cellStyle name="Normal 9 3 2 2 2 3" xfId="15487" xr:uid="{00000000-0005-0000-0000-0000C87D0000}"/>
    <cellStyle name="Normal 9 3 2 2 2 3 2" xfId="32041" xr:uid="{00000000-0005-0000-0000-0000C97D0000}"/>
    <cellStyle name="Normal 9 3 2 2 2 4" xfId="23998" xr:uid="{00000000-0005-0000-0000-0000CA7D0000}"/>
    <cellStyle name="Normal 9 3 2 2 3" xfId="10056" xr:uid="{00000000-0005-0000-0000-0000CB7D0000}"/>
    <cellStyle name="Normal 9 3 2 2 3 2" xfId="19230" xr:uid="{00000000-0005-0000-0000-0000CC7D0000}"/>
    <cellStyle name="Normal 9 3 2 2 3 2 2" xfId="35804" xr:uid="{00000000-0005-0000-0000-0000CD7D0000}"/>
    <cellStyle name="Normal 9 3 2 2 3 3" xfId="27757" xr:uid="{00000000-0005-0000-0000-0000CE7D0000}"/>
    <cellStyle name="Normal 9 3 2 2 4" xfId="15486" xr:uid="{00000000-0005-0000-0000-0000CF7D0000}"/>
    <cellStyle name="Normal 9 3 2 2 4 2" xfId="32040" xr:uid="{00000000-0005-0000-0000-0000D07D0000}"/>
    <cellStyle name="Normal 9 3 2 2 5" xfId="23997" xr:uid="{00000000-0005-0000-0000-0000D17D0000}"/>
    <cellStyle name="Normal 9 3 2 3" xfId="6217" xr:uid="{00000000-0005-0000-0000-0000D27D0000}"/>
    <cellStyle name="Normal 9 3 2 3 2" xfId="10057" xr:uid="{00000000-0005-0000-0000-0000D37D0000}"/>
    <cellStyle name="Normal 9 3 2 3 2 2" xfId="19231" xr:uid="{00000000-0005-0000-0000-0000D47D0000}"/>
    <cellStyle name="Normal 9 3 2 3 2 2 2" xfId="35805" xr:uid="{00000000-0005-0000-0000-0000D57D0000}"/>
    <cellStyle name="Normal 9 3 2 3 2 3" xfId="27758" xr:uid="{00000000-0005-0000-0000-0000D67D0000}"/>
    <cellStyle name="Normal 9 3 2 3 3" xfId="15488" xr:uid="{00000000-0005-0000-0000-0000D77D0000}"/>
    <cellStyle name="Normal 9 3 2 3 3 2" xfId="32042" xr:uid="{00000000-0005-0000-0000-0000D87D0000}"/>
    <cellStyle name="Normal 9 3 2 3 4" xfId="23999" xr:uid="{00000000-0005-0000-0000-0000D97D0000}"/>
    <cellStyle name="Normal 9 3 2 4" xfId="10058" xr:uid="{00000000-0005-0000-0000-0000DA7D0000}"/>
    <cellStyle name="Normal 9 3 2 4 2" xfId="19232" xr:uid="{00000000-0005-0000-0000-0000DB7D0000}"/>
    <cellStyle name="Normal 9 3 2 4 2 2" xfId="35806" xr:uid="{00000000-0005-0000-0000-0000DC7D0000}"/>
    <cellStyle name="Normal 9 3 2 4 3" xfId="27759" xr:uid="{00000000-0005-0000-0000-0000DD7D0000}"/>
    <cellStyle name="Normal 9 3 2 5" xfId="15485" xr:uid="{00000000-0005-0000-0000-0000DE7D0000}"/>
    <cellStyle name="Normal 9 3 2 5 2" xfId="32039" xr:uid="{00000000-0005-0000-0000-0000DF7D0000}"/>
    <cellStyle name="Normal 9 3 2 6" xfId="23996" xr:uid="{00000000-0005-0000-0000-0000E07D0000}"/>
    <cellStyle name="Normal 9 3 3" xfId="6218" xr:uid="{00000000-0005-0000-0000-0000E17D0000}"/>
    <cellStyle name="Normal 9 3 3 2" xfId="6219" xr:uid="{00000000-0005-0000-0000-0000E27D0000}"/>
    <cellStyle name="Normal 9 3 3 2 2" xfId="10059" xr:uid="{00000000-0005-0000-0000-0000E37D0000}"/>
    <cellStyle name="Normal 9 3 3 2 2 2" xfId="19233" xr:uid="{00000000-0005-0000-0000-0000E47D0000}"/>
    <cellStyle name="Normal 9 3 3 2 2 2 2" xfId="35807" xr:uid="{00000000-0005-0000-0000-0000E57D0000}"/>
    <cellStyle name="Normal 9 3 3 2 2 3" xfId="27760" xr:uid="{00000000-0005-0000-0000-0000E67D0000}"/>
    <cellStyle name="Normal 9 3 3 2 3" xfId="15490" xr:uid="{00000000-0005-0000-0000-0000E77D0000}"/>
    <cellStyle name="Normal 9 3 3 2 3 2" xfId="32044" xr:uid="{00000000-0005-0000-0000-0000E87D0000}"/>
    <cellStyle name="Normal 9 3 3 2 4" xfId="24001" xr:uid="{00000000-0005-0000-0000-0000E97D0000}"/>
    <cellStyle name="Normal 9 3 3 3" xfId="10060" xr:uid="{00000000-0005-0000-0000-0000EA7D0000}"/>
    <cellStyle name="Normal 9 3 3 3 2" xfId="19234" xr:uid="{00000000-0005-0000-0000-0000EB7D0000}"/>
    <cellStyle name="Normal 9 3 3 3 2 2" xfId="35808" xr:uid="{00000000-0005-0000-0000-0000EC7D0000}"/>
    <cellStyle name="Normal 9 3 3 3 3" xfId="27761" xr:uid="{00000000-0005-0000-0000-0000ED7D0000}"/>
    <cellStyle name="Normal 9 3 3 4" xfId="15489" xr:uid="{00000000-0005-0000-0000-0000EE7D0000}"/>
    <cellStyle name="Normal 9 3 3 4 2" xfId="32043" xr:uid="{00000000-0005-0000-0000-0000EF7D0000}"/>
    <cellStyle name="Normal 9 3 3 5" xfId="24000" xr:uid="{00000000-0005-0000-0000-0000F07D0000}"/>
    <cellStyle name="Normal 9 3 4" xfId="6220" xr:uid="{00000000-0005-0000-0000-0000F17D0000}"/>
    <cellStyle name="Normal 9 3 4 2" xfId="10061" xr:uid="{00000000-0005-0000-0000-0000F27D0000}"/>
    <cellStyle name="Normal 9 3 4 2 2" xfId="19235" xr:uid="{00000000-0005-0000-0000-0000F37D0000}"/>
    <cellStyle name="Normal 9 3 4 2 2 2" xfId="35809" xr:uid="{00000000-0005-0000-0000-0000F47D0000}"/>
    <cellStyle name="Normal 9 3 4 2 3" xfId="27762" xr:uid="{00000000-0005-0000-0000-0000F57D0000}"/>
    <cellStyle name="Normal 9 3 4 3" xfId="15491" xr:uid="{00000000-0005-0000-0000-0000F67D0000}"/>
    <cellStyle name="Normal 9 3 4 3 2" xfId="32045" xr:uid="{00000000-0005-0000-0000-0000F77D0000}"/>
    <cellStyle name="Normal 9 3 4 4" xfId="24002" xr:uid="{00000000-0005-0000-0000-0000F87D0000}"/>
    <cellStyle name="Normal 9 3 5" xfId="10062" xr:uid="{00000000-0005-0000-0000-0000F97D0000}"/>
    <cellStyle name="Normal 9 3 5 2" xfId="19236" xr:uid="{00000000-0005-0000-0000-0000FA7D0000}"/>
    <cellStyle name="Normal 9 3 5 2 2" xfId="35810" xr:uid="{00000000-0005-0000-0000-0000FB7D0000}"/>
    <cellStyle name="Normal 9 3 5 3" xfId="27763" xr:uid="{00000000-0005-0000-0000-0000FC7D0000}"/>
    <cellStyle name="Normal 9 3 6" xfId="6213" xr:uid="{00000000-0005-0000-0000-0000FD7D0000}"/>
    <cellStyle name="Normal 9 4" xfId="456" xr:uid="{00000000-0005-0000-0000-0000FE7D0000}"/>
    <cellStyle name="Normal 9 4 2" xfId="6221" xr:uid="{00000000-0005-0000-0000-0000FF7D0000}"/>
    <cellStyle name="Normal 9 4 2 2" xfId="6222" xr:uid="{00000000-0005-0000-0000-0000007E0000}"/>
    <cellStyle name="Normal 9 4 2 2 2" xfId="6223" xr:uid="{00000000-0005-0000-0000-0000017E0000}"/>
    <cellStyle name="Normal 9 4 2 2 2 2" xfId="10063" xr:uid="{00000000-0005-0000-0000-0000027E0000}"/>
    <cellStyle name="Normal 9 4 2 2 2 2 2" xfId="19237" xr:uid="{00000000-0005-0000-0000-0000037E0000}"/>
    <cellStyle name="Normal 9 4 2 2 2 2 2 2" xfId="35811" xr:uid="{00000000-0005-0000-0000-0000047E0000}"/>
    <cellStyle name="Normal 9 4 2 2 2 2 3" xfId="27764" xr:uid="{00000000-0005-0000-0000-0000057E0000}"/>
    <cellStyle name="Normal 9 4 2 2 2 3" xfId="15495" xr:uid="{00000000-0005-0000-0000-0000067E0000}"/>
    <cellStyle name="Normal 9 4 2 2 2 3 2" xfId="32049" xr:uid="{00000000-0005-0000-0000-0000077E0000}"/>
    <cellStyle name="Normal 9 4 2 2 2 4" xfId="24006" xr:uid="{00000000-0005-0000-0000-0000087E0000}"/>
    <cellStyle name="Normal 9 4 2 2 3" xfId="10064" xr:uid="{00000000-0005-0000-0000-0000097E0000}"/>
    <cellStyle name="Normal 9 4 2 2 3 2" xfId="19238" xr:uid="{00000000-0005-0000-0000-00000A7E0000}"/>
    <cellStyle name="Normal 9 4 2 2 3 2 2" xfId="35812" xr:uid="{00000000-0005-0000-0000-00000B7E0000}"/>
    <cellStyle name="Normal 9 4 2 2 3 3" xfId="27765" xr:uid="{00000000-0005-0000-0000-00000C7E0000}"/>
    <cellStyle name="Normal 9 4 2 2 4" xfId="15494" xr:uid="{00000000-0005-0000-0000-00000D7E0000}"/>
    <cellStyle name="Normal 9 4 2 2 4 2" xfId="32048" xr:uid="{00000000-0005-0000-0000-00000E7E0000}"/>
    <cellStyle name="Normal 9 4 2 2 5" xfId="24005" xr:uid="{00000000-0005-0000-0000-00000F7E0000}"/>
    <cellStyle name="Normal 9 4 2 3" xfId="6224" xr:uid="{00000000-0005-0000-0000-0000107E0000}"/>
    <cellStyle name="Normal 9 4 2 3 2" xfId="10065" xr:uid="{00000000-0005-0000-0000-0000117E0000}"/>
    <cellStyle name="Normal 9 4 2 3 2 2" xfId="19239" xr:uid="{00000000-0005-0000-0000-0000127E0000}"/>
    <cellStyle name="Normal 9 4 2 3 2 2 2" xfId="35813" xr:uid="{00000000-0005-0000-0000-0000137E0000}"/>
    <cellStyle name="Normal 9 4 2 3 2 3" xfId="27766" xr:uid="{00000000-0005-0000-0000-0000147E0000}"/>
    <cellStyle name="Normal 9 4 2 3 3" xfId="15496" xr:uid="{00000000-0005-0000-0000-0000157E0000}"/>
    <cellStyle name="Normal 9 4 2 3 3 2" xfId="32050" xr:uid="{00000000-0005-0000-0000-0000167E0000}"/>
    <cellStyle name="Normal 9 4 2 3 4" xfId="24007" xr:uid="{00000000-0005-0000-0000-0000177E0000}"/>
    <cellStyle name="Normal 9 4 2 4" xfId="10066" xr:uid="{00000000-0005-0000-0000-0000187E0000}"/>
    <cellStyle name="Normal 9 4 2 4 2" xfId="19240" xr:uid="{00000000-0005-0000-0000-0000197E0000}"/>
    <cellStyle name="Normal 9 4 2 4 2 2" xfId="35814" xr:uid="{00000000-0005-0000-0000-00001A7E0000}"/>
    <cellStyle name="Normal 9 4 2 4 3" xfId="27767" xr:uid="{00000000-0005-0000-0000-00001B7E0000}"/>
    <cellStyle name="Normal 9 4 2 5" xfId="15493" xr:uid="{00000000-0005-0000-0000-00001C7E0000}"/>
    <cellStyle name="Normal 9 4 2 5 2" xfId="32047" xr:uid="{00000000-0005-0000-0000-00001D7E0000}"/>
    <cellStyle name="Normal 9 4 2 6" xfId="24004" xr:uid="{00000000-0005-0000-0000-00001E7E0000}"/>
    <cellStyle name="Normal 9 4 3" xfId="6225" xr:uid="{00000000-0005-0000-0000-00001F7E0000}"/>
    <cellStyle name="Normal 9 4 3 2" xfId="6226" xr:uid="{00000000-0005-0000-0000-0000207E0000}"/>
    <cellStyle name="Normal 9 4 3 2 2" xfId="10067" xr:uid="{00000000-0005-0000-0000-0000217E0000}"/>
    <cellStyle name="Normal 9 4 3 2 2 2" xfId="19241" xr:uid="{00000000-0005-0000-0000-0000227E0000}"/>
    <cellStyle name="Normal 9 4 3 2 2 2 2" xfId="35815" xr:uid="{00000000-0005-0000-0000-0000237E0000}"/>
    <cellStyle name="Normal 9 4 3 2 2 3" xfId="27768" xr:uid="{00000000-0005-0000-0000-0000247E0000}"/>
    <cellStyle name="Normal 9 4 3 2 3" xfId="15498" xr:uid="{00000000-0005-0000-0000-0000257E0000}"/>
    <cellStyle name="Normal 9 4 3 2 3 2" xfId="32052" xr:uid="{00000000-0005-0000-0000-0000267E0000}"/>
    <cellStyle name="Normal 9 4 3 2 4" xfId="24009" xr:uid="{00000000-0005-0000-0000-0000277E0000}"/>
    <cellStyle name="Normal 9 4 3 3" xfId="10068" xr:uid="{00000000-0005-0000-0000-0000287E0000}"/>
    <cellStyle name="Normal 9 4 3 3 2" xfId="19242" xr:uid="{00000000-0005-0000-0000-0000297E0000}"/>
    <cellStyle name="Normal 9 4 3 3 2 2" xfId="35816" xr:uid="{00000000-0005-0000-0000-00002A7E0000}"/>
    <cellStyle name="Normal 9 4 3 3 3" xfId="27769" xr:uid="{00000000-0005-0000-0000-00002B7E0000}"/>
    <cellStyle name="Normal 9 4 3 4" xfId="15497" xr:uid="{00000000-0005-0000-0000-00002C7E0000}"/>
    <cellStyle name="Normal 9 4 3 4 2" xfId="32051" xr:uid="{00000000-0005-0000-0000-00002D7E0000}"/>
    <cellStyle name="Normal 9 4 3 5" xfId="24008" xr:uid="{00000000-0005-0000-0000-00002E7E0000}"/>
    <cellStyle name="Normal 9 4 4" xfId="6227" xr:uid="{00000000-0005-0000-0000-00002F7E0000}"/>
    <cellStyle name="Normal 9 4 4 2" xfId="10069" xr:uid="{00000000-0005-0000-0000-0000307E0000}"/>
    <cellStyle name="Normal 9 4 4 2 2" xfId="19243" xr:uid="{00000000-0005-0000-0000-0000317E0000}"/>
    <cellStyle name="Normal 9 4 4 2 2 2" xfId="35817" xr:uid="{00000000-0005-0000-0000-0000327E0000}"/>
    <cellStyle name="Normal 9 4 4 2 3" xfId="27770" xr:uid="{00000000-0005-0000-0000-0000337E0000}"/>
    <cellStyle name="Normal 9 4 4 3" xfId="15499" xr:uid="{00000000-0005-0000-0000-0000347E0000}"/>
    <cellStyle name="Normal 9 4 4 3 2" xfId="32053" xr:uid="{00000000-0005-0000-0000-0000357E0000}"/>
    <cellStyle name="Normal 9 4 4 4" xfId="24010" xr:uid="{00000000-0005-0000-0000-0000367E0000}"/>
    <cellStyle name="Normal 9 4 5" xfId="10070" xr:uid="{00000000-0005-0000-0000-0000377E0000}"/>
    <cellStyle name="Normal 9 4 5 2" xfId="19244" xr:uid="{00000000-0005-0000-0000-0000387E0000}"/>
    <cellStyle name="Normal 9 4 5 2 2" xfId="35818" xr:uid="{00000000-0005-0000-0000-0000397E0000}"/>
    <cellStyle name="Normal 9 4 5 3" xfId="27771" xr:uid="{00000000-0005-0000-0000-00003A7E0000}"/>
    <cellStyle name="Normal 9 4 6" xfId="15492" xr:uid="{00000000-0005-0000-0000-00003B7E0000}"/>
    <cellStyle name="Normal 9 4 6 2" xfId="32046" xr:uid="{00000000-0005-0000-0000-00003C7E0000}"/>
    <cellStyle name="Normal 9 4 7" xfId="24003" xr:uid="{00000000-0005-0000-0000-00003D7E0000}"/>
    <cellStyle name="Normal 9 5" xfId="1777" xr:uid="{00000000-0005-0000-0000-00003E7E0000}"/>
    <cellStyle name="Normal 9 5 2" xfId="6229" xr:uid="{00000000-0005-0000-0000-00003F7E0000}"/>
    <cellStyle name="Normal 9 5 2 2" xfId="6230" xr:uid="{00000000-0005-0000-0000-0000407E0000}"/>
    <cellStyle name="Normal 9 5 2 2 2" xfId="6231" xr:uid="{00000000-0005-0000-0000-0000417E0000}"/>
    <cellStyle name="Normal 9 5 2 2 2 2" xfId="10071" xr:uid="{00000000-0005-0000-0000-0000427E0000}"/>
    <cellStyle name="Normal 9 5 2 2 2 2 2" xfId="19245" xr:uid="{00000000-0005-0000-0000-0000437E0000}"/>
    <cellStyle name="Normal 9 5 2 2 2 2 2 2" xfId="35819" xr:uid="{00000000-0005-0000-0000-0000447E0000}"/>
    <cellStyle name="Normal 9 5 2 2 2 2 3" xfId="27772" xr:uid="{00000000-0005-0000-0000-0000457E0000}"/>
    <cellStyle name="Normal 9 5 2 2 2 3" xfId="15502" xr:uid="{00000000-0005-0000-0000-0000467E0000}"/>
    <cellStyle name="Normal 9 5 2 2 2 3 2" xfId="32057" xr:uid="{00000000-0005-0000-0000-0000477E0000}"/>
    <cellStyle name="Normal 9 5 2 2 2 4" xfId="24014" xr:uid="{00000000-0005-0000-0000-0000487E0000}"/>
    <cellStyle name="Normal 9 5 2 2 3" xfId="10072" xr:uid="{00000000-0005-0000-0000-0000497E0000}"/>
    <cellStyle name="Normal 9 5 2 2 3 2" xfId="19246" xr:uid="{00000000-0005-0000-0000-00004A7E0000}"/>
    <cellStyle name="Normal 9 5 2 2 3 2 2" xfId="35820" xr:uid="{00000000-0005-0000-0000-00004B7E0000}"/>
    <cellStyle name="Normal 9 5 2 2 3 3" xfId="27773" xr:uid="{00000000-0005-0000-0000-00004C7E0000}"/>
    <cellStyle name="Normal 9 5 2 2 4" xfId="15501" xr:uid="{00000000-0005-0000-0000-00004D7E0000}"/>
    <cellStyle name="Normal 9 5 2 2 4 2" xfId="32056" xr:uid="{00000000-0005-0000-0000-00004E7E0000}"/>
    <cellStyle name="Normal 9 5 2 2 5" xfId="24013" xr:uid="{00000000-0005-0000-0000-00004F7E0000}"/>
    <cellStyle name="Normal 9 5 2 3" xfId="6232" xr:uid="{00000000-0005-0000-0000-0000507E0000}"/>
    <cellStyle name="Normal 9 5 2 3 2" xfId="10073" xr:uid="{00000000-0005-0000-0000-0000517E0000}"/>
    <cellStyle name="Normal 9 5 2 3 2 2" xfId="19247" xr:uid="{00000000-0005-0000-0000-0000527E0000}"/>
    <cellStyle name="Normal 9 5 2 3 2 2 2" xfId="35821" xr:uid="{00000000-0005-0000-0000-0000537E0000}"/>
    <cellStyle name="Normal 9 5 2 3 2 3" xfId="27774" xr:uid="{00000000-0005-0000-0000-0000547E0000}"/>
    <cellStyle name="Normal 9 5 2 3 3" xfId="15503" xr:uid="{00000000-0005-0000-0000-0000557E0000}"/>
    <cellStyle name="Normal 9 5 2 3 3 2" xfId="32058" xr:uid="{00000000-0005-0000-0000-0000567E0000}"/>
    <cellStyle name="Normal 9 5 2 3 4" xfId="24015" xr:uid="{00000000-0005-0000-0000-0000577E0000}"/>
    <cellStyle name="Normal 9 5 2 4" xfId="10074" xr:uid="{00000000-0005-0000-0000-0000587E0000}"/>
    <cellStyle name="Normal 9 5 2 4 2" xfId="19248" xr:uid="{00000000-0005-0000-0000-0000597E0000}"/>
    <cellStyle name="Normal 9 5 2 4 2 2" xfId="35822" xr:uid="{00000000-0005-0000-0000-00005A7E0000}"/>
    <cellStyle name="Normal 9 5 2 4 3" xfId="27775" xr:uid="{00000000-0005-0000-0000-00005B7E0000}"/>
    <cellStyle name="Normal 9 5 2 5" xfId="15500" xr:uid="{00000000-0005-0000-0000-00005C7E0000}"/>
    <cellStyle name="Normal 9 5 2 5 2" xfId="32055" xr:uid="{00000000-0005-0000-0000-00005D7E0000}"/>
    <cellStyle name="Normal 9 5 2 6" xfId="24012" xr:uid="{00000000-0005-0000-0000-00005E7E0000}"/>
    <cellStyle name="Normal 9 5 3" xfId="6233" xr:uid="{00000000-0005-0000-0000-00005F7E0000}"/>
    <cellStyle name="Normal 9 5 3 2" xfId="6234" xr:uid="{00000000-0005-0000-0000-0000607E0000}"/>
    <cellStyle name="Normal 9 5 3 2 2" xfId="10075" xr:uid="{00000000-0005-0000-0000-0000617E0000}"/>
    <cellStyle name="Normal 9 5 3 2 2 2" xfId="19249" xr:uid="{00000000-0005-0000-0000-0000627E0000}"/>
    <cellStyle name="Normal 9 5 3 2 2 2 2" xfId="35823" xr:uid="{00000000-0005-0000-0000-0000637E0000}"/>
    <cellStyle name="Normal 9 5 3 2 2 3" xfId="27776" xr:uid="{00000000-0005-0000-0000-0000647E0000}"/>
    <cellStyle name="Normal 9 5 3 2 3" xfId="15505" xr:uid="{00000000-0005-0000-0000-0000657E0000}"/>
    <cellStyle name="Normal 9 5 3 2 3 2" xfId="32060" xr:uid="{00000000-0005-0000-0000-0000667E0000}"/>
    <cellStyle name="Normal 9 5 3 2 4" xfId="24017" xr:uid="{00000000-0005-0000-0000-0000677E0000}"/>
    <cellStyle name="Normal 9 5 3 3" xfId="10076" xr:uid="{00000000-0005-0000-0000-0000687E0000}"/>
    <cellStyle name="Normal 9 5 3 3 2" xfId="19250" xr:uid="{00000000-0005-0000-0000-0000697E0000}"/>
    <cellStyle name="Normal 9 5 3 3 2 2" xfId="35824" xr:uid="{00000000-0005-0000-0000-00006A7E0000}"/>
    <cellStyle name="Normal 9 5 3 3 3" xfId="27777" xr:uid="{00000000-0005-0000-0000-00006B7E0000}"/>
    <cellStyle name="Normal 9 5 3 4" xfId="15504" xr:uid="{00000000-0005-0000-0000-00006C7E0000}"/>
    <cellStyle name="Normal 9 5 3 4 2" xfId="32059" xr:uid="{00000000-0005-0000-0000-00006D7E0000}"/>
    <cellStyle name="Normal 9 5 3 5" xfId="24016" xr:uid="{00000000-0005-0000-0000-00006E7E0000}"/>
    <cellStyle name="Normal 9 5 4" xfId="6235" xr:uid="{00000000-0005-0000-0000-00006F7E0000}"/>
    <cellStyle name="Normal 9 5 4 2" xfId="10077" xr:uid="{00000000-0005-0000-0000-0000707E0000}"/>
    <cellStyle name="Normal 9 5 4 2 2" xfId="19251" xr:uid="{00000000-0005-0000-0000-0000717E0000}"/>
    <cellStyle name="Normal 9 5 4 2 2 2" xfId="35825" xr:uid="{00000000-0005-0000-0000-0000727E0000}"/>
    <cellStyle name="Normal 9 5 4 2 3" xfId="27778" xr:uid="{00000000-0005-0000-0000-0000737E0000}"/>
    <cellStyle name="Normal 9 5 4 3" xfId="15506" xr:uid="{00000000-0005-0000-0000-0000747E0000}"/>
    <cellStyle name="Normal 9 5 4 3 2" xfId="32061" xr:uid="{00000000-0005-0000-0000-0000757E0000}"/>
    <cellStyle name="Normal 9 5 4 4" xfId="24018" xr:uid="{00000000-0005-0000-0000-0000767E0000}"/>
    <cellStyle name="Normal 9 5 5" xfId="10078" xr:uid="{00000000-0005-0000-0000-0000777E0000}"/>
    <cellStyle name="Normal 9 5 5 2" xfId="19252" xr:uid="{00000000-0005-0000-0000-0000787E0000}"/>
    <cellStyle name="Normal 9 5 5 2 2" xfId="35826" xr:uid="{00000000-0005-0000-0000-0000797E0000}"/>
    <cellStyle name="Normal 9 5 5 3" xfId="27779" xr:uid="{00000000-0005-0000-0000-00007A7E0000}"/>
    <cellStyle name="Normal 9 5 6" xfId="6228" xr:uid="{00000000-0005-0000-0000-00007B7E0000}"/>
    <cellStyle name="Normal 9 5 6 2" xfId="32054" xr:uid="{00000000-0005-0000-0000-00007C7E0000}"/>
    <cellStyle name="Normal 9 5 7" xfId="24011" xr:uid="{00000000-0005-0000-0000-00007D7E0000}"/>
    <cellStyle name="Normal 9 6" xfId="1736" xr:uid="{00000000-0005-0000-0000-00007E7E0000}"/>
    <cellStyle name="Normal 9 6 2" xfId="6237" xr:uid="{00000000-0005-0000-0000-00007F7E0000}"/>
    <cellStyle name="Normal 9 6 2 2" xfId="6238" xr:uid="{00000000-0005-0000-0000-0000807E0000}"/>
    <cellStyle name="Normal 9 6 2 2 2" xfId="10079" xr:uid="{00000000-0005-0000-0000-0000817E0000}"/>
    <cellStyle name="Normal 9 6 2 2 2 2" xfId="19253" xr:uid="{00000000-0005-0000-0000-0000827E0000}"/>
    <cellStyle name="Normal 9 6 2 2 2 2 2" xfId="35827" xr:uid="{00000000-0005-0000-0000-0000837E0000}"/>
    <cellStyle name="Normal 9 6 2 2 2 3" xfId="27780" xr:uid="{00000000-0005-0000-0000-0000847E0000}"/>
    <cellStyle name="Normal 9 6 2 2 3" xfId="15508" xr:uid="{00000000-0005-0000-0000-0000857E0000}"/>
    <cellStyle name="Normal 9 6 2 2 3 2" xfId="32064" xr:uid="{00000000-0005-0000-0000-0000867E0000}"/>
    <cellStyle name="Normal 9 6 2 2 4" xfId="24021" xr:uid="{00000000-0005-0000-0000-0000877E0000}"/>
    <cellStyle name="Normal 9 6 2 3" xfId="10080" xr:uid="{00000000-0005-0000-0000-0000887E0000}"/>
    <cellStyle name="Normal 9 6 2 3 2" xfId="19254" xr:uid="{00000000-0005-0000-0000-0000897E0000}"/>
    <cellStyle name="Normal 9 6 2 3 2 2" xfId="35828" xr:uid="{00000000-0005-0000-0000-00008A7E0000}"/>
    <cellStyle name="Normal 9 6 2 3 3" xfId="27781" xr:uid="{00000000-0005-0000-0000-00008B7E0000}"/>
    <cellStyle name="Normal 9 6 2 4" xfId="15507" xr:uid="{00000000-0005-0000-0000-00008C7E0000}"/>
    <cellStyle name="Normal 9 6 2 4 2" xfId="32063" xr:uid="{00000000-0005-0000-0000-00008D7E0000}"/>
    <cellStyle name="Normal 9 6 2 5" xfId="24020" xr:uid="{00000000-0005-0000-0000-00008E7E0000}"/>
    <cellStyle name="Normal 9 6 3" xfId="6239" xr:uid="{00000000-0005-0000-0000-00008F7E0000}"/>
    <cellStyle name="Normal 9 6 3 2" xfId="10081" xr:uid="{00000000-0005-0000-0000-0000907E0000}"/>
    <cellStyle name="Normal 9 6 3 2 2" xfId="19255" xr:uid="{00000000-0005-0000-0000-0000917E0000}"/>
    <cellStyle name="Normal 9 6 3 2 2 2" xfId="35829" xr:uid="{00000000-0005-0000-0000-0000927E0000}"/>
    <cellStyle name="Normal 9 6 3 2 3" xfId="27782" xr:uid="{00000000-0005-0000-0000-0000937E0000}"/>
    <cellStyle name="Normal 9 6 3 3" xfId="15509" xr:uid="{00000000-0005-0000-0000-0000947E0000}"/>
    <cellStyle name="Normal 9 6 3 3 2" xfId="32065" xr:uid="{00000000-0005-0000-0000-0000957E0000}"/>
    <cellStyle name="Normal 9 6 3 4" xfId="24022" xr:uid="{00000000-0005-0000-0000-0000967E0000}"/>
    <cellStyle name="Normal 9 6 4" xfId="10082" xr:uid="{00000000-0005-0000-0000-0000977E0000}"/>
    <cellStyle name="Normal 9 6 4 2" xfId="19256" xr:uid="{00000000-0005-0000-0000-0000987E0000}"/>
    <cellStyle name="Normal 9 6 4 2 2" xfId="35830" xr:uid="{00000000-0005-0000-0000-0000997E0000}"/>
    <cellStyle name="Normal 9 6 4 3" xfId="27783" xr:uid="{00000000-0005-0000-0000-00009A7E0000}"/>
    <cellStyle name="Normal 9 6 5" xfId="6236" xr:uid="{00000000-0005-0000-0000-00009B7E0000}"/>
    <cellStyle name="Normal 9 6 5 2" xfId="32062" xr:uid="{00000000-0005-0000-0000-00009C7E0000}"/>
    <cellStyle name="Normal 9 6 6" xfId="24019" xr:uid="{00000000-0005-0000-0000-00009D7E0000}"/>
    <cellStyle name="Normal 9 7" xfId="6240" xr:uid="{00000000-0005-0000-0000-00009E7E0000}"/>
    <cellStyle name="Normal 9 7 2" xfId="6241" xr:uid="{00000000-0005-0000-0000-00009F7E0000}"/>
    <cellStyle name="Normal 9 7 2 2" xfId="10083" xr:uid="{00000000-0005-0000-0000-0000A07E0000}"/>
    <cellStyle name="Normal 9 7 2 2 2" xfId="19257" xr:uid="{00000000-0005-0000-0000-0000A17E0000}"/>
    <cellStyle name="Normal 9 7 2 2 2 2" xfId="35831" xr:uid="{00000000-0005-0000-0000-0000A27E0000}"/>
    <cellStyle name="Normal 9 7 2 2 3" xfId="27784" xr:uid="{00000000-0005-0000-0000-0000A37E0000}"/>
    <cellStyle name="Normal 9 7 2 3" xfId="15511" xr:uid="{00000000-0005-0000-0000-0000A47E0000}"/>
    <cellStyle name="Normal 9 7 2 3 2" xfId="32067" xr:uid="{00000000-0005-0000-0000-0000A57E0000}"/>
    <cellStyle name="Normal 9 7 2 4" xfId="24024" xr:uid="{00000000-0005-0000-0000-0000A67E0000}"/>
    <cellStyle name="Normal 9 7 3" xfId="10084" xr:uid="{00000000-0005-0000-0000-0000A77E0000}"/>
    <cellStyle name="Normal 9 7 3 2" xfId="19258" xr:uid="{00000000-0005-0000-0000-0000A87E0000}"/>
    <cellStyle name="Normal 9 7 3 2 2" xfId="35832" xr:uid="{00000000-0005-0000-0000-0000A97E0000}"/>
    <cellStyle name="Normal 9 7 3 3" xfId="27785" xr:uid="{00000000-0005-0000-0000-0000AA7E0000}"/>
    <cellStyle name="Normal 9 7 4" xfId="15510" xr:uid="{00000000-0005-0000-0000-0000AB7E0000}"/>
    <cellStyle name="Normal 9 7 4 2" xfId="32066" xr:uid="{00000000-0005-0000-0000-0000AC7E0000}"/>
    <cellStyle name="Normal 9 7 5" xfId="24023" xr:uid="{00000000-0005-0000-0000-0000AD7E0000}"/>
    <cellStyle name="Normal 9 8" xfId="6242" xr:uid="{00000000-0005-0000-0000-0000AE7E0000}"/>
    <cellStyle name="Normal 9 8 2" xfId="10085" xr:uid="{00000000-0005-0000-0000-0000AF7E0000}"/>
    <cellStyle name="Normal 9 8 2 2" xfId="19259" xr:uid="{00000000-0005-0000-0000-0000B07E0000}"/>
    <cellStyle name="Normal 9 8 2 2 2" xfId="35833" xr:uid="{00000000-0005-0000-0000-0000B17E0000}"/>
    <cellStyle name="Normal 9 8 2 3" xfId="27786" xr:uid="{00000000-0005-0000-0000-0000B27E0000}"/>
    <cellStyle name="Normal 9 8 3" xfId="15512" xr:uid="{00000000-0005-0000-0000-0000B37E0000}"/>
    <cellStyle name="Normal 9 8 3 2" xfId="32068" xr:uid="{00000000-0005-0000-0000-0000B47E0000}"/>
    <cellStyle name="Normal 9 8 4" xfId="24025" xr:uid="{00000000-0005-0000-0000-0000B57E0000}"/>
    <cellStyle name="Normal 9 9" xfId="10086" xr:uid="{00000000-0005-0000-0000-0000B67E0000}"/>
    <cellStyle name="Normal 9 9 2" xfId="19260" xr:uid="{00000000-0005-0000-0000-0000B77E0000}"/>
    <cellStyle name="Normal 9 9 2 2" xfId="35834" xr:uid="{00000000-0005-0000-0000-0000B87E0000}"/>
    <cellStyle name="Normal 9 9 3" xfId="27787" xr:uid="{00000000-0005-0000-0000-0000B97E0000}"/>
    <cellStyle name="Normal 90" xfId="6243" xr:uid="{00000000-0005-0000-0000-0000BA7E0000}"/>
    <cellStyle name="Normal 90 10" xfId="15513" xr:uid="{00000000-0005-0000-0000-0000BB7E0000}"/>
    <cellStyle name="Normal 90 10 2" xfId="32069" xr:uid="{00000000-0005-0000-0000-0000BC7E0000}"/>
    <cellStyle name="Normal 90 11" xfId="24026" xr:uid="{00000000-0005-0000-0000-0000BD7E0000}"/>
    <cellStyle name="Normal 90 2" xfId="6244" xr:uid="{00000000-0005-0000-0000-0000BE7E0000}"/>
    <cellStyle name="Normal 90 2 2" xfId="6245" xr:uid="{00000000-0005-0000-0000-0000BF7E0000}"/>
    <cellStyle name="Normal 90 2 3" xfId="15514" xr:uid="{00000000-0005-0000-0000-0000C07E0000}"/>
    <cellStyle name="Normal 90 2 3 2" xfId="32070" xr:uid="{00000000-0005-0000-0000-0000C17E0000}"/>
    <cellStyle name="Normal 90 2 4" xfId="24027" xr:uid="{00000000-0005-0000-0000-0000C27E0000}"/>
    <cellStyle name="Normal 90 3" xfId="6246" xr:uid="{00000000-0005-0000-0000-0000C37E0000}"/>
    <cellStyle name="Normal 90 3 2" xfId="6247" xr:uid="{00000000-0005-0000-0000-0000C47E0000}"/>
    <cellStyle name="Normal 90 3 2 2" xfId="6248" xr:uid="{00000000-0005-0000-0000-0000C57E0000}"/>
    <cellStyle name="Normal 90 3 2 2 2" xfId="6249" xr:uid="{00000000-0005-0000-0000-0000C67E0000}"/>
    <cellStyle name="Normal 90 3 2 2 2 2" xfId="10087" xr:uid="{00000000-0005-0000-0000-0000C77E0000}"/>
    <cellStyle name="Normal 90 3 2 2 2 2 2" xfId="19261" xr:uid="{00000000-0005-0000-0000-0000C87E0000}"/>
    <cellStyle name="Normal 90 3 2 2 2 2 2 2" xfId="35835" xr:uid="{00000000-0005-0000-0000-0000C97E0000}"/>
    <cellStyle name="Normal 90 3 2 2 2 2 3" xfId="27788" xr:uid="{00000000-0005-0000-0000-0000CA7E0000}"/>
    <cellStyle name="Normal 90 3 2 2 2 3" xfId="15517" xr:uid="{00000000-0005-0000-0000-0000CB7E0000}"/>
    <cellStyle name="Normal 90 3 2 2 2 3 2" xfId="32073" xr:uid="{00000000-0005-0000-0000-0000CC7E0000}"/>
    <cellStyle name="Normal 90 3 2 2 2 4" xfId="24030" xr:uid="{00000000-0005-0000-0000-0000CD7E0000}"/>
    <cellStyle name="Normal 90 3 2 2 3" xfId="10088" xr:uid="{00000000-0005-0000-0000-0000CE7E0000}"/>
    <cellStyle name="Normal 90 3 2 2 3 2" xfId="19262" xr:uid="{00000000-0005-0000-0000-0000CF7E0000}"/>
    <cellStyle name="Normal 90 3 2 2 3 2 2" xfId="35836" xr:uid="{00000000-0005-0000-0000-0000D07E0000}"/>
    <cellStyle name="Normal 90 3 2 2 3 3" xfId="27789" xr:uid="{00000000-0005-0000-0000-0000D17E0000}"/>
    <cellStyle name="Normal 90 3 2 2 4" xfId="15516" xr:uid="{00000000-0005-0000-0000-0000D27E0000}"/>
    <cellStyle name="Normal 90 3 2 2 4 2" xfId="32072" xr:uid="{00000000-0005-0000-0000-0000D37E0000}"/>
    <cellStyle name="Normal 90 3 2 2 5" xfId="24029" xr:uid="{00000000-0005-0000-0000-0000D47E0000}"/>
    <cellStyle name="Normal 90 3 2 3" xfId="6250" xr:uid="{00000000-0005-0000-0000-0000D57E0000}"/>
    <cellStyle name="Normal 90 3 2 3 2" xfId="10089" xr:uid="{00000000-0005-0000-0000-0000D67E0000}"/>
    <cellStyle name="Normal 90 3 2 3 2 2" xfId="19263" xr:uid="{00000000-0005-0000-0000-0000D77E0000}"/>
    <cellStyle name="Normal 90 3 2 3 2 2 2" xfId="35837" xr:uid="{00000000-0005-0000-0000-0000D87E0000}"/>
    <cellStyle name="Normal 90 3 2 3 2 3" xfId="27790" xr:uid="{00000000-0005-0000-0000-0000D97E0000}"/>
    <cellStyle name="Normal 90 3 2 3 3" xfId="15518" xr:uid="{00000000-0005-0000-0000-0000DA7E0000}"/>
    <cellStyle name="Normal 90 3 2 3 3 2" xfId="32074" xr:uid="{00000000-0005-0000-0000-0000DB7E0000}"/>
    <cellStyle name="Normal 90 3 2 3 4" xfId="24031" xr:uid="{00000000-0005-0000-0000-0000DC7E0000}"/>
    <cellStyle name="Normal 90 3 2 4" xfId="10090" xr:uid="{00000000-0005-0000-0000-0000DD7E0000}"/>
    <cellStyle name="Normal 90 3 2 4 2" xfId="19264" xr:uid="{00000000-0005-0000-0000-0000DE7E0000}"/>
    <cellStyle name="Normal 90 3 2 4 2 2" xfId="35838" xr:uid="{00000000-0005-0000-0000-0000DF7E0000}"/>
    <cellStyle name="Normal 90 3 2 4 3" xfId="27791" xr:uid="{00000000-0005-0000-0000-0000E07E0000}"/>
    <cellStyle name="Normal 90 3 2 5" xfId="15515" xr:uid="{00000000-0005-0000-0000-0000E17E0000}"/>
    <cellStyle name="Normal 90 3 2 5 2" xfId="32071" xr:uid="{00000000-0005-0000-0000-0000E27E0000}"/>
    <cellStyle name="Normal 90 3 2 6" xfId="24028" xr:uid="{00000000-0005-0000-0000-0000E37E0000}"/>
    <cellStyle name="Normal 90 3 3" xfId="6251" xr:uid="{00000000-0005-0000-0000-0000E47E0000}"/>
    <cellStyle name="Normal 90 3 3 2" xfId="6252" xr:uid="{00000000-0005-0000-0000-0000E57E0000}"/>
    <cellStyle name="Normal 90 3 3 2 2" xfId="10091" xr:uid="{00000000-0005-0000-0000-0000E67E0000}"/>
    <cellStyle name="Normal 90 3 3 2 2 2" xfId="19265" xr:uid="{00000000-0005-0000-0000-0000E77E0000}"/>
    <cellStyle name="Normal 90 3 3 2 2 2 2" xfId="35839" xr:uid="{00000000-0005-0000-0000-0000E87E0000}"/>
    <cellStyle name="Normal 90 3 3 2 2 3" xfId="27792" xr:uid="{00000000-0005-0000-0000-0000E97E0000}"/>
    <cellStyle name="Normal 90 3 3 2 3" xfId="15520" xr:uid="{00000000-0005-0000-0000-0000EA7E0000}"/>
    <cellStyle name="Normal 90 3 3 2 3 2" xfId="32076" xr:uid="{00000000-0005-0000-0000-0000EB7E0000}"/>
    <cellStyle name="Normal 90 3 3 2 4" xfId="24033" xr:uid="{00000000-0005-0000-0000-0000EC7E0000}"/>
    <cellStyle name="Normal 90 3 3 3" xfId="10092" xr:uid="{00000000-0005-0000-0000-0000ED7E0000}"/>
    <cellStyle name="Normal 90 3 3 3 2" xfId="19266" xr:uid="{00000000-0005-0000-0000-0000EE7E0000}"/>
    <cellStyle name="Normal 90 3 3 3 2 2" xfId="35840" xr:uid="{00000000-0005-0000-0000-0000EF7E0000}"/>
    <cellStyle name="Normal 90 3 3 3 3" xfId="27793" xr:uid="{00000000-0005-0000-0000-0000F07E0000}"/>
    <cellStyle name="Normal 90 3 3 4" xfId="15519" xr:uid="{00000000-0005-0000-0000-0000F17E0000}"/>
    <cellStyle name="Normal 90 3 3 4 2" xfId="32075" xr:uid="{00000000-0005-0000-0000-0000F27E0000}"/>
    <cellStyle name="Normal 90 3 3 5" xfId="24032" xr:uid="{00000000-0005-0000-0000-0000F37E0000}"/>
    <cellStyle name="Normal 90 3 4" xfId="6253" xr:uid="{00000000-0005-0000-0000-0000F47E0000}"/>
    <cellStyle name="Normal 90 3 4 2" xfId="10093" xr:uid="{00000000-0005-0000-0000-0000F57E0000}"/>
    <cellStyle name="Normal 90 3 4 2 2" xfId="19267" xr:uid="{00000000-0005-0000-0000-0000F67E0000}"/>
    <cellStyle name="Normal 90 3 4 2 2 2" xfId="35841" xr:uid="{00000000-0005-0000-0000-0000F77E0000}"/>
    <cellStyle name="Normal 90 3 4 2 3" xfId="27794" xr:uid="{00000000-0005-0000-0000-0000F87E0000}"/>
    <cellStyle name="Normal 90 3 4 3" xfId="15521" xr:uid="{00000000-0005-0000-0000-0000F97E0000}"/>
    <cellStyle name="Normal 90 3 4 3 2" xfId="32077" xr:uid="{00000000-0005-0000-0000-0000FA7E0000}"/>
    <cellStyle name="Normal 90 3 4 4" xfId="24034" xr:uid="{00000000-0005-0000-0000-0000FB7E0000}"/>
    <cellStyle name="Normal 90 3 5" xfId="6254" xr:uid="{00000000-0005-0000-0000-0000FC7E0000}"/>
    <cellStyle name="Normal 90 3 5 2" xfId="15522" xr:uid="{00000000-0005-0000-0000-0000FD7E0000}"/>
    <cellStyle name="Normal 90 3 5 2 2" xfId="32078" xr:uid="{00000000-0005-0000-0000-0000FE7E0000}"/>
    <cellStyle name="Normal 90 3 5 3" xfId="24035" xr:uid="{00000000-0005-0000-0000-0000FF7E0000}"/>
    <cellStyle name="Normal 90 4" xfId="6255" xr:uid="{00000000-0005-0000-0000-0000007F0000}"/>
    <cellStyle name="Normal 90 4 2" xfId="6256" xr:uid="{00000000-0005-0000-0000-0000017F0000}"/>
    <cellStyle name="Normal 90 4 2 2" xfId="6257" xr:uid="{00000000-0005-0000-0000-0000027F0000}"/>
    <cellStyle name="Normal 90 4 2 2 2" xfId="6258" xr:uid="{00000000-0005-0000-0000-0000037F0000}"/>
    <cellStyle name="Normal 90 4 2 2 2 2" xfId="10094" xr:uid="{00000000-0005-0000-0000-0000047F0000}"/>
    <cellStyle name="Normal 90 4 2 2 2 2 2" xfId="19268" xr:uid="{00000000-0005-0000-0000-0000057F0000}"/>
    <cellStyle name="Normal 90 4 2 2 2 2 2 2" xfId="35842" xr:uid="{00000000-0005-0000-0000-0000067F0000}"/>
    <cellStyle name="Normal 90 4 2 2 2 2 3" xfId="27795" xr:uid="{00000000-0005-0000-0000-0000077F0000}"/>
    <cellStyle name="Normal 90 4 2 2 2 3" xfId="15526" xr:uid="{00000000-0005-0000-0000-0000087F0000}"/>
    <cellStyle name="Normal 90 4 2 2 2 3 2" xfId="32082" xr:uid="{00000000-0005-0000-0000-0000097F0000}"/>
    <cellStyle name="Normal 90 4 2 2 2 4" xfId="24039" xr:uid="{00000000-0005-0000-0000-00000A7F0000}"/>
    <cellStyle name="Normal 90 4 2 2 3" xfId="10095" xr:uid="{00000000-0005-0000-0000-00000B7F0000}"/>
    <cellStyle name="Normal 90 4 2 2 3 2" xfId="19269" xr:uid="{00000000-0005-0000-0000-00000C7F0000}"/>
    <cellStyle name="Normal 90 4 2 2 3 2 2" xfId="35843" xr:uid="{00000000-0005-0000-0000-00000D7F0000}"/>
    <cellStyle name="Normal 90 4 2 2 3 3" xfId="27796" xr:uid="{00000000-0005-0000-0000-00000E7F0000}"/>
    <cellStyle name="Normal 90 4 2 2 4" xfId="15525" xr:uid="{00000000-0005-0000-0000-00000F7F0000}"/>
    <cellStyle name="Normal 90 4 2 2 4 2" xfId="32081" xr:uid="{00000000-0005-0000-0000-0000107F0000}"/>
    <cellStyle name="Normal 90 4 2 2 5" xfId="24038" xr:uid="{00000000-0005-0000-0000-0000117F0000}"/>
    <cellStyle name="Normal 90 4 2 3" xfId="6259" xr:uid="{00000000-0005-0000-0000-0000127F0000}"/>
    <cellStyle name="Normal 90 4 2 3 2" xfId="10096" xr:uid="{00000000-0005-0000-0000-0000137F0000}"/>
    <cellStyle name="Normal 90 4 2 3 2 2" xfId="19270" xr:uid="{00000000-0005-0000-0000-0000147F0000}"/>
    <cellStyle name="Normal 90 4 2 3 2 2 2" xfId="35844" xr:uid="{00000000-0005-0000-0000-0000157F0000}"/>
    <cellStyle name="Normal 90 4 2 3 2 3" xfId="27797" xr:uid="{00000000-0005-0000-0000-0000167F0000}"/>
    <cellStyle name="Normal 90 4 2 3 3" xfId="15527" xr:uid="{00000000-0005-0000-0000-0000177F0000}"/>
    <cellStyle name="Normal 90 4 2 3 3 2" xfId="32083" xr:uid="{00000000-0005-0000-0000-0000187F0000}"/>
    <cellStyle name="Normal 90 4 2 3 4" xfId="24040" xr:uid="{00000000-0005-0000-0000-0000197F0000}"/>
    <cellStyle name="Normal 90 4 2 4" xfId="10097" xr:uid="{00000000-0005-0000-0000-00001A7F0000}"/>
    <cellStyle name="Normal 90 4 2 4 2" xfId="19271" xr:uid="{00000000-0005-0000-0000-00001B7F0000}"/>
    <cellStyle name="Normal 90 4 2 4 2 2" xfId="35845" xr:uid="{00000000-0005-0000-0000-00001C7F0000}"/>
    <cellStyle name="Normal 90 4 2 4 3" xfId="27798" xr:uid="{00000000-0005-0000-0000-00001D7F0000}"/>
    <cellStyle name="Normal 90 4 2 5" xfId="15524" xr:uid="{00000000-0005-0000-0000-00001E7F0000}"/>
    <cellStyle name="Normal 90 4 2 5 2" xfId="32080" xr:uid="{00000000-0005-0000-0000-00001F7F0000}"/>
    <cellStyle name="Normal 90 4 2 6" xfId="24037" xr:uid="{00000000-0005-0000-0000-0000207F0000}"/>
    <cellStyle name="Normal 90 4 3" xfId="6260" xr:uid="{00000000-0005-0000-0000-0000217F0000}"/>
    <cellStyle name="Normal 90 4 3 2" xfId="6261" xr:uid="{00000000-0005-0000-0000-0000227F0000}"/>
    <cellStyle name="Normal 90 4 3 2 2" xfId="10098" xr:uid="{00000000-0005-0000-0000-0000237F0000}"/>
    <cellStyle name="Normal 90 4 3 2 2 2" xfId="19272" xr:uid="{00000000-0005-0000-0000-0000247F0000}"/>
    <cellStyle name="Normal 90 4 3 2 2 2 2" xfId="35846" xr:uid="{00000000-0005-0000-0000-0000257F0000}"/>
    <cellStyle name="Normal 90 4 3 2 2 3" xfId="27799" xr:uid="{00000000-0005-0000-0000-0000267F0000}"/>
    <cellStyle name="Normal 90 4 3 2 3" xfId="15529" xr:uid="{00000000-0005-0000-0000-0000277F0000}"/>
    <cellStyle name="Normal 90 4 3 2 3 2" xfId="32085" xr:uid="{00000000-0005-0000-0000-0000287F0000}"/>
    <cellStyle name="Normal 90 4 3 2 4" xfId="24042" xr:uid="{00000000-0005-0000-0000-0000297F0000}"/>
    <cellStyle name="Normal 90 4 3 3" xfId="10099" xr:uid="{00000000-0005-0000-0000-00002A7F0000}"/>
    <cellStyle name="Normal 90 4 3 3 2" xfId="19273" xr:uid="{00000000-0005-0000-0000-00002B7F0000}"/>
    <cellStyle name="Normal 90 4 3 3 2 2" xfId="35847" xr:uid="{00000000-0005-0000-0000-00002C7F0000}"/>
    <cellStyle name="Normal 90 4 3 3 3" xfId="27800" xr:uid="{00000000-0005-0000-0000-00002D7F0000}"/>
    <cellStyle name="Normal 90 4 3 4" xfId="15528" xr:uid="{00000000-0005-0000-0000-00002E7F0000}"/>
    <cellStyle name="Normal 90 4 3 4 2" xfId="32084" xr:uid="{00000000-0005-0000-0000-00002F7F0000}"/>
    <cellStyle name="Normal 90 4 3 5" xfId="24041" xr:uid="{00000000-0005-0000-0000-0000307F0000}"/>
    <cellStyle name="Normal 90 4 4" xfId="6262" xr:uid="{00000000-0005-0000-0000-0000317F0000}"/>
    <cellStyle name="Normal 90 4 4 2" xfId="10100" xr:uid="{00000000-0005-0000-0000-0000327F0000}"/>
    <cellStyle name="Normal 90 4 4 2 2" xfId="19274" xr:uid="{00000000-0005-0000-0000-0000337F0000}"/>
    <cellStyle name="Normal 90 4 4 2 2 2" xfId="35848" xr:uid="{00000000-0005-0000-0000-0000347F0000}"/>
    <cellStyle name="Normal 90 4 4 2 3" xfId="27801" xr:uid="{00000000-0005-0000-0000-0000357F0000}"/>
    <cellStyle name="Normal 90 4 4 3" xfId="15530" xr:uid="{00000000-0005-0000-0000-0000367F0000}"/>
    <cellStyle name="Normal 90 4 4 3 2" xfId="32086" xr:uid="{00000000-0005-0000-0000-0000377F0000}"/>
    <cellStyle name="Normal 90 4 4 4" xfId="24043" xr:uid="{00000000-0005-0000-0000-0000387F0000}"/>
    <cellStyle name="Normal 90 4 5" xfId="10101" xr:uid="{00000000-0005-0000-0000-0000397F0000}"/>
    <cellStyle name="Normal 90 4 5 2" xfId="19275" xr:uid="{00000000-0005-0000-0000-00003A7F0000}"/>
    <cellStyle name="Normal 90 4 5 2 2" xfId="35849" xr:uid="{00000000-0005-0000-0000-00003B7F0000}"/>
    <cellStyle name="Normal 90 4 5 3" xfId="27802" xr:uid="{00000000-0005-0000-0000-00003C7F0000}"/>
    <cellStyle name="Normal 90 4 6" xfId="15523" xr:uid="{00000000-0005-0000-0000-00003D7F0000}"/>
    <cellStyle name="Normal 90 4 6 2" xfId="32079" xr:uid="{00000000-0005-0000-0000-00003E7F0000}"/>
    <cellStyle name="Normal 90 4 7" xfId="24036" xr:uid="{00000000-0005-0000-0000-00003F7F0000}"/>
    <cellStyle name="Normal 90 5" xfId="6263" xr:uid="{00000000-0005-0000-0000-0000407F0000}"/>
    <cellStyle name="Normal 90 5 2" xfId="6264" xr:uid="{00000000-0005-0000-0000-0000417F0000}"/>
    <cellStyle name="Normal 90 5 2 2" xfId="6265" xr:uid="{00000000-0005-0000-0000-0000427F0000}"/>
    <cellStyle name="Normal 90 5 2 2 2" xfId="6266" xr:uid="{00000000-0005-0000-0000-0000437F0000}"/>
    <cellStyle name="Normal 90 5 2 2 2 2" xfId="10102" xr:uid="{00000000-0005-0000-0000-0000447F0000}"/>
    <cellStyle name="Normal 90 5 2 2 2 2 2" xfId="19276" xr:uid="{00000000-0005-0000-0000-0000457F0000}"/>
    <cellStyle name="Normal 90 5 2 2 2 2 2 2" xfId="35850" xr:uid="{00000000-0005-0000-0000-0000467F0000}"/>
    <cellStyle name="Normal 90 5 2 2 2 2 3" xfId="27803" xr:uid="{00000000-0005-0000-0000-0000477F0000}"/>
    <cellStyle name="Normal 90 5 2 2 2 3" xfId="15534" xr:uid="{00000000-0005-0000-0000-0000487F0000}"/>
    <cellStyle name="Normal 90 5 2 2 2 3 2" xfId="32090" xr:uid="{00000000-0005-0000-0000-0000497F0000}"/>
    <cellStyle name="Normal 90 5 2 2 2 4" xfId="24047" xr:uid="{00000000-0005-0000-0000-00004A7F0000}"/>
    <cellStyle name="Normal 90 5 2 2 3" xfId="10103" xr:uid="{00000000-0005-0000-0000-00004B7F0000}"/>
    <cellStyle name="Normal 90 5 2 2 3 2" xfId="19277" xr:uid="{00000000-0005-0000-0000-00004C7F0000}"/>
    <cellStyle name="Normal 90 5 2 2 3 2 2" xfId="35851" xr:uid="{00000000-0005-0000-0000-00004D7F0000}"/>
    <cellStyle name="Normal 90 5 2 2 3 3" xfId="27804" xr:uid="{00000000-0005-0000-0000-00004E7F0000}"/>
    <cellStyle name="Normal 90 5 2 2 4" xfId="15533" xr:uid="{00000000-0005-0000-0000-00004F7F0000}"/>
    <cellStyle name="Normal 90 5 2 2 4 2" xfId="32089" xr:uid="{00000000-0005-0000-0000-0000507F0000}"/>
    <cellStyle name="Normal 90 5 2 2 5" xfId="24046" xr:uid="{00000000-0005-0000-0000-0000517F0000}"/>
    <cellStyle name="Normal 90 5 2 3" xfId="6267" xr:uid="{00000000-0005-0000-0000-0000527F0000}"/>
    <cellStyle name="Normal 90 5 2 3 2" xfId="10104" xr:uid="{00000000-0005-0000-0000-0000537F0000}"/>
    <cellStyle name="Normal 90 5 2 3 2 2" xfId="19278" xr:uid="{00000000-0005-0000-0000-0000547F0000}"/>
    <cellStyle name="Normal 90 5 2 3 2 2 2" xfId="35852" xr:uid="{00000000-0005-0000-0000-0000557F0000}"/>
    <cellStyle name="Normal 90 5 2 3 2 3" xfId="27805" xr:uid="{00000000-0005-0000-0000-0000567F0000}"/>
    <cellStyle name="Normal 90 5 2 3 3" xfId="15535" xr:uid="{00000000-0005-0000-0000-0000577F0000}"/>
    <cellStyle name="Normal 90 5 2 3 3 2" xfId="32091" xr:uid="{00000000-0005-0000-0000-0000587F0000}"/>
    <cellStyle name="Normal 90 5 2 3 4" xfId="24048" xr:uid="{00000000-0005-0000-0000-0000597F0000}"/>
    <cellStyle name="Normal 90 5 2 4" xfId="10105" xr:uid="{00000000-0005-0000-0000-00005A7F0000}"/>
    <cellStyle name="Normal 90 5 2 4 2" xfId="19279" xr:uid="{00000000-0005-0000-0000-00005B7F0000}"/>
    <cellStyle name="Normal 90 5 2 4 2 2" xfId="35853" xr:uid="{00000000-0005-0000-0000-00005C7F0000}"/>
    <cellStyle name="Normal 90 5 2 4 3" xfId="27806" xr:uid="{00000000-0005-0000-0000-00005D7F0000}"/>
    <cellStyle name="Normal 90 5 2 5" xfId="15532" xr:uid="{00000000-0005-0000-0000-00005E7F0000}"/>
    <cellStyle name="Normal 90 5 2 5 2" xfId="32088" xr:uid="{00000000-0005-0000-0000-00005F7F0000}"/>
    <cellStyle name="Normal 90 5 2 6" xfId="24045" xr:uid="{00000000-0005-0000-0000-0000607F0000}"/>
    <cellStyle name="Normal 90 5 3" xfId="6268" xr:uid="{00000000-0005-0000-0000-0000617F0000}"/>
    <cellStyle name="Normal 90 5 3 2" xfId="6269" xr:uid="{00000000-0005-0000-0000-0000627F0000}"/>
    <cellStyle name="Normal 90 5 3 2 2" xfId="10106" xr:uid="{00000000-0005-0000-0000-0000637F0000}"/>
    <cellStyle name="Normal 90 5 3 2 2 2" xfId="19280" xr:uid="{00000000-0005-0000-0000-0000647F0000}"/>
    <cellStyle name="Normal 90 5 3 2 2 2 2" xfId="35854" xr:uid="{00000000-0005-0000-0000-0000657F0000}"/>
    <cellStyle name="Normal 90 5 3 2 2 3" xfId="27807" xr:uid="{00000000-0005-0000-0000-0000667F0000}"/>
    <cellStyle name="Normal 90 5 3 2 3" xfId="15537" xr:uid="{00000000-0005-0000-0000-0000677F0000}"/>
    <cellStyle name="Normal 90 5 3 2 3 2" xfId="32093" xr:uid="{00000000-0005-0000-0000-0000687F0000}"/>
    <cellStyle name="Normal 90 5 3 2 4" xfId="24050" xr:uid="{00000000-0005-0000-0000-0000697F0000}"/>
    <cellStyle name="Normal 90 5 3 3" xfId="10107" xr:uid="{00000000-0005-0000-0000-00006A7F0000}"/>
    <cellStyle name="Normal 90 5 3 3 2" xfId="19281" xr:uid="{00000000-0005-0000-0000-00006B7F0000}"/>
    <cellStyle name="Normal 90 5 3 3 2 2" xfId="35855" xr:uid="{00000000-0005-0000-0000-00006C7F0000}"/>
    <cellStyle name="Normal 90 5 3 3 3" xfId="27808" xr:uid="{00000000-0005-0000-0000-00006D7F0000}"/>
    <cellStyle name="Normal 90 5 3 4" xfId="15536" xr:uid="{00000000-0005-0000-0000-00006E7F0000}"/>
    <cellStyle name="Normal 90 5 3 4 2" xfId="32092" xr:uid="{00000000-0005-0000-0000-00006F7F0000}"/>
    <cellStyle name="Normal 90 5 3 5" xfId="24049" xr:uid="{00000000-0005-0000-0000-0000707F0000}"/>
    <cellStyle name="Normal 90 5 4" xfId="6270" xr:uid="{00000000-0005-0000-0000-0000717F0000}"/>
    <cellStyle name="Normal 90 5 4 2" xfId="10108" xr:uid="{00000000-0005-0000-0000-0000727F0000}"/>
    <cellStyle name="Normal 90 5 4 2 2" xfId="19282" xr:uid="{00000000-0005-0000-0000-0000737F0000}"/>
    <cellStyle name="Normal 90 5 4 2 2 2" xfId="35856" xr:uid="{00000000-0005-0000-0000-0000747F0000}"/>
    <cellStyle name="Normal 90 5 4 2 3" xfId="27809" xr:uid="{00000000-0005-0000-0000-0000757F0000}"/>
    <cellStyle name="Normal 90 5 4 3" xfId="15538" xr:uid="{00000000-0005-0000-0000-0000767F0000}"/>
    <cellStyle name="Normal 90 5 4 3 2" xfId="32094" xr:uid="{00000000-0005-0000-0000-0000777F0000}"/>
    <cellStyle name="Normal 90 5 4 4" xfId="24051" xr:uid="{00000000-0005-0000-0000-0000787F0000}"/>
    <cellStyle name="Normal 90 5 5" xfId="10109" xr:uid="{00000000-0005-0000-0000-0000797F0000}"/>
    <cellStyle name="Normal 90 5 5 2" xfId="19283" xr:uid="{00000000-0005-0000-0000-00007A7F0000}"/>
    <cellStyle name="Normal 90 5 5 2 2" xfId="35857" xr:uid="{00000000-0005-0000-0000-00007B7F0000}"/>
    <cellStyle name="Normal 90 5 5 3" xfId="27810" xr:uid="{00000000-0005-0000-0000-00007C7F0000}"/>
    <cellStyle name="Normal 90 5 6" xfId="15531" xr:uid="{00000000-0005-0000-0000-00007D7F0000}"/>
    <cellStyle name="Normal 90 5 6 2" xfId="32087" xr:uid="{00000000-0005-0000-0000-00007E7F0000}"/>
    <cellStyle name="Normal 90 5 7" xfId="24044" xr:uid="{00000000-0005-0000-0000-00007F7F0000}"/>
    <cellStyle name="Normal 90 6" xfId="6271" xr:uid="{00000000-0005-0000-0000-0000807F0000}"/>
    <cellStyle name="Normal 90 6 2" xfId="6272" xr:uid="{00000000-0005-0000-0000-0000817F0000}"/>
    <cellStyle name="Normal 90 6 2 2" xfId="6273" xr:uid="{00000000-0005-0000-0000-0000827F0000}"/>
    <cellStyle name="Normal 90 6 2 2 2" xfId="10110" xr:uid="{00000000-0005-0000-0000-0000837F0000}"/>
    <cellStyle name="Normal 90 6 2 2 2 2" xfId="19284" xr:uid="{00000000-0005-0000-0000-0000847F0000}"/>
    <cellStyle name="Normal 90 6 2 2 2 2 2" xfId="35858" xr:uid="{00000000-0005-0000-0000-0000857F0000}"/>
    <cellStyle name="Normal 90 6 2 2 2 3" xfId="27811" xr:uid="{00000000-0005-0000-0000-0000867F0000}"/>
    <cellStyle name="Normal 90 6 2 2 3" xfId="15541" xr:uid="{00000000-0005-0000-0000-0000877F0000}"/>
    <cellStyle name="Normal 90 6 2 2 3 2" xfId="32097" xr:uid="{00000000-0005-0000-0000-0000887F0000}"/>
    <cellStyle name="Normal 90 6 2 2 4" xfId="24054" xr:uid="{00000000-0005-0000-0000-0000897F0000}"/>
    <cellStyle name="Normal 90 6 2 3" xfId="10111" xr:uid="{00000000-0005-0000-0000-00008A7F0000}"/>
    <cellStyle name="Normal 90 6 2 3 2" xfId="19285" xr:uid="{00000000-0005-0000-0000-00008B7F0000}"/>
    <cellStyle name="Normal 90 6 2 3 2 2" xfId="35859" xr:uid="{00000000-0005-0000-0000-00008C7F0000}"/>
    <cellStyle name="Normal 90 6 2 3 3" xfId="27812" xr:uid="{00000000-0005-0000-0000-00008D7F0000}"/>
    <cellStyle name="Normal 90 6 2 4" xfId="15540" xr:uid="{00000000-0005-0000-0000-00008E7F0000}"/>
    <cellStyle name="Normal 90 6 2 4 2" xfId="32096" xr:uid="{00000000-0005-0000-0000-00008F7F0000}"/>
    <cellStyle name="Normal 90 6 2 5" xfId="24053" xr:uid="{00000000-0005-0000-0000-0000907F0000}"/>
    <cellStyle name="Normal 90 6 3" xfId="6274" xr:uid="{00000000-0005-0000-0000-0000917F0000}"/>
    <cellStyle name="Normal 90 6 3 2" xfId="10112" xr:uid="{00000000-0005-0000-0000-0000927F0000}"/>
    <cellStyle name="Normal 90 6 3 2 2" xfId="19286" xr:uid="{00000000-0005-0000-0000-0000937F0000}"/>
    <cellStyle name="Normal 90 6 3 2 2 2" xfId="35860" xr:uid="{00000000-0005-0000-0000-0000947F0000}"/>
    <cellStyle name="Normal 90 6 3 2 3" xfId="27813" xr:uid="{00000000-0005-0000-0000-0000957F0000}"/>
    <cellStyle name="Normal 90 6 3 3" xfId="15542" xr:uid="{00000000-0005-0000-0000-0000967F0000}"/>
    <cellStyle name="Normal 90 6 3 3 2" xfId="32098" xr:uid="{00000000-0005-0000-0000-0000977F0000}"/>
    <cellStyle name="Normal 90 6 3 4" xfId="24055" xr:uid="{00000000-0005-0000-0000-0000987F0000}"/>
    <cellStyle name="Normal 90 6 4" xfId="10113" xr:uid="{00000000-0005-0000-0000-0000997F0000}"/>
    <cellStyle name="Normal 90 6 4 2" xfId="19287" xr:uid="{00000000-0005-0000-0000-00009A7F0000}"/>
    <cellStyle name="Normal 90 6 4 2 2" xfId="35861" xr:uid="{00000000-0005-0000-0000-00009B7F0000}"/>
    <cellStyle name="Normal 90 6 4 3" xfId="27814" xr:uid="{00000000-0005-0000-0000-00009C7F0000}"/>
    <cellStyle name="Normal 90 6 5" xfId="15539" xr:uid="{00000000-0005-0000-0000-00009D7F0000}"/>
    <cellStyle name="Normal 90 6 5 2" xfId="32095" xr:uid="{00000000-0005-0000-0000-00009E7F0000}"/>
    <cellStyle name="Normal 90 6 6" xfId="24052" xr:uid="{00000000-0005-0000-0000-00009F7F0000}"/>
    <cellStyle name="Normal 90 7" xfId="6275" xr:uid="{00000000-0005-0000-0000-0000A07F0000}"/>
    <cellStyle name="Normal 90 7 2" xfId="6276" xr:uid="{00000000-0005-0000-0000-0000A17F0000}"/>
    <cellStyle name="Normal 90 7 2 2" xfId="10114" xr:uid="{00000000-0005-0000-0000-0000A27F0000}"/>
    <cellStyle name="Normal 90 7 2 2 2" xfId="19288" xr:uid="{00000000-0005-0000-0000-0000A37F0000}"/>
    <cellStyle name="Normal 90 7 2 2 2 2" xfId="35862" xr:uid="{00000000-0005-0000-0000-0000A47F0000}"/>
    <cellStyle name="Normal 90 7 2 2 3" xfId="27815" xr:uid="{00000000-0005-0000-0000-0000A57F0000}"/>
    <cellStyle name="Normal 90 7 2 3" xfId="15544" xr:uid="{00000000-0005-0000-0000-0000A67F0000}"/>
    <cellStyle name="Normal 90 7 2 3 2" xfId="32100" xr:uid="{00000000-0005-0000-0000-0000A77F0000}"/>
    <cellStyle name="Normal 90 7 2 4" xfId="24057" xr:uid="{00000000-0005-0000-0000-0000A87F0000}"/>
    <cellStyle name="Normal 90 7 3" xfId="10115" xr:uid="{00000000-0005-0000-0000-0000A97F0000}"/>
    <cellStyle name="Normal 90 7 3 2" xfId="19289" xr:uid="{00000000-0005-0000-0000-0000AA7F0000}"/>
    <cellStyle name="Normal 90 7 3 2 2" xfId="35863" xr:uid="{00000000-0005-0000-0000-0000AB7F0000}"/>
    <cellStyle name="Normal 90 7 3 3" xfId="27816" xr:uid="{00000000-0005-0000-0000-0000AC7F0000}"/>
    <cellStyle name="Normal 90 7 4" xfId="15543" xr:uid="{00000000-0005-0000-0000-0000AD7F0000}"/>
    <cellStyle name="Normal 90 7 4 2" xfId="32099" xr:uid="{00000000-0005-0000-0000-0000AE7F0000}"/>
    <cellStyle name="Normal 90 7 5" xfId="24056" xr:uid="{00000000-0005-0000-0000-0000AF7F0000}"/>
    <cellStyle name="Normal 90 8" xfId="6277" xr:uid="{00000000-0005-0000-0000-0000B07F0000}"/>
    <cellStyle name="Normal 90 8 2" xfId="10116" xr:uid="{00000000-0005-0000-0000-0000B17F0000}"/>
    <cellStyle name="Normal 90 8 2 2" xfId="19290" xr:uid="{00000000-0005-0000-0000-0000B27F0000}"/>
    <cellStyle name="Normal 90 8 2 2 2" xfId="35864" xr:uid="{00000000-0005-0000-0000-0000B37F0000}"/>
    <cellStyle name="Normal 90 8 2 3" xfId="27817" xr:uid="{00000000-0005-0000-0000-0000B47F0000}"/>
    <cellStyle name="Normal 90 8 3" xfId="15545" xr:uid="{00000000-0005-0000-0000-0000B57F0000}"/>
    <cellStyle name="Normal 90 8 3 2" xfId="32101" xr:uid="{00000000-0005-0000-0000-0000B67F0000}"/>
    <cellStyle name="Normal 90 8 4" xfId="24058" xr:uid="{00000000-0005-0000-0000-0000B77F0000}"/>
    <cellStyle name="Normal 90 9" xfId="10117" xr:uid="{00000000-0005-0000-0000-0000B87F0000}"/>
    <cellStyle name="Normal 90 9 2" xfId="19291" xr:uid="{00000000-0005-0000-0000-0000B97F0000}"/>
    <cellStyle name="Normal 90 9 2 2" xfId="35865" xr:uid="{00000000-0005-0000-0000-0000BA7F0000}"/>
    <cellStyle name="Normal 90 9 3" xfId="27818" xr:uid="{00000000-0005-0000-0000-0000BB7F0000}"/>
    <cellStyle name="Normal 91" xfId="6278" xr:uid="{00000000-0005-0000-0000-0000BC7F0000}"/>
    <cellStyle name="Normal 91 10" xfId="15546" xr:uid="{00000000-0005-0000-0000-0000BD7F0000}"/>
    <cellStyle name="Normal 91 10 2" xfId="32102" xr:uid="{00000000-0005-0000-0000-0000BE7F0000}"/>
    <cellStyle name="Normal 91 11" xfId="24059" xr:uid="{00000000-0005-0000-0000-0000BF7F0000}"/>
    <cellStyle name="Normal 91 2" xfId="6279" xr:uid="{00000000-0005-0000-0000-0000C07F0000}"/>
    <cellStyle name="Normal 91 2 2" xfId="6280" xr:uid="{00000000-0005-0000-0000-0000C17F0000}"/>
    <cellStyle name="Normal 91 2 3" xfId="15547" xr:uid="{00000000-0005-0000-0000-0000C27F0000}"/>
    <cellStyle name="Normal 91 2 3 2" xfId="32103" xr:uid="{00000000-0005-0000-0000-0000C37F0000}"/>
    <cellStyle name="Normal 91 2 4" xfId="24060" xr:uid="{00000000-0005-0000-0000-0000C47F0000}"/>
    <cellStyle name="Normal 91 3" xfId="6281" xr:uid="{00000000-0005-0000-0000-0000C57F0000}"/>
    <cellStyle name="Normal 91 3 2" xfId="6282" xr:uid="{00000000-0005-0000-0000-0000C67F0000}"/>
    <cellStyle name="Normal 91 3 2 2" xfId="6283" xr:uid="{00000000-0005-0000-0000-0000C77F0000}"/>
    <cellStyle name="Normal 91 3 2 2 2" xfId="6284" xr:uid="{00000000-0005-0000-0000-0000C87F0000}"/>
    <cellStyle name="Normal 91 3 2 2 2 2" xfId="10118" xr:uid="{00000000-0005-0000-0000-0000C97F0000}"/>
    <cellStyle name="Normal 91 3 2 2 2 2 2" xfId="19292" xr:uid="{00000000-0005-0000-0000-0000CA7F0000}"/>
    <cellStyle name="Normal 91 3 2 2 2 2 2 2" xfId="35866" xr:uid="{00000000-0005-0000-0000-0000CB7F0000}"/>
    <cellStyle name="Normal 91 3 2 2 2 2 3" xfId="27819" xr:uid="{00000000-0005-0000-0000-0000CC7F0000}"/>
    <cellStyle name="Normal 91 3 2 2 2 3" xfId="15550" xr:uid="{00000000-0005-0000-0000-0000CD7F0000}"/>
    <cellStyle name="Normal 91 3 2 2 2 3 2" xfId="32106" xr:uid="{00000000-0005-0000-0000-0000CE7F0000}"/>
    <cellStyle name="Normal 91 3 2 2 2 4" xfId="24063" xr:uid="{00000000-0005-0000-0000-0000CF7F0000}"/>
    <cellStyle name="Normal 91 3 2 2 3" xfId="10119" xr:uid="{00000000-0005-0000-0000-0000D07F0000}"/>
    <cellStyle name="Normal 91 3 2 2 3 2" xfId="19293" xr:uid="{00000000-0005-0000-0000-0000D17F0000}"/>
    <cellStyle name="Normal 91 3 2 2 3 2 2" xfId="35867" xr:uid="{00000000-0005-0000-0000-0000D27F0000}"/>
    <cellStyle name="Normal 91 3 2 2 3 3" xfId="27820" xr:uid="{00000000-0005-0000-0000-0000D37F0000}"/>
    <cellStyle name="Normal 91 3 2 2 4" xfId="15549" xr:uid="{00000000-0005-0000-0000-0000D47F0000}"/>
    <cellStyle name="Normal 91 3 2 2 4 2" xfId="32105" xr:uid="{00000000-0005-0000-0000-0000D57F0000}"/>
    <cellStyle name="Normal 91 3 2 2 5" xfId="24062" xr:uid="{00000000-0005-0000-0000-0000D67F0000}"/>
    <cellStyle name="Normal 91 3 2 3" xfId="6285" xr:uid="{00000000-0005-0000-0000-0000D77F0000}"/>
    <cellStyle name="Normal 91 3 2 3 2" xfId="10120" xr:uid="{00000000-0005-0000-0000-0000D87F0000}"/>
    <cellStyle name="Normal 91 3 2 3 2 2" xfId="19294" xr:uid="{00000000-0005-0000-0000-0000D97F0000}"/>
    <cellStyle name="Normal 91 3 2 3 2 2 2" xfId="35868" xr:uid="{00000000-0005-0000-0000-0000DA7F0000}"/>
    <cellStyle name="Normal 91 3 2 3 2 3" xfId="27821" xr:uid="{00000000-0005-0000-0000-0000DB7F0000}"/>
    <cellStyle name="Normal 91 3 2 3 3" xfId="15551" xr:uid="{00000000-0005-0000-0000-0000DC7F0000}"/>
    <cellStyle name="Normal 91 3 2 3 3 2" xfId="32107" xr:uid="{00000000-0005-0000-0000-0000DD7F0000}"/>
    <cellStyle name="Normal 91 3 2 3 4" xfId="24064" xr:uid="{00000000-0005-0000-0000-0000DE7F0000}"/>
    <cellStyle name="Normal 91 3 2 4" xfId="10121" xr:uid="{00000000-0005-0000-0000-0000DF7F0000}"/>
    <cellStyle name="Normal 91 3 2 4 2" xfId="19295" xr:uid="{00000000-0005-0000-0000-0000E07F0000}"/>
    <cellStyle name="Normal 91 3 2 4 2 2" xfId="35869" xr:uid="{00000000-0005-0000-0000-0000E17F0000}"/>
    <cellStyle name="Normal 91 3 2 4 3" xfId="27822" xr:uid="{00000000-0005-0000-0000-0000E27F0000}"/>
    <cellStyle name="Normal 91 3 2 5" xfId="15548" xr:uid="{00000000-0005-0000-0000-0000E37F0000}"/>
    <cellStyle name="Normal 91 3 2 5 2" xfId="32104" xr:uid="{00000000-0005-0000-0000-0000E47F0000}"/>
    <cellStyle name="Normal 91 3 2 6" xfId="24061" xr:uid="{00000000-0005-0000-0000-0000E57F0000}"/>
    <cellStyle name="Normal 91 3 3" xfId="6286" xr:uid="{00000000-0005-0000-0000-0000E67F0000}"/>
    <cellStyle name="Normal 91 3 3 2" xfId="6287" xr:uid="{00000000-0005-0000-0000-0000E77F0000}"/>
    <cellStyle name="Normal 91 3 3 2 2" xfId="10122" xr:uid="{00000000-0005-0000-0000-0000E87F0000}"/>
    <cellStyle name="Normal 91 3 3 2 2 2" xfId="19296" xr:uid="{00000000-0005-0000-0000-0000E97F0000}"/>
    <cellStyle name="Normal 91 3 3 2 2 2 2" xfId="35870" xr:uid="{00000000-0005-0000-0000-0000EA7F0000}"/>
    <cellStyle name="Normal 91 3 3 2 2 3" xfId="27823" xr:uid="{00000000-0005-0000-0000-0000EB7F0000}"/>
    <cellStyle name="Normal 91 3 3 2 3" xfId="15553" xr:uid="{00000000-0005-0000-0000-0000EC7F0000}"/>
    <cellStyle name="Normal 91 3 3 2 3 2" xfId="32109" xr:uid="{00000000-0005-0000-0000-0000ED7F0000}"/>
    <cellStyle name="Normal 91 3 3 2 4" xfId="24066" xr:uid="{00000000-0005-0000-0000-0000EE7F0000}"/>
    <cellStyle name="Normal 91 3 3 3" xfId="10123" xr:uid="{00000000-0005-0000-0000-0000EF7F0000}"/>
    <cellStyle name="Normal 91 3 3 3 2" xfId="19297" xr:uid="{00000000-0005-0000-0000-0000F07F0000}"/>
    <cellStyle name="Normal 91 3 3 3 2 2" xfId="35871" xr:uid="{00000000-0005-0000-0000-0000F17F0000}"/>
    <cellStyle name="Normal 91 3 3 3 3" xfId="27824" xr:uid="{00000000-0005-0000-0000-0000F27F0000}"/>
    <cellStyle name="Normal 91 3 3 4" xfId="15552" xr:uid="{00000000-0005-0000-0000-0000F37F0000}"/>
    <cellStyle name="Normal 91 3 3 4 2" xfId="32108" xr:uid="{00000000-0005-0000-0000-0000F47F0000}"/>
    <cellStyle name="Normal 91 3 3 5" xfId="24065" xr:uid="{00000000-0005-0000-0000-0000F57F0000}"/>
    <cellStyle name="Normal 91 3 4" xfId="6288" xr:uid="{00000000-0005-0000-0000-0000F67F0000}"/>
    <cellStyle name="Normal 91 3 4 2" xfId="10124" xr:uid="{00000000-0005-0000-0000-0000F77F0000}"/>
    <cellStyle name="Normal 91 3 4 2 2" xfId="19298" xr:uid="{00000000-0005-0000-0000-0000F87F0000}"/>
    <cellStyle name="Normal 91 3 4 2 2 2" xfId="35872" xr:uid="{00000000-0005-0000-0000-0000F97F0000}"/>
    <cellStyle name="Normal 91 3 4 2 3" xfId="27825" xr:uid="{00000000-0005-0000-0000-0000FA7F0000}"/>
    <cellStyle name="Normal 91 3 4 3" xfId="15554" xr:uid="{00000000-0005-0000-0000-0000FB7F0000}"/>
    <cellStyle name="Normal 91 3 4 3 2" xfId="32110" xr:uid="{00000000-0005-0000-0000-0000FC7F0000}"/>
    <cellStyle name="Normal 91 3 4 4" xfId="24067" xr:uid="{00000000-0005-0000-0000-0000FD7F0000}"/>
    <cellStyle name="Normal 91 3 5" xfId="6289" xr:uid="{00000000-0005-0000-0000-0000FE7F0000}"/>
    <cellStyle name="Normal 91 3 5 2" xfId="15555" xr:uid="{00000000-0005-0000-0000-0000FF7F0000}"/>
    <cellStyle name="Normal 91 3 5 2 2" xfId="32111" xr:uid="{00000000-0005-0000-0000-000000800000}"/>
    <cellStyle name="Normal 91 3 5 3" xfId="24068" xr:uid="{00000000-0005-0000-0000-000001800000}"/>
    <cellStyle name="Normal 91 4" xfId="6290" xr:uid="{00000000-0005-0000-0000-000002800000}"/>
    <cellStyle name="Normal 91 4 2" xfId="6291" xr:uid="{00000000-0005-0000-0000-000003800000}"/>
    <cellStyle name="Normal 91 4 2 2" xfId="6292" xr:uid="{00000000-0005-0000-0000-000004800000}"/>
    <cellStyle name="Normal 91 4 2 2 2" xfId="6293" xr:uid="{00000000-0005-0000-0000-000005800000}"/>
    <cellStyle name="Normal 91 4 2 2 2 2" xfId="10125" xr:uid="{00000000-0005-0000-0000-000006800000}"/>
    <cellStyle name="Normal 91 4 2 2 2 2 2" xfId="19299" xr:uid="{00000000-0005-0000-0000-000007800000}"/>
    <cellStyle name="Normal 91 4 2 2 2 2 2 2" xfId="35873" xr:uid="{00000000-0005-0000-0000-000008800000}"/>
    <cellStyle name="Normal 91 4 2 2 2 2 3" xfId="27826" xr:uid="{00000000-0005-0000-0000-000009800000}"/>
    <cellStyle name="Normal 91 4 2 2 2 3" xfId="15559" xr:uid="{00000000-0005-0000-0000-00000A800000}"/>
    <cellStyle name="Normal 91 4 2 2 2 3 2" xfId="32115" xr:uid="{00000000-0005-0000-0000-00000B800000}"/>
    <cellStyle name="Normal 91 4 2 2 2 4" xfId="24072" xr:uid="{00000000-0005-0000-0000-00000C800000}"/>
    <cellStyle name="Normal 91 4 2 2 3" xfId="10126" xr:uid="{00000000-0005-0000-0000-00000D800000}"/>
    <cellStyle name="Normal 91 4 2 2 3 2" xfId="19300" xr:uid="{00000000-0005-0000-0000-00000E800000}"/>
    <cellStyle name="Normal 91 4 2 2 3 2 2" xfId="35874" xr:uid="{00000000-0005-0000-0000-00000F800000}"/>
    <cellStyle name="Normal 91 4 2 2 3 3" xfId="27827" xr:uid="{00000000-0005-0000-0000-000010800000}"/>
    <cellStyle name="Normal 91 4 2 2 4" xfId="15558" xr:uid="{00000000-0005-0000-0000-000011800000}"/>
    <cellStyle name="Normal 91 4 2 2 4 2" xfId="32114" xr:uid="{00000000-0005-0000-0000-000012800000}"/>
    <cellStyle name="Normal 91 4 2 2 5" xfId="24071" xr:uid="{00000000-0005-0000-0000-000013800000}"/>
    <cellStyle name="Normal 91 4 2 3" xfId="6294" xr:uid="{00000000-0005-0000-0000-000014800000}"/>
    <cellStyle name="Normal 91 4 2 3 2" xfId="10127" xr:uid="{00000000-0005-0000-0000-000015800000}"/>
    <cellStyle name="Normal 91 4 2 3 2 2" xfId="19301" xr:uid="{00000000-0005-0000-0000-000016800000}"/>
    <cellStyle name="Normal 91 4 2 3 2 2 2" xfId="35875" xr:uid="{00000000-0005-0000-0000-000017800000}"/>
    <cellStyle name="Normal 91 4 2 3 2 3" xfId="27828" xr:uid="{00000000-0005-0000-0000-000018800000}"/>
    <cellStyle name="Normal 91 4 2 3 3" xfId="15560" xr:uid="{00000000-0005-0000-0000-000019800000}"/>
    <cellStyle name="Normal 91 4 2 3 3 2" xfId="32116" xr:uid="{00000000-0005-0000-0000-00001A800000}"/>
    <cellStyle name="Normal 91 4 2 3 4" xfId="24073" xr:uid="{00000000-0005-0000-0000-00001B800000}"/>
    <cellStyle name="Normal 91 4 2 4" xfId="10128" xr:uid="{00000000-0005-0000-0000-00001C800000}"/>
    <cellStyle name="Normal 91 4 2 4 2" xfId="19302" xr:uid="{00000000-0005-0000-0000-00001D800000}"/>
    <cellStyle name="Normal 91 4 2 4 2 2" xfId="35876" xr:uid="{00000000-0005-0000-0000-00001E800000}"/>
    <cellStyle name="Normal 91 4 2 4 3" xfId="27829" xr:uid="{00000000-0005-0000-0000-00001F800000}"/>
    <cellStyle name="Normal 91 4 2 5" xfId="15557" xr:uid="{00000000-0005-0000-0000-000020800000}"/>
    <cellStyle name="Normal 91 4 2 5 2" xfId="32113" xr:uid="{00000000-0005-0000-0000-000021800000}"/>
    <cellStyle name="Normal 91 4 2 6" xfId="24070" xr:uid="{00000000-0005-0000-0000-000022800000}"/>
    <cellStyle name="Normal 91 4 3" xfId="6295" xr:uid="{00000000-0005-0000-0000-000023800000}"/>
    <cellStyle name="Normal 91 4 3 2" xfId="6296" xr:uid="{00000000-0005-0000-0000-000024800000}"/>
    <cellStyle name="Normal 91 4 3 2 2" xfId="10129" xr:uid="{00000000-0005-0000-0000-000025800000}"/>
    <cellStyle name="Normal 91 4 3 2 2 2" xfId="19303" xr:uid="{00000000-0005-0000-0000-000026800000}"/>
    <cellStyle name="Normal 91 4 3 2 2 2 2" xfId="35877" xr:uid="{00000000-0005-0000-0000-000027800000}"/>
    <cellStyle name="Normal 91 4 3 2 2 3" xfId="27830" xr:uid="{00000000-0005-0000-0000-000028800000}"/>
    <cellStyle name="Normal 91 4 3 2 3" xfId="15562" xr:uid="{00000000-0005-0000-0000-000029800000}"/>
    <cellStyle name="Normal 91 4 3 2 3 2" xfId="32118" xr:uid="{00000000-0005-0000-0000-00002A800000}"/>
    <cellStyle name="Normal 91 4 3 2 4" xfId="24075" xr:uid="{00000000-0005-0000-0000-00002B800000}"/>
    <cellStyle name="Normal 91 4 3 3" xfId="10130" xr:uid="{00000000-0005-0000-0000-00002C800000}"/>
    <cellStyle name="Normal 91 4 3 3 2" xfId="19304" xr:uid="{00000000-0005-0000-0000-00002D800000}"/>
    <cellStyle name="Normal 91 4 3 3 2 2" xfId="35878" xr:uid="{00000000-0005-0000-0000-00002E800000}"/>
    <cellStyle name="Normal 91 4 3 3 3" xfId="27831" xr:uid="{00000000-0005-0000-0000-00002F800000}"/>
    <cellStyle name="Normal 91 4 3 4" xfId="15561" xr:uid="{00000000-0005-0000-0000-000030800000}"/>
    <cellStyle name="Normal 91 4 3 4 2" xfId="32117" xr:uid="{00000000-0005-0000-0000-000031800000}"/>
    <cellStyle name="Normal 91 4 3 5" xfId="24074" xr:uid="{00000000-0005-0000-0000-000032800000}"/>
    <cellStyle name="Normal 91 4 4" xfId="6297" xr:uid="{00000000-0005-0000-0000-000033800000}"/>
    <cellStyle name="Normal 91 4 4 2" xfId="10131" xr:uid="{00000000-0005-0000-0000-000034800000}"/>
    <cellStyle name="Normal 91 4 4 2 2" xfId="19305" xr:uid="{00000000-0005-0000-0000-000035800000}"/>
    <cellStyle name="Normal 91 4 4 2 2 2" xfId="35879" xr:uid="{00000000-0005-0000-0000-000036800000}"/>
    <cellStyle name="Normal 91 4 4 2 3" xfId="27832" xr:uid="{00000000-0005-0000-0000-000037800000}"/>
    <cellStyle name="Normal 91 4 4 3" xfId="15563" xr:uid="{00000000-0005-0000-0000-000038800000}"/>
    <cellStyle name="Normal 91 4 4 3 2" xfId="32119" xr:uid="{00000000-0005-0000-0000-000039800000}"/>
    <cellStyle name="Normal 91 4 4 4" xfId="24076" xr:uid="{00000000-0005-0000-0000-00003A800000}"/>
    <cellStyle name="Normal 91 4 5" xfId="10132" xr:uid="{00000000-0005-0000-0000-00003B800000}"/>
    <cellStyle name="Normal 91 4 5 2" xfId="19306" xr:uid="{00000000-0005-0000-0000-00003C800000}"/>
    <cellStyle name="Normal 91 4 5 2 2" xfId="35880" xr:uid="{00000000-0005-0000-0000-00003D800000}"/>
    <cellStyle name="Normal 91 4 5 3" xfId="27833" xr:uid="{00000000-0005-0000-0000-00003E800000}"/>
    <cellStyle name="Normal 91 4 6" xfId="15556" xr:uid="{00000000-0005-0000-0000-00003F800000}"/>
    <cellStyle name="Normal 91 4 6 2" xfId="32112" xr:uid="{00000000-0005-0000-0000-000040800000}"/>
    <cellStyle name="Normal 91 4 7" xfId="24069" xr:uid="{00000000-0005-0000-0000-000041800000}"/>
    <cellStyle name="Normal 91 5" xfId="6298" xr:uid="{00000000-0005-0000-0000-000042800000}"/>
    <cellStyle name="Normal 91 5 2" xfId="6299" xr:uid="{00000000-0005-0000-0000-000043800000}"/>
    <cellStyle name="Normal 91 5 2 2" xfId="6300" xr:uid="{00000000-0005-0000-0000-000044800000}"/>
    <cellStyle name="Normal 91 5 2 2 2" xfId="6301" xr:uid="{00000000-0005-0000-0000-000045800000}"/>
    <cellStyle name="Normal 91 5 2 2 2 2" xfId="10133" xr:uid="{00000000-0005-0000-0000-000046800000}"/>
    <cellStyle name="Normal 91 5 2 2 2 2 2" xfId="19307" xr:uid="{00000000-0005-0000-0000-000047800000}"/>
    <cellStyle name="Normal 91 5 2 2 2 2 2 2" xfId="35881" xr:uid="{00000000-0005-0000-0000-000048800000}"/>
    <cellStyle name="Normal 91 5 2 2 2 2 3" xfId="27834" xr:uid="{00000000-0005-0000-0000-000049800000}"/>
    <cellStyle name="Normal 91 5 2 2 2 3" xfId="15567" xr:uid="{00000000-0005-0000-0000-00004A800000}"/>
    <cellStyle name="Normal 91 5 2 2 2 3 2" xfId="32123" xr:uid="{00000000-0005-0000-0000-00004B800000}"/>
    <cellStyle name="Normal 91 5 2 2 2 4" xfId="24080" xr:uid="{00000000-0005-0000-0000-00004C800000}"/>
    <cellStyle name="Normal 91 5 2 2 3" xfId="10134" xr:uid="{00000000-0005-0000-0000-00004D800000}"/>
    <cellStyle name="Normal 91 5 2 2 3 2" xfId="19308" xr:uid="{00000000-0005-0000-0000-00004E800000}"/>
    <cellStyle name="Normal 91 5 2 2 3 2 2" xfId="35882" xr:uid="{00000000-0005-0000-0000-00004F800000}"/>
    <cellStyle name="Normal 91 5 2 2 3 3" xfId="27835" xr:uid="{00000000-0005-0000-0000-000050800000}"/>
    <cellStyle name="Normal 91 5 2 2 4" xfId="15566" xr:uid="{00000000-0005-0000-0000-000051800000}"/>
    <cellStyle name="Normal 91 5 2 2 4 2" xfId="32122" xr:uid="{00000000-0005-0000-0000-000052800000}"/>
    <cellStyle name="Normal 91 5 2 2 5" xfId="24079" xr:uid="{00000000-0005-0000-0000-000053800000}"/>
    <cellStyle name="Normal 91 5 2 3" xfId="6302" xr:uid="{00000000-0005-0000-0000-000054800000}"/>
    <cellStyle name="Normal 91 5 2 3 2" xfId="10135" xr:uid="{00000000-0005-0000-0000-000055800000}"/>
    <cellStyle name="Normal 91 5 2 3 2 2" xfId="19309" xr:uid="{00000000-0005-0000-0000-000056800000}"/>
    <cellStyle name="Normal 91 5 2 3 2 2 2" xfId="35883" xr:uid="{00000000-0005-0000-0000-000057800000}"/>
    <cellStyle name="Normal 91 5 2 3 2 3" xfId="27836" xr:uid="{00000000-0005-0000-0000-000058800000}"/>
    <cellStyle name="Normal 91 5 2 3 3" xfId="15568" xr:uid="{00000000-0005-0000-0000-000059800000}"/>
    <cellStyle name="Normal 91 5 2 3 3 2" xfId="32124" xr:uid="{00000000-0005-0000-0000-00005A800000}"/>
    <cellStyle name="Normal 91 5 2 3 4" xfId="24081" xr:uid="{00000000-0005-0000-0000-00005B800000}"/>
    <cellStyle name="Normal 91 5 2 4" xfId="10136" xr:uid="{00000000-0005-0000-0000-00005C800000}"/>
    <cellStyle name="Normal 91 5 2 4 2" xfId="19310" xr:uid="{00000000-0005-0000-0000-00005D800000}"/>
    <cellStyle name="Normal 91 5 2 4 2 2" xfId="35884" xr:uid="{00000000-0005-0000-0000-00005E800000}"/>
    <cellStyle name="Normal 91 5 2 4 3" xfId="27837" xr:uid="{00000000-0005-0000-0000-00005F800000}"/>
    <cellStyle name="Normal 91 5 2 5" xfId="15565" xr:uid="{00000000-0005-0000-0000-000060800000}"/>
    <cellStyle name="Normal 91 5 2 5 2" xfId="32121" xr:uid="{00000000-0005-0000-0000-000061800000}"/>
    <cellStyle name="Normal 91 5 2 6" xfId="24078" xr:uid="{00000000-0005-0000-0000-000062800000}"/>
    <cellStyle name="Normal 91 5 3" xfId="6303" xr:uid="{00000000-0005-0000-0000-000063800000}"/>
    <cellStyle name="Normal 91 5 3 2" xfId="6304" xr:uid="{00000000-0005-0000-0000-000064800000}"/>
    <cellStyle name="Normal 91 5 3 2 2" xfId="10137" xr:uid="{00000000-0005-0000-0000-000065800000}"/>
    <cellStyle name="Normal 91 5 3 2 2 2" xfId="19311" xr:uid="{00000000-0005-0000-0000-000066800000}"/>
    <cellStyle name="Normal 91 5 3 2 2 2 2" xfId="35885" xr:uid="{00000000-0005-0000-0000-000067800000}"/>
    <cellStyle name="Normal 91 5 3 2 2 3" xfId="27838" xr:uid="{00000000-0005-0000-0000-000068800000}"/>
    <cellStyle name="Normal 91 5 3 2 3" xfId="15570" xr:uid="{00000000-0005-0000-0000-000069800000}"/>
    <cellStyle name="Normal 91 5 3 2 3 2" xfId="32126" xr:uid="{00000000-0005-0000-0000-00006A800000}"/>
    <cellStyle name="Normal 91 5 3 2 4" xfId="24083" xr:uid="{00000000-0005-0000-0000-00006B800000}"/>
    <cellStyle name="Normal 91 5 3 3" xfId="10138" xr:uid="{00000000-0005-0000-0000-00006C800000}"/>
    <cellStyle name="Normal 91 5 3 3 2" xfId="19312" xr:uid="{00000000-0005-0000-0000-00006D800000}"/>
    <cellStyle name="Normal 91 5 3 3 2 2" xfId="35886" xr:uid="{00000000-0005-0000-0000-00006E800000}"/>
    <cellStyle name="Normal 91 5 3 3 3" xfId="27839" xr:uid="{00000000-0005-0000-0000-00006F800000}"/>
    <cellStyle name="Normal 91 5 3 4" xfId="15569" xr:uid="{00000000-0005-0000-0000-000070800000}"/>
    <cellStyle name="Normal 91 5 3 4 2" xfId="32125" xr:uid="{00000000-0005-0000-0000-000071800000}"/>
    <cellStyle name="Normal 91 5 3 5" xfId="24082" xr:uid="{00000000-0005-0000-0000-000072800000}"/>
    <cellStyle name="Normal 91 5 4" xfId="6305" xr:uid="{00000000-0005-0000-0000-000073800000}"/>
    <cellStyle name="Normal 91 5 4 2" xfId="10139" xr:uid="{00000000-0005-0000-0000-000074800000}"/>
    <cellStyle name="Normal 91 5 4 2 2" xfId="19313" xr:uid="{00000000-0005-0000-0000-000075800000}"/>
    <cellStyle name="Normal 91 5 4 2 2 2" xfId="35887" xr:uid="{00000000-0005-0000-0000-000076800000}"/>
    <cellStyle name="Normal 91 5 4 2 3" xfId="27840" xr:uid="{00000000-0005-0000-0000-000077800000}"/>
    <cellStyle name="Normal 91 5 4 3" xfId="15571" xr:uid="{00000000-0005-0000-0000-000078800000}"/>
    <cellStyle name="Normal 91 5 4 3 2" xfId="32127" xr:uid="{00000000-0005-0000-0000-000079800000}"/>
    <cellStyle name="Normal 91 5 4 4" xfId="24084" xr:uid="{00000000-0005-0000-0000-00007A800000}"/>
    <cellStyle name="Normal 91 5 5" xfId="10140" xr:uid="{00000000-0005-0000-0000-00007B800000}"/>
    <cellStyle name="Normal 91 5 5 2" xfId="19314" xr:uid="{00000000-0005-0000-0000-00007C800000}"/>
    <cellStyle name="Normal 91 5 5 2 2" xfId="35888" xr:uid="{00000000-0005-0000-0000-00007D800000}"/>
    <cellStyle name="Normal 91 5 5 3" xfId="27841" xr:uid="{00000000-0005-0000-0000-00007E800000}"/>
    <cellStyle name="Normal 91 5 6" xfId="15564" xr:uid="{00000000-0005-0000-0000-00007F800000}"/>
    <cellStyle name="Normal 91 5 6 2" xfId="32120" xr:uid="{00000000-0005-0000-0000-000080800000}"/>
    <cellStyle name="Normal 91 5 7" xfId="24077" xr:uid="{00000000-0005-0000-0000-000081800000}"/>
    <cellStyle name="Normal 91 6" xfId="6306" xr:uid="{00000000-0005-0000-0000-000082800000}"/>
    <cellStyle name="Normal 91 6 2" xfId="6307" xr:uid="{00000000-0005-0000-0000-000083800000}"/>
    <cellStyle name="Normal 91 6 2 2" xfId="6308" xr:uid="{00000000-0005-0000-0000-000084800000}"/>
    <cellStyle name="Normal 91 6 2 2 2" xfId="10141" xr:uid="{00000000-0005-0000-0000-000085800000}"/>
    <cellStyle name="Normal 91 6 2 2 2 2" xfId="19315" xr:uid="{00000000-0005-0000-0000-000086800000}"/>
    <cellStyle name="Normal 91 6 2 2 2 2 2" xfId="35889" xr:uid="{00000000-0005-0000-0000-000087800000}"/>
    <cellStyle name="Normal 91 6 2 2 2 3" xfId="27842" xr:uid="{00000000-0005-0000-0000-000088800000}"/>
    <cellStyle name="Normal 91 6 2 2 3" xfId="15574" xr:uid="{00000000-0005-0000-0000-000089800000}"/>
    <cellStyle name="Normal 91 6 2 2 3 2" xfId="32130" xr:uid="{00000000-0005-0000-0000-00008A800000}"/>
    <cellStyle name="Normal 91 6 2 2 4" xfId="24087" xr:uid="{00000000-0005-0000-0000-00008B800000}"/>
    <cellStyle name="Normal 91 6 2 3" xfId="10142" xr:uid="{00000000-0005-0000-0000-00008C800000}"/>
    <cellStyle name="Normal 91 6 2 3 2" xfId="19316" xr:uid="{00000000-0005-0000-0000-00008D800000}"/>
    <cellStyle name="Normal 91 6 2 3 2 2" xfId="35890" xr:uid="{00000000-0005-0000-0000-00008E800000}"/>
    <cellStyle name="Normal 91 6 2 3 3" xfId="27843" xr:uid="{00000000-0005-0000-0000-00008F800000}"/>
    <cellStyle name="Normal 91 6 2 4" xfId="15573" xr:uid="{00000000-0005-0000-0000-000090800000}"/>
    <cellStyle name="Normal 91 6 2 4 2" xfId="32129" xr:uid="{00000000-0005-0000-0000-000091800000}"/>
    <cellStyle name="Normal 91 6 2 5" xfId="24086" xr:uid="{00000000-0005-0000-0000-000092800000}"/>
    <cellStyle name="Normal 91 6 3" xfId="6309" xr:uid="{00000000-0005-0000-0000-000093800000}"/>
    <cellStyle name="Normal 91 6 3 2" xfId="10143" xr:uid="{00000000-0005-0000-0000-000094800000}"/>
    <cellStyle name="Normal 91 6 3 2 2" xfId="19317" xr:uid="{00000000-0005-0000-0000-000095800000}"/>
    <cellStyle name="Normal 91 6 3 2 2 2" xfId="35891" xr:uid="{00000000-0005-0000-0000-000096800000}"/>
    <cellStyle name="Normal 91 6 3 2 3" xfId="27844" xr:uid="{00000000-0005-0000-0000-000097800000}"/>
    <cellStyle name="Normal 91 6 3 3" xfId="15575" xr:uid="{00000000-0005-0000-0000-000098800000}"/>
    <cellStyle name="Normal 91 6 3 3 2" xfId="32131" xr:uid="{00000000-0005-0000-0000-000099800000}"/>
    <cellStyle name="Normal 91 6 3 4" xfId="24088" xr:uid="{00000000-0005-0000-0000-00009A800000}"/>
    <cellStyle name="Normal 91 6 4" xfId="10144" xr:uid="{00000000-0005-0000-0000-00009B800000}"/>
    <cellStyle name="Normal 91 6 4 2" xfId="19318" xr:uid="{00000000-0005-0000-0000-00009C800000}"/>
    <cellStyle name="Normal 91 6 4 2 2" xfId="35892" xr:uid="{00000000-0005-0000-0000-00009D800000}"/>
    <cellStyle name="Normal 91 6 4 3" xfId="27845" xr:uid="{00000000-0005-0000-0000-00009E800000}"/>
    <cellStyle name="Normal 91 6 5" xfId="15572" xr:uid="{00000000-0005-0000-0000-00009F800000}"/>
    <cellStyle name="Normal 91 6 5 2" xfId="32128" xr:uid="{00000000-0005-0000-0000-0000A0800000}"/>
    <cellStyle name="Normal 91 6 6" xfId="24085" xr:uid="{00000000-0005-0000-0000-0000A1800000}"/>
    <cellStyle name="Normal 91 7" xfId="6310" xr:uid="{00000000-0005-0000-0000-0000A2800000}"/>
    <cellStyle name="Normal 91 7 2" xfId="6311" xr:uid="{00000000-0005-0000-0000-0000A3800000}"/>
    <cellStyle name="Normal 91 7 2 2" xfId="10145" xr:uid="{00000000-0005-0000-0000-0000A4800000}"/>
    <cellStyle name="Normal 91 7 2 2 2" xfId="19319" xr:uid="{00000000-0005-0000-0000-0000A5800000}"/>
    <cellStyle name="Normal 91 7 2 2 2 2" xfId="35893" xr:uid="{00000000-0005-0000-0000-0000A6800000}"/>
    <cellStyle name="Normal 91 7 2 2 3" xfId="27846" xr:uid="{00000000-0005-0000-0000-0000A7800000}"/>
    <cellStyle name="Normal 91 7 2 3" xfId="15577" xr:uid="{00000000-0005-0000-0000-0000A8800000}"/>
    <cellStyle name="Normal 91 7 2 3 2" xfId="32133" xr:uid="{00000000-0005-0000-0000-0000A9800000}"/>
    <cellStyle name="Normal 91 7 2 4" xfId="24090" xr:uid="{00000000-0005-0000-0000-0000AA800000}"/>
    <cellStyle name="Normal 91 7 3" xfId="10146" xr:uid="{00000000-0005-0000-0000-0000AB800000}"/>
    <cellStyle name="Normal 91 7 3 2" xfId="19320" xr:uid="{00000000-0005-0000-0000-0000AC800000}"/>
    <cellStyle name="Normal 91 7 3 2 2" xfId="35894" xr:uid="{00000000-0005-0000-0000-0000AD800000}"/>
    <cellStyle name="Normal 91 7 3 3" xfId="27847" xr:uid="{00000000-0005-0000-0000-0000AE800000}"/>
    <cellStyle name="Normal 91 7 4" xfId="15576" xr:uid="{00000000-0005-0000-0000-0000AF800000}"/>
    <cellStyle name="Normal 91 7 4 2" xfId="32132" xr:uid="{00000000-0005-0000-0000-0000B0800000}"/>
    <cellStyle name="Normal 91 7 5" xfId="24089" xr:uid="{00000000-0005-0000-0000-0000B1800000}"/>
    <cellStyle name="Normal 91 8" xfId="6312" xr:uid="{00000000-0005-0000-0000-0000B2800000}"/>
    <cellStyle name="Normal 91 8 2" xfId="10147" xr:uid="{00000000-0005-0000-0000-0000B3800000}"/>
    <cellStyle name="Normal 91 8 2 2" xfId="19321" xr:uid="{00000000-0005-0000-0000-0000B4800000}"/>
    <cellStyle name="Normal 91 8 2 2 2" xfId="35895" xr:uid="{00000000-0005-0000-0000-0000B5800000}"/>
    <cellStyle name="Normal 91 8 2 3" xfId="27848" xr:uid="{00000000-0005-0000-0000-0000B6800000}"/>
    <cellStyle name="Normal 91 8 3" xfId="15578" xr:uid="{00000000-0005-0000-0000-0000B7800000}"/>
    <cellStyle name="Normal 91 8 3 2" xfId="32134" xr:uid="{00000000-0005-0000-0000-0000B8800000}"/>
    <cellStyle name="Normal 91 8 4" xfId="24091" xr:uid="{00000000-0005-0000-0000-0000B9800000}"/>
    <cellStyle name="Normal 91 9" xfId="10148" xr:uid="{00000000-0005-0000-0000-0000BA800000}"/>
    <cellStyle name="Normal 91 9 2" xfId="19322" xr:uid="{00000000-0005-0000-0000-0000BB800000}"/>
    <cellStyle name="Normal 91 9 2 2" xfId="35896" xr:uid="{00000000-0005-0000-0000-0000BC800000}"/>
    <cellStyle name="Normal 91 9 3" xfId="27849" xr:uid="{00000000-0005-0000-0000-0000BD800000}"/>
    <cellStyle name="Normal 92" xfId="6313" xr:uid="{00000000-0005-0000-0000-0000BE800000}"/>
    <cellStyle name="Normal 92 10" xfId="15579" xr:uid="{00000000-0005-0000-0000-0000BF800000}"/>
    <cellStyle name="Normal 92 10 2" xfId="32135" xr:uid="{00000000-0005-0000-0000-0000C0800000}"/>
    <cellStyle name="Normal 92 11" xfId="24092" xr:uid="{00000000-0005-0000-0000-0000C1800000}"/>
    <cellStyle name="Normal 92 2" xfId="6314" xr:uid="{00000000-0005-0000-0000-0000C2800000}"/>
    <cellStyle name="Normal 92 2 2" xfId="6315" xr:uid="{00000000-0005-0000-0000-0000C3800000}"/>
    <cellStyle name="Normal 92 2 3" xfId="15580" xr:uid="{00000000-0005-0000-0000-0000C4800000}"/>
    <cellStyle name="Normal 92 2 3 2" xfId="32136" xr:uid="{00000000-0005-0000-0000-0000C5800000}"/>
    <cellStyle name="Normal 92 2 4" xfId="24093" xr:uid="{00000000-0005-0000-0000-0000C6800000}"/>
    <cellStyle name="Normal 92 3" xfId="6316" xr:uid="{00000000-0005-0000-0000-0000C7800000}"/>
    <cellStyle name="Normal 92 3 2" xfId="6317" xr:uid="{00000000-0005-0000-0000-0000C8800000}"/>
    <cellStyle name="Normal 92 3 2 2" xfId="6318" xr:uid="{00000000-0005-0000-0000-0000C9800000}"/>
    <cellStyle name="Normal 92 3 2 2 2" xfId="6319" xr:uid="{00000000-0005-0000-0000-0000CA800000}"/>
    <cellStyle name="Normal 92 3 2 2 2 2" xfId="10149" xr:uid="{00000000-0005-0000-0000-0000CB800000}"/>
    <cellStyle name="Normal 92 3 2 2 2 2 2" xfId="19323" xr:uid="{00000000-0005-0000-0000-0000CC800000}"/>
    <cellStyle name="Normal 92 3 2 2 2 2 2 2" xfId="35897" xr:uid="{00000000-0005-0000-0000-0000CD800000}"/>
    <cellStyle name="Normal 92 3 2 2 2 2 3" xfId="27850" xr:uid="{00000000-0005-0000-0000-0000CE800000}"/>
    <cellStyle name="Normal 92 3 2 2 2 3" xfId="15583" xr:uid="{00000000-0005-0000-0000-0000CF800000}"/>
    <cellStyle name="Normal 92 3 2 2 2 3 2" xfId="32139" xr:uid="{00000000-0005-0000-0000-0000D0800000}"/>
    <cellStyle name="Normal 92 3 2 2 2 4" xfId="24096" xr:uid="{00000000-0005-0000-0000-0000D1800000}"/>
    <cellStyle name="Normal 92 3 2 2 3" xfId="10150" xr:uid="{00000000-0005-0000-0000-0000D2800000}"/>
    <cellStyle name="Normal 92 3 2 2 3 2" xfId="19324" xr:uid="{00000000-0005-0000-0000-0000D3800000}"/>
    <cellStyle name="Normal 92 3 2 2 3 2 2" xfId="35898" xr:uid="{00000000-0005-0000-0000-0000D4800000}"/>
    <cellStyle name="Normal 92 3 2 2 3 3" xfId="27851" xr:uid="{00000000-0005-0000-0000-0000D5800000}"/>
    <cellStyle name="Normal 92 3 2 2 4" xfId="15582" xr:uid="{00000000-0005-0000-0000-0000D6800000}"/>
    <cellStyle name="Normal 92 3 2 2 4 2" xfId="32138" xr:uid="{00000000-0005-0000-0000-0000D7800000}"/>
    <cellStyle name="Normal 92 3 2 2 5" xfId="24095" xr:uid="{00000000-0005-0000-0000-0000D8800000}"/>
    <cellStyle name="Normal 92 3 2 3" xfId="6320" xr:uid="{00000000-0005-0000-0000-0000D9800000}"/>
    <cellStyle name="Normal 92 3 2 3 2" xfId="10151" xr:uid="{00000000-0005-0000-0000-0000DA800000}"/>
    <cellStyle name="Normal 92 3 2 3 2 2" xfId="19325" xr:uid="{00000000-0005-0000-0000-0000DB800000}"/>
    <cellStyle name="Normal 92 3 2 3 2 2 2" xfId="35899" xr:uid="{00000000-0005-0000-0000-0000DC800000}"/>
    <cellStyle name="Normal 92 3 2 3 2 3" xfId="27852" xr:uid="{00000000-0005-0000-0000-0000DD800000}"/>
    <cellStyle name="Normal 92 3 2 3 3" xfId="15584" xr:uid="{00000000-0005-0000-0000-0000DE800000}"/>
    <cellStyle name="Normal 92 3 2 3 3 2" xfId="32140" xr:uid="{00000000-0005-0000-0000-0000DF800000}"/>
    <cellStyle name="Normal 92 3 2 3 4" xfId="24097" xr:uid="{00000000-0005-0000-0000-0000E0800000}"/>
    <cellStyle name="Normal 92 3 2 4" xfId="10152" xr:uid="{00000000-0005-0000-0000-0000E1800000}"/>
    <cellStyle name="Normal 92 3 2 4 2" xfId="19326" xr:uid="{00000000-0005-0000-0000-0000E2800000}"/>
    <cellStyle name="Normal 92 3 2 4 2 2" xfId="35900" xr:uid="{00000000-0005-0000-0000-0000E3800000}"/>
    <cellStyle name="Normal 92 3 2 4 3" xfId="27853" xr:uid="{00000000-0005-0000-0000-0000E4800000}"/>
    <cellStyle name="Normal 92 3 2 5" xfId="15581" xr:uid="{00000000-0005-0000-0000-0000E5800000}"/>
    <cellStyle name="Normal 92 3 2 5 2" xfId="32137" xr:uid="{00000000-0005-0000-0000-0000E6800000}"/>
    <cellStyle name="Normal 92 3 2 6" xfId="24094" xr:uid="{00000000-0005-0000-0000-0000E7800000}"/>
    <cellStyle name="Normal 92 3 3" xfId="6321" xr:uid="{00000000-0005-0000-0000-0000E8800000}"/>
    <cellStyle name="Normal 92 3 3 2" xfId="6322" xr:uid="{00000000-0005-0000-0000-0000E9800000}"/>
    <cellStyle name="Normal 92 3 3 2 2" xfId="10153" xr:uid="{00000000-0005-0000-0000-0000EA800000}"/>
    <cellStyle name="Normal 92 3 3 2 2 2" xfId="19327" xr:uid="{00000000-0005-0000-0000-0000EB800000}"/>
    <cellStyle name="Normal 92 3 3 2 2 2 2" xfId="35901" xr:uid="{00000000-0005-0000-0000-0000EC800000}"/>
    <cellStyle name="Normal 92 3 3 2 2 3" xfId="27854" xr:uid="{00000000-0005-0000-0000-0000ED800000}"/>
    <cellStyle name="Normal 92 3 3 2 3" xfId="15586" xr:uid="{00000000-0005-0000-0000-0000EE800000}"/>
    <cellStyle name="Normal 92 3 3 2 3 2" xfId="32142" xr:uid="{00000000-0005-0000-0000-0000EF800000}"/>
    <cellStyle name="Normal 92 3 3 2 4" xfId="24099" xr:uid="{00000000-0005-0000-0000-0000F0800000}"/>
    <cellStyle name="Normal 92 3 3 3" xfId="10154" xr:uid="{00000000-0005-0000-0000-0000F1800000}"/>
    <cellStyle name="Normal 92 3 3 3 2" xfId="19328" xr:uid="{00000000-0005-0000-0000-0000F2800000}"/>
    <cellStyle name="Normal 92 3 3 3 2 2" xfId="35902" xr:uid="{00000000-0005-0000-0000-0000F3800000}"/>
    <cellStyle name="Normal 92 3 3 3 3" xfId="27855" xr:uid="{00000000-0005-0000-0000-0000F4800000}"/>
    <cellStyle name="Normal 92 3 3 4" xfId="15585" xr:uid="{00000000-0005-0000-0000-0000F5800000}"/>
    <cellStyle name="Normal 92 3 3 4 2" xfId="32141" xr:uid="{00000000-0005-0000-0000-0000F6800000}"/>
    <cellStyle name="Normal 92 3 3 5" xfId="24098" xr:uid="{00000000-0005-0000-0000-0000F7800000}"/>
    <cellStyle name="Normal 92 3 4" xfId="6323" xr:uid="{00000000-0005-0000-0000-0000F8800000}"/>
    <cellStyle name="Normal 92 3 4 2" xfId="10155" xr:uid="{00000000-0005-0000-0000-0000F9800000}"/>
    <cellStyle name="Normal 92 3 4 2 2" xfId="19329" xr:uid="{00000000-0005-0000-0000-0000FA800000}"/>
    <cellStyle name="Normal 92 3 4 2 2 2" xfId="35903" xr:uid="{00000000-0005-0000-0000-0000FB800000}"/>
    <cellStyle name="Normal 92 3 4 2 3" xfId="27856" xr:uid="{00000000-0005-0000-0000-0000FC800000}"/>
    <cellStyle name="Normal 92 3 4 3" xfId="15587" xr:uid="{00000000-0005-0000-0000-0000FD800000}"/>
    <cellStyle name="Normal 92 3 4 3 2" xfId="32143" xr:uid="{00000000-0005-0000-0000-0000FE800000}"/>
    <cellStyle name="Normal 92 3 4 4" xfId="24100" xr:uid="{00000000-0005-0000-0000-0000FF800000}"/>
    <cellStyle name="Normal 92 3 5" xfId="6324" xr:uid="{00000000-0005-0000-0000-000000810000}"/>
    <cellStyle name="Normal 92 3 5 2" xfId="15588" xr:uid="{00000000-0005-0000-0000-000001810000}"/>
    <cellStyle name="Normal 92 3 5 2 2" xfId="32144" xr:uid="{00000000-0005-0000-0000-000002810000}"/>
    <cellStyle name="Normal 92 3 5 3" xfId="24101" xr:uid="{00000000-0005-0000-0000-000003810000}"/>
    <cellStyle name="Normal 92 4" xfId="6325" xr:uid="{00000000-0005-0000-0000-000004810000}"/>
    <cellStyle name="Normal 92 4 2" xfId="6326" xr:uid="{00000000-0005-0000-0000-000005810000}"/>
    <cellStyle name="Normal 92 4 2 2" xfId="6327" xr:uid="{00000000-0005-0000-0000-000006810000}"/>
    <cellStyle name="Normal 92 4 2 2 2" xfId="6328" xr:uid="{00000000-0005-0000-0000-000007810000}"/>
    <cellStyle name="Normal 92 4 2 2 2 2" xfId="10156" xr:uid="{00000000-0005-0000-0000-000008810000}"/>
    <cellStyle name="Normal 92 4 2 2 2 2 2" xfId="19330" xr:uid="{00000000-0005-0000-0000-000009810000}"/>
    <cellStyle name="Normal 92 4 2 2 2 2 2 2" xfId="35904" xr:uid="{00000000-0005-0000-0000-00000A810000}"/>
    <cellStyle name="Normal 92 4 2 2 2 2 3" xfId="27857" xr:uid="{00000000-0005-0000-0000-00000B810000}"/>
    <cellStyle name="Normal 92 4 2 2 2 3" xfId="15592" xr:uid="{00000000-0005-0000-0000-00000C810000}"/>
    <cellStyle name="Normal 92 4 2 2 2 3 2" xfId="32148" xr:uid="{00000000-0005-0000-0000-00000D810000}"/>
    <cellStyle name="Normal 92 4 2 2 2 4" xfId="24105" xr:uid="{00000000-0005-0000-0000-00000E810000}"/>
    <cellStyle name="Normal 92 4 2 2 3" xfId="10157" xr:uid="{00000000-0005-0000-0000-00000F810000}"/>
    <cellStyle name="Normal 92 4 2 2 3 2" xfId="19331" xr:uid="{00000000-0005-0000-0000-000010810000}"/>
    <cellStyle name="Normal 92 4 2 2 3 2 2" xfId="35905" xr:uid="{00000000-0005-0000-0000-000011810000}"/>
    <cellStyle name="Normal 92 4 2 2 3 3" xfId="27858" xr:uid="{00000000-0005-0000-0000-000012810000}"/>
    <cellStyle name="Normal 92 4 2 2 4" xfId="15591" xr:uid="{00000000-0005-0000-0000-000013810000}"/>
    <cellStyle name="Normal 92 4 2 2 4 2" xfId="32147" xr:uid="{00000000-0005-0000-0000-000014810000}"/>
    <cellStyle name="Normal 92 4 2 2 5" xfId="24104" xr:uid="{00000000-0005-0000-0000-000015810000}"/>
    <cellStyle name="Normal 92 4 2 3" xfId="6329" xr:uid="{00000000-0005-0000-0000-000016810000}"/>
    <cellStyle name="Normal 92 4 2 3 2" xfId="10158" xr:uid="{00000000-0005-0000-0000-000017810000}"/>
    <cellStyle name="Normal 92 4 2 3 2 2" xfId="19332" xr:uid="{00000000-0005-0000-0000-000018810000}"/>
    <cellStyle name="Normal 92 4 2 3 2 2 2" xfId="35906" xr:uid="{00000000-0005-0000-0000-000019810000}"/>
    <cellStyle name="Normal 92 4 2 3 2 3" xfId="27859" xr:uid="{00000000-0005-0000-0000-00001A810000}"/>
    <cellStyle name="Normal 92 4 2 3 3" xfId="15593" xr:uid="{00000000-0005-0000-0000-00001B810000}"/>
    <cellStyle name="Normal 92 4 2 3 3 2" xfId="32149" xr:uid="{00000000-0005-0000-0000-00001C810000}"/>
    <cellStyle name="Normal 92 4 2 3 4" xfId="24106" xr:uid="{00000000-0005-0000-0000-00001D810000}"/>
    <cellStyle name="Normal 92 4 2 4" xfId="10159" xr:uid="{00000000-0005-0000-0000-00001E810000}"/>
    <cellStyle name="Normal 92 4 2 4 2" xfId="19333" xr:uid="{00000000-0005-0000-0000-00001F810000}"/>
    <cellStyle name="Normal 92 4 2 4 2 2" xfId="35907" xr:uid="{00000000-0005-0000-0000-000020810000}"/>
    <cellStyle name="Normal 92 4 2 4 3" xfId="27860" xr:uid="{00000000-0005-0000-0000-000021810000}"/>
    <cellStyle name="Normal 92 4 2 5" xfId="15590" xr:uid="{00000000-0005-0000-0000-000022810000}"/>
    <cellStyle name="Normal 92 4 2 5 2" xfId="32146" xr:uid="{00000000-0005-0000-0000-000023810000}"/>
    <cellStyle name="Normal 92 4 2 6" xfId="24103" xr:uid="{00000000-0005-0000-0000-000024810000}"/>
    <cellStyle name="Normal 92 4 3" xfId="6330" xr:uid="{00000000-0005-0000-0000-000025810000}"/>
    <cellStyle name="Normal 92 4 3 2" xfId="6331" xr:uid="{00000000-0005-0000-0000-000026810000}"/>
    <cellStyle name="Normal 92 4 3 2 2" xfId="10160" xr:uid="{00000000-0005-0000-0000-000027810000}"/>
    <cellStyle name="Normal 92 4 3 2 2 2" xfId="19334" xr:uid="{00000000-0005-0000-0000-000028810000}"/>
    <cellStyle name="Normal 92 4 3 2 2 2 2" xfId="35908" xr:uid="{00000000-0005-0000-0000-000029810000}"/>
    <cellStyle name="Normal 92 4 3 2 2 3" xfId="27861" xr:uid="{00000000-0005-0000-0000-00002A810000}"/>
    <cellStyle name="Normal 92 4 3 2 3" xfId="15595" xr:uid="{00000000-0005-0000-0000-00002B810000}"/>
    <cellStyle name="Normal 92 4 3 2 3 2" xfId="32151" xr:uid="{00000000-0005-0000-0000-00002C810000}"/>
    <cellStyle name="Normal 92 4 3 2 4" xfId="24108" xr:uid="{00000000-0005-0000-0000-00002D810000}"/>
    <cellStyle name="Normal 92 4 3 3" xfId="10161" xr:uid="{00000000-0005-0000-0000-00002E810000}"/>
    <cellStyle name="Normal 92 4 3 3 2" xfId="19335" xr:uid="{00000000-0005-0000-0000-00002F810000}"/>
    <cellStyle name="Normal 92 4 3 3 2 2" xfId="35909" xr:uid="{00000000-0005-0000-0000-000030810000}"/>
    <cellStyle name="Normal 92 4 3 3 3" xfId="27862" xr:uid="{00000000-0005-0000-0000-000031810000}"/>
    <cellStyle name="Normal 92 4 3 4" xfId="15594" xr:uid="{00000000-0005-0000-0000-000032810000}"/>
    <cellStyle name="Normal 92 4 3 4 2" xfId="32150" xr:uid="{00000000-0005-0000-0000-000033810000}"/>
    <cellStyle name="Normal 92 4 3 5" xfId="24107" xr:uid="{00000000-0005-0000-0000-000034810000}"/>
    <cellStyle name="Normal 92 4 4" xfId="6332" xr:uid="{00000000-0005-0000-0000-000035810000}"/>
    <cellStyle name="Normal 92 4 4 2" xfId="10162" xr:uid="{00000000-0005-0000-0000-000036810000}"/>
    <cellStyle name="Normal 92 4 4 2 2" xfId="19336" xr:uid="{00000000-0005-0000-0000-000037810000}"/>
    <cellStyle name="Normal 92 4 4 2 2 2" xfId="35910" xr:uid="{00000000-0005-0000-0000-000038810000}"/>
    <cellStyle name="Normal 92 4 4 2 3" xfId="27863" xr:uid="{00000000-0005-0000-0000-000039810000}"/>
    <cellStyle name="Normal 92 4 4 3" xfId="15596" xr:uid="{00000000-0005-0000-0000-00003A810000}"/>
    <cellStyle name="Normal 92 4 4 3 2" xfId="32152" xr:uid="{00000000-0005-0000-0000-00003B810000}"/>
    <cellStyle name="Normal 92 4 4 4" xfId="24109" xr:uid="{00000000-0005-0000-0000-00003C810000}"/>
    <cellStyle name="Normal 92 4 5" xfId="10163" xr:uid="{00000000-0005-0000-0000-00003D810000}"/>
    <cellStyle name="Normal 92 4 5 2" xfId="19337" xr:uid="{00000000-0005-0000-0000-00003E810000}"/>
    <cellStyle name="Normal 92 4 5 2 2" xfId="35911" xr:uid="{00000000-0005-0000-0000-00003F810000}"/>
    <cellStyle name="Normal 92 4 5 3" xfId="27864" xr:uid="{00000000-0005-0000-0000-000040810000}"/>
    <cellStyle name="Normal 92 4 6" xfId="15589" xr:uid="{00000000-0005-0000-0000-000041810000}"/>
    <cellStyle name="Normal 92 4 6 2" xfId="32145" xr:uid="{00000000-0005-0000-0000-000042810000}"/>
    <cellStyle name="Normal 92 4 7" xfId="24102" xr:uid="{00000000-0005-0000-0000-000043810000}"/>
    <cellStyle name="Normal 92 5" xfId="6333" xr:uid="{00000000-0005-0000-0000-000044810000}"/>
    <cellStyle name="Normal 92 5 2" xfId="6334" xr:uid="{00000000-0005-0000-0000-000045810000}"/>
    <cellStyle name="Normal 92 5 2 2" xfId="6335" xr:uid="{00000000-0005-0000-0000-000046810000}"/>
    <cellStyle name="Normal 92 5 2 2 2" xfId="6336" xr:uid="{00000000-0005-0000-0000-000047810000}"/>
    <cellStyle name="Normal 92 5 2 2 2 2" xfId="10164" xr:uid="{00000000-0005-0000-0000-000048810000}"/>
    <cellStyle name="Normal 92 5 2 2 2 2 2" xfId="19338" xr:uid="{00000000-0005-0000-0000-000049810000}"/>
    <cellStyle name="Normal 92 5 2 2 2 2 2 2" xfId="35912" xr:uid="{00000000-0005-0000-0000-00004A810000}"/>
    <cellStyle name="Normal 92 5 2 2 2 2 3" xfId="27865" xr:uid="{00000000-0005-0000-0000-00004B810000}"/>
    <cellStyle name="Normal 92 5 2 2 2 3" xfId="15600" xr:uid="{00000000-0005-0000-0000-00004C810000}"/>
    <cellStyle name="Normal 92 5 2 2 2 3 2" xfId="32156" xr:uid="{00000000-0005-0000-0000-00004D810000}"/>
    <cellStyle name="Normal 92 5 2 2 2 4" xfId="24113" xr:uid="{00000000-0005-0000-0000-00004E810000}"/>
    <cellStyle name="Normal 92 5 2 2 3" xfId="10165" xr:uid="{00000000-0005-0000-0000-00004F810000}"/>
    <cellStyle name="Normal 92 5 2 2 3 2" xfId="19339" xr:uid="{00000000-0005-0000-0000-000050810000}"/>
    <cellStyle name="Normal 92 5 2 2 3 2 2" xfId="35913" xr:uid="{00000000-0005-0000-0000-000051810000}"/>
    <cellStyle name="Normal 92 5 2 2 3 3" xfId="27866" xr:uid="{00000000-0005-0000-0000-000052810000}"/>
    <cellStyle name="Normal 92 5 2 2 4" xfId="15599" xr:uid="{00000000-0005-0000-0000-000053810000}"/>
    <cellStyle name="Normal 92 5 2 2 4 2" xfId="32155" xr:uid="{00000000-0005-0000-0000-000054810000}"/>
    <cellStyle name="Normal 92 5 2 2 5" xfId="24112" xr:uid="{00000000-0005-0000-0000-000055810000}"/>
    <cellStyle name="Normal 92 5 2 3" xfId="6337" xr:uid="{00000000-0005-0000-0000-000056810000}"/>
    <cellStyle name="Normal 92 5 2 3 2" xfId="10166" xr:uid="{00000000-0005-0000-0000-000057810000}"/>
    <cellStyle name="Normal 92 5 2 3 2 2" xfId="19340" xr:uid="{00000000-0005-0000-0000-000058810000}"/>
    <cellStyle name="Normal 92 5 2 3 2 2 2" xfId="35914" xr:uid="{00000000-0005-0000-0000-000059810000}"/>
    <cellStyle name="Normal 92 5 2 3 2 3" xfId="27867" xr:uid="{00000000-0005-0000-0000-00005A810000}"/>
    <cellStyle name="Normal 92 5 2 3 3" xfId="15601" xr:uid="{00000000-0005-0000-0000-00005B810000}"/>
    <cellStyle name="Normal 92 5 2 3 3 2" xfId="32157" xr:uid="{00000000-0005-0000-0000-00005C810000}"/>
    <cellStyle name="Normal 92 5 2 3 4" xfId="24114" xr:uid="{00000000-0005-0000-0000-00005D810000}"/>
    <cellStyle name="Normal 92 5 2 4" xfId="10167" xr:uid="{00000000-0005-0000-0000-00005E810000}"/>
    <cellStyle name="Normal 92 5 2 4 2" xfId="19341" xr:uid="{00000000-0005-0000-0000-00005F810000}"/>
    <cellStyle name="Normal 92 5 2 4 2 2" xfId="35915" xr:uid="{00000000-0005-0000-0000-000060810000}"/>
    <cellStyle name="Normal 92 5 2 4 3" xfId="27868" xr:uid="{00000000-0005-0000-0000-000061810000}"/>
    <cellStyle name="Normal 92 5 2 5" xfId="15598" xr:uid="{00000000-0005-0000-0000-000062810000}"/>
    <cellStyle name="Normal 92 5 2 5 2" xfId="32154" xr:uid="{00000000-0005-0000-0000-000063810000}"/>
    <cellStyle name="Normal 92 5 2 6" xfId="24111" xr:uid="{00000000-0005-0000-0000-000064810000}"/>
    <cellStyle name="Normal 92 5 3" xfId="6338" xr:uid="{00000000-0005-0000-0000-000065810000}"/>
    <cellStyle name="Normal 92 5 3 2" xfId="6339" xr:uid="{00000000-0005-0000-0000-000066810000}"/>
    <cellStyle name="Normal 92 5 3 2 2" xfId="10168" xr:uid="{00000000-0005-0000-0000-000067810000}"/>
    <cellStyle name="Normal 92 5 3 2 2 2" xfId="19342" xr:uid="{00000000-0005-0000-0000-000068810000}"/>
    <cellStyle name="Normal 92 5 3 2 2 2 2" xfId="35916" xr:uid="{00000000-0005-0000-0000-000069810000}"/>
    <cellStyle name="Normal 92 5 3 2 2 3" xfId="27869" xr:uid="{00000000-0005-0000-0000-00006A810000}"/>
    <cellStyle name="Normal 92 5 3 2 3" xfId="15603" xr:uid="{00000000-0005-0000-0000-00006B810000}"/>
    <cellStyle name="Normal 92 5 3 2 3 2" xfId="32159" xr:uid="{00000000-0005-0000-0000-00006C810000}"/>
    <cellStyle name="Normal 92 5 3 2 4" xfId="24116" xr:uid="{00000000-0005-0000-0000-00006D810000}"/>
    <cellStyle name="Normal 92 5 3 3" xfId="10169" xr:uid="{00000000-0005-0000-0000-00006E810000}"/>
    <cellStyle name="Normal 92 5 3 3 2" xfId="19343" xr:uid="{00000000-0005-0000-0000-00006F810000}"/>
    <cellStyle name="Normal 92 5 3 3 2 2" xfId="35917" xr:uid="{00000000-0005-0000-0000-000070810000}"/>
    <cellStyle name="Normal 92 5 3 3 3" xfId="27870" xr:uid="{00000000-0005-0000-0000-000071810000}"/>
    <cellStyle name="Normal 92 5 3 4" xfId="15602" xr:uid="{00000000-0005-0000-0000-000072810000}"/>
    <cellStyle name="Normal 92 5 3 4 2" xfId="32158" xr:uid="{00000000-0005-0000-0000-000073810000}"/>
    <cellStyle name="Normal 92 5 3 5" xfId="24115" xr:uid="{00000000-0005-0000-0000-000074810000}"/>
    <cellStyle name="Normal 92 5 4" xfId="6340" xr:uid="{00000000-0005-0000-0000-000075810000}"/>
    <cellStyle name="Normal 92 5 4 2" xfId="10170" xr:uid="{00000000-0005-0000-0000-000076810000}"/>
    <cellStyle name="Normal 92 5 4 2 2" xfId="19344" xr:uid="{00000000-0005-0000-0000-000077810000}"/>
    <cellStyle name="Normal 92 5 4 2 2 2" xfId="35918" xr:uid="{00000000-0005-0000-0000-000078810000}"/>
    <cellStyle name="Normal 92 5 4 2 3" xfId="27871" xr:uid="{00000000-0005-0000-0000-000079810000}"/>
    <cellStyle name="Normal 92 5 4 3" xfId="15604" xr:uid="{00000000-0005-0000-0000-00007A810000}"/>
    <cellStyle name="Normal 92 5 4 3 2" xfId="32160" xr:uid="{00000000-0005-0000-0000-00007B810000}"/>
    <cellStyle name="Normal 92 5 4 4" xfId="24117" xr:uid="{00000000-0005-0000-0000-00007C810000}"/>
    <cellStyle name="Normal 92 5 5" xfId="10171" xr:uid="{00000000-0005-0000-0000-00007D810000}"/>
    <cellStyle name="Normal 92 5 5 2" xfId="19345" xr:uid="{00000000-0005-0000-0000-00007E810000}"/>
    <cellStyle name="Normal 92 5 5 2 2" xfId="35919" xr:uid="{00000000-0005-0000-0000-00007F810000}"/>
    <cellStyle name="Normal 92 5 5 3" xfId="27872" xr:uid="{00000000-0005-0000-0000-000080810000}"/>
    <cellStyle name="Normal 92 5 6" xfId="15597" xr:uid="{00000000-0005-0000-0000-000081810000}"/>
    <cellStyle name="Normal 92 5 6 2" xfId="32153" xr:uid="{00000000-0005-0000-0000-000082810000}"/>
    <cellStyle name="Normal 92 5 7" xfId="24110" xr:uid="{00000000-0005-0000-0000-000083810000}"/>
    <cellStyle name="Normal 92 6" xfId="6341" xr:uid="{00000000-0005-0000-0000-000084810000}"/>
    <cellStyle name="Normal 92 6 2" xfId="6342" xr:uid="{00000000-0005-0000-0000-000085810000}"/>
    <cellStyle name="Normal 92 6 2 2" xfId="6343" xr:uid="{00000000-0005-0000-0000-000086810000}"/>
    <cellStyle name="Normal 92 6 2 2 2" xfId="10172" xr:uid="{00000000-0005-0000-0000-000087810000}"/>
    <cellStyle name="Normal 92 6 2 2 2 2" xfId="19346" xr:uid="{00000000-0005-0000-0000-000088810000}"/>
    <cellStyle name="Normal 92 6 2 2 2 2 2" xfId="35920" xr:uid="{00000000-0005-0000-0000-000089810000}"/>
    <cellStyle name="Normal 92 6 2 2 2 3" xfId="27873" xr:uid="{00000000-0005-0000-0000-00008A810000}"/>
    <cellStyle name="Normal 92 6 2 2 3" xfId="15607" xr:uid="{00000000-0005-0000-0000-00008B810000}"/>
    <cellStyle name="Normal 92 6 2 2 3 2" xfId="32163" xr:uid="{00000000-0005-0000-0000-00008C810000}"/>
    <cellStyle name="Normal 92 6 2 2 4" xfId="24120" xr:uid="{00000000-0005-0000-0000-00008D810000}"/>
    <cellStyle name="Normal 92 6 2 3" xfId="10173" xr:uid="{00000000-0005-0000-0000-00008E810000}"/>
    <cellStyle name="Normal 92 6 2 3 2" xfId="19347" xr:uid="{00000000-0005-0000-0000-00008F810000}"/>
    <cellStyle name="Normal 92 6 2 3 2 2" xfId="35921" xr:uid="{00000000-0005-0000-0000-000090810000}"/>
    <cellStyle name="Normal 92 6 2 3 3" xfId="27874" xr:uid="{00000000-0005-0000-0000-000091810000}"/>
    <cellStyle name="Normal 92 6 2 4" xfId="15606" xr:uid="{00000000-0005-0000-0000-000092810000}"/>
    <cellStyle name="Normal 92 6 2 4 2" xfId="32162" xr:uid="{00000000-0005-0000-0000-000093810000}"/>
    <cellStyle name="Normal 92 6 2 5" xfId="24119" xr:uid="{00000000-0005-0000-0000-000094810000}"/>
    <cellStyle name="Normal 92 6 3" xfId="6344" xr:uid="{00000000-0005-0000-0000-000095810000}"/>
    <cellStyle name="Normal 92 6 3 2" xfId="10174" xr:uid="{00000000-0005-0000-0000-000096810000}"/>
    <cellStyle name="Normal 92 6 3 2 2" xfId="19348" xr:uid="{00000000-0005-0000-0000-000097810000}"/>
    <cellStyle name="Normal 92 6 3 2 2 2" xfId="35922" xr:uid="{00000000-0005-0000-0000-000098810000}"/>
    <cellStyle name="Normal 92 6 3 2 3" xfId="27875" xr:uid="{00000000-0005-0000-0000-000099810000}"/>
    <cellStyle name="Normal 92 6 3 3" xfId="15608" xr:uid="{00000000-0005-0000-0000-00009A810000}"/>
    <cellStyle name="Normal 92 6 3 3 2" xfId="32164" xr:uid="{00000000-0005-0000-0000-00009B810000}"/>
    <cellStyle name="Normal 92 6 3 4" xfId="24121" xr:uid="{00000000-0005-0000-0000-00009C810000}"/>
    <cellStyle name="Normal 92 6 4" xfId="10175" xr:uid="{00000000-0005-0000-0000-00009D810000}"/>
    <cellStyle name="Normal 92 6 4 2" xfId="19349" xr:uid="{00000000-0005-0000-0000-00009E810000}"/>
    <cellStyle name="Normal 92 6 4 2 2" xfId="35923" xr:uid="{00000000-0005-0000-0000-00009F810000}"/>
    <cellStyle name="Normal 92 6 4 3" xfId="27876" xr:uid="{00000000-0005-0000-0000-0000A0810000}"/>
    <cellStyle name="Normal 92 6 5" xfId="15605" xr:uid="{00000000-0005-0000-0000-0000A1810000}"/>
    <cellStyle name="Normal 92 6 5 2" xfId="32161" xr:uid="{00000000-0005-0000-0000-0000A2810000}"/>
    <cellStyle name="Normal 92 6 6" xfId="24118" xr:uid="{00000000-0005-0000-0000-0000A3810000}"/>
    <cellStyle name="Normal 92 7" xfId="6345" xr:uid="{00000000-0005-0000-0000-0000A4810000}"/>
    <cellStyle name="Normal 92 7 2" xfId="6346" xr:uid="{00000000-0005-0000-0000-0000A5810000}"/>
    <cellStyle name="Normal 92 7 2 2" xfId="10176" xr:uid="{00000000-0005-0000-0000-0000A6810000}"/>
    <cellStyle name="Normal 92 7 2 2 2" xfId="19350" xr:uid="{00000000-0005-0000-0000-0000A7810000}"/>
    <cellStyle name="Normal 92 7 2 2 2 2" xfId="35924" xr:uid="{00000000-0005-0000-0000-0000A8810000}"/>
    <cellStyle name="Normal 92 7 2 2 3" xfId="27877" xr:uid="{00000000-0005-0000-0000-0000A9810000}"/>
    <cellStyle name="Normal 92 7 2 3" xfId="15610" xr:uid="{00000000-0005-0000-0000-0000AA810000}"/>
    <cellStyle name="Normal 92 7 2 3 2" xfId="32166" xr:uid="{00000000-0005-0000-0000-0000AB810000}"/>
    <cellStyle name="Normal 92 7 2 4" xfId="24123" xr:uid="{00000000-0005-0000-0000-0000AC810000}"/>
    <cellStyle name="Normal 92 7 3" xfId="10177" xr:uid="{00000000-0005-0000-0000-0000AD810000}"/>
    <cellStyle name="Normal 92 7 3 2" xfId="19351" xr:uid="{00000000-0005-0000-0000-0000AE810000}"/>
    <cellStyle name="Normal 92 7 3 2 2" xfId="35925" xr:uid="{00000000-0005-0000-0000-0000AF810000}"/>
    <cellStyle name="Normal 92 7 3 3" xfId="27878" xr:uid="{00000000-0005-0000-0000-0000B0810000}"/>
    <cellStyle name="Normal 92 7 4" xfId="15609" xr:uid="{00000000-0005-0000-0000-0000B1810000}"/>
    <cellStyle name="Normal 92 7 4 2" xfId="32165" xr:uid="{00000000-0005-0000-0000-0000B2810000}"/>
    <cellStyle name="Normal 92 7 5" xfId="24122" xr:uid="{00000000-0005-0000-0000-0000B3810000}"/>
    <cellStyle name="Normal 92 8" xfId="6347" xr:uid="{00000000-0005-0000-0000-0000B4810000}"/>
    <cellStyle name="Normal 92 8 2" xfId="10178" xr:uid="{00000000-0005-0000-0000-0000B5810000}"/>
    <cellStyle name="Normal 92 8 2 2" xfId="19352" xr:uid="{00000000-0005-0000-0000-0000B6810000}"/>
    <cellStyle name="Normal 92 8 2 2 2" xfId="35926" xr:uid="{00000000-0005-0000-0000-0000B7810000}"/>
    <cellStyle name="Normal 92 8 2 3" xfId="27879" xr:uid="{00000000-0005-0000-0000-0000B8810000}"/>
    <cellStyle name="Normal 92 8 3" xfId="15611" xr:uid="{00000000-0005-0000-0000-0000B9810000}"/>
    <cellStyle name="Normal 92 8 3 2" xfId="32167" xr:uid="{00000000-0005-0000-0000-0000BA810000}"/>
    <cellStyle name="Normal 92 8 4" xfId="24124" xr:uid="{00000000-0005-0000-0000-0000BB810000}"/>
    <cellStyle name="Normal 92 9" xfId="10179" xr:uid="{00000000-0005-0000-0000-0000BC810000}"/>
    <cellStyle name="Normal 92 9 2" xfId="19353" xr:uid="{00000000-0005-0000-0000-0000BD810000}"/>
    <cellStyle name="Normal 92 9 2 2" xfId="35927" xr:uid="{00000000-0005-0000-0000-0000BE810000}"/>
    <cellStyle name="Normal 92 9 3" xfId="27880" xr:uid="{00000000-0005-0000-0000-0000BF810000}"/>
    <cellStyle name="Normal 93" xfId="6348" xr:uid="{00000000-0005-0000-0000-0000C0810000}"/>
    <cellStyle name="Normal 93 10" xfId="15612" xr:uid="{00000000-0005-0000-0000-0000C1810000}"/>
    <cellStyle name="Normal 93 10 2" xfId="32168" xr:uid="{00000000-0005-0000-0000-0000C2810000}"/>
    <cellStyle name="Normal 93 11" xfId="24125" xr:uid="{00000000-0005-0000-0000-0000C3810000}"/>
    <cellStyle name="Normal 93 2" xfId="6349" xr:uid="{00000000-0005-0000-0000-0000C4810000}"/>
    <cellStyle name="Normal 93 2 2" xfId="6350" xr:uid="{00000000-0005-0000-0000-0000C5810000}"/>
    <cellStyle name="Normal 93 2 3" xfId="15613" xr:uid="{00000000-0005-0000-0000-0000C6810000}"/>
    <cellStyle name="Normal 93 2 3 2" xfId="32169" xr:uid="{00000000-0005-0000-0000-0000C7810000}"/>
    <cellStyle name="Normal 93 2 4" xfId="24126" xr:uid="{00000000-0005-0000-0000-0000C8810000}"/>
    <cellStyle name="Normal 93 3" xfId="6351" xr:uid="{00000000-0005-0000-0000-0000C9810000}"/>
    <cellStyle name="Normal 93 3 2" xfId="6352" xr:uid="{00000000-0005-0000-0000-0000CA810000}"/>
    <cellStyle name="Normal 93 3 2 2" xfId="6353" xr:uid="{00000000-0005-0000-0000-0000CB810000}"/>
    <cellStyle name="Normal 93 3 2 2 2" xfId="6354" xr:uid="{00000000-0005-0000-0000-0000CC810000}"/>
    <cellStyle name="Normal 93 3 2 2 2 2" xfId="10180" xr:uid="{00000000-0005-0000-0000-0000CD810000}"/>
    <cellStyle name="Normal 93 3 2 2 2 2 2" xfId="19354" xr:uid="{00000000-0005-0000-0000-0000CE810000}"/>
    <cellStyle name="Normal 93 3 2 2 2 2 2 2" xfId="35928" xr:uid="{00000000-0005-0000-0000-0000CF810000}"/>
    <cellStyle name="Normal 93 3 2 2 2 2 3" xfId="27881" xr:uid="{00000000-0005-0000-0000-0000D0810000}"/>
    <cellStyle name="Normal 93 3 2 2 2 3" xfId="15616" xr:uid="{00000000-0005-0000-0000-0000D1810000}"/>
    <cellStyle name="Normal 93 3 2 2 2 3 2" xfId="32172" xr:uid="{00000000-0005-0000-0000-0000D2810000}"/>
    <cellStyle name="Normal 93 3 2 2 2 4" xfId="24129" xr:uid="{00000000-0005-0000-0000-0000D3810000}"/>
    <cellStyle name="Normal 93 3 2 2 3" xfId="10181" xr:uid="{00000000-0005-0000-0000-0000D4810000}"/>
    <cellStyle name="Normal 93 3 2 2 3 2" xfId="19355" xr:uid="{00000000-0005-0000-0000-0000D5810000}"/>
    <cellStyle name="Normal 93 3 2 2 3 2 2" xfId="35929" xr:uid="{00000000-0005-0000-0000-0000D6810000}"/>
    <cellStyle name="Normal 93 3 2 2 3 3" xfId="27882" xr:uid="{00000000-0005-0000-0000-0000D7810000}"/>
    <cellStyle name="Normal 93 3 2 2 4" xfId="15615" xr:uid="{00000000-0005-0000-0000-0000D8810000}"/>
    <cellStyle name="Normal 93 3 2 2 4 2" xfId="32171" xr:uid="{00000000-0005-0000-0000-0000D9810000}"/>
    <cellStyle name="Normal 93 3 2 2 5" xfId="24128" xr:uid="{00000000-0005-0000-0000-0000DA810000}"/>
    <cellStyle name="Normal 93 3 2 3" xfId="6355" xr:uid="{00000000-0005-0000-0000-0000DB810000}"/>
    <cellStyle name="Normal 93 3 2 3 2" xfId="10182" xr:uid="{00000000-0005-0000-0000-0000DC810000}"/>
    <cellStyle name="Normal 93 3 2 3 2 2" xfId="19356" xr:uid="{00000000-0005-0000-0000-0000DD810000}"/>
    <cellStyle name="Normal 93 3 2 3 2 2 2" xfId="35930" xr:uid="{00000000-0005-0000-0000-0000DE810000}"/>
    <cellStyle name="Normal 93 3 2 3 2 3" xfId="27883" xr:uid="{00000000-0005-0000-0000-0000DF810000}"/>
    <cellStyle name="Normal 93 3 2 3 3" xfId="15617" xr:uid="{00000000-0005-0000-0000-0000E0810000}"/>
    <cellStyle name="Normal 93 3 2 3 3 2" xfId="32173" xr:uid="{00000000-0005-0000-0000-0000E1810000}"/>
    <cellStyle name="Normal 93 3 2 3 4" xfId="24130" xr:uid="{00000000-0005-0000-0000-0000E2810000}"/>
    <cellStyle name="Normal 93 3 2 4" xfId="10183" xr:uid="{00000000-0005-0000-0000-0000E3810000}"/>
    <cellStyle name="Normal 93 3 2 4 2" xfId="19357" xr:uid="{00000000-0005-0000-0000-0000E4810000}"/>
    <cellStyle name="Normal 93 3 2 4 2 2" xfId="35931" xr:uid="{00000000-0005-0000-0000-0000E5810000}"/>
    <cellStyle name="Normal 93 3 2 4 3" xfId="27884" xr:uid="{00000000-0005-0000-0000-0000E6810000}"/>
    <cellStyle name="Normal 93 3 2 5" xfId="15614" xr:uid="{00000000-0005-0000-0000-0000E7810000}"/>
    <cellStyle name="Normal 93 3 2 5 2" xfId="32170" xr:uid="{00000000-0005-0000-0000-0000E8810000}"/>
    <cellStyle name="Normal 93 3 2 6" xfId="24127" xr:uid="{00000000-0005-0000-0000-0000E9810000}"/>
    <cellStyle name="Normal 93 3 3" xfId="6356" xr:uid="{00000000-0005-0000-0000-0000EA810000}"/>
    <cellStyle name="Normal 93 3 3 2" xfId="6357" xr:uid="{00000000-0005-0000-0000-0000EB810000}"/>
    <cellStyle name="Normal 93 3 3 2 2" xfId="10184" xr:uid="{00000000-0005-0000-0000-0000EC810000}"/>
    <cellStyle name="Normal 93 3 3 2 2 2" xfId="19358" xr:uid="{00000000-0005-0000-0000-0000ED810000}"/>
    <cellStyle name="Normal 93 3 3 2 2 2 2" xfId="35932" xr:uid="{00000000-0005-0000-0000-0000EE810000}"/>
    <cellStyle name="Normal 93 3 3 2 2 3" xfId="27885" xr:uid="{00000000-0005-0000-0000-0000EF810000}"/>
    <cellStyle name="Normal 93 3 3 2 3" xfId="15619" xr:uid="{00000000-0005-0000-0000-0000F0810000}"/>
    <cellStyle name="Normal 93 3 3 2 3 2" xfId="32175" xr:uid="{00000000-0005-0000-0000-0000F1810000}"/>
    <cellStyle name="Normal 93 3 3 2 4" xfId="24132" xr:uid="{00000000-0005-0000-0000-0000F2810000}"/>
    <cellStyle name="Normal 93 3 3 3" xfId="10185" xr:uid="{00000000-0005-0000-0000-0000F3810000}"/>
    <cellStyle name="Normal 93 3 3 3 2" xfId="19359" xr:uid="{00000000-0005-0000-0000-0000F4810000}"/>
    <cellStyle name="Normal 93 3 3 3 2 2" xfId="35933" xr:uid="{00000000-0005-0000-0000-0000F5810000}"/>
    <cellStyle name="Normal 93 3 3 3 3" xfId="27886" xr:uid="{00000000-0005-0000-0000-0000F6810000}"/>
    <cellStyle name="Normal 93 3 3 4" xfId="15618" xr:uid="{00000000-0005-0000-0000-0000F7810000}"/>
    <cellStyle name="Normal 93 3 3 4 2" xfId="32174" xr:uid="{00000000-0005-0000-0000-0000F8810000}"/>
    <cellStyle name="Normal 93 3 3 5" xfId="24131" xr:uid="{00000000-0005-0000-0000-0000F9810000}"/>
    <cellStyle name="Normal 93 3 4" xfId="6358" xr:uid="{00000000-0005-0000-0000-0000FA810000}"/>
    <cellStyle name="Normal 93 3 4 2" xfId="10186" xr:uid="{00000000-0005-0000-0000-0000FB810000}"/>
    <cellStyle name="Normal 93 3 4 2 2" xfId="19360" xr:uid="{00000000-0005-0000-0000-0000FC810000}"/>
    <cellStyle name="Normal 93 3 4 2 2 2" xfId="35934" xr:uid="{00000000-0005-0000-0000-0000FD810000}"/>
    <cellStyle name="Normal 93 3 4 2 3" xfId="27887" xr:uid="{00000000-0005-0000-0000-0000FE810000}"/>
    <cellStyle name="Normal 93 3 4 3" xfId="15620" xr:uid="{00000000-0005-0000-0000-0000FF810000}"/>
    <cellStyle name="Normal 93 3 4 3 2" xfId="32176" xr:uid="{00000000-0005-0000-0000-000000820000}"/>
    <cellStyle name="Normal 93 3 4 4" xfId="24133" xr:uid="{00000000-0005-0000-0000-000001820000}"/>
    <cellStyle name="Normal 93 3 5" xfId="6359" xr:uid="{00000000-0005-0000-0000-000002820000}"/>
    <cellStyle name="Normal 93 3 5 2" xfId="15621" xr:uid="{00000000-0005-0000-0000-000003820000}"/>
    <cellStyle name="Normal 93 3 5 2 2" xfId="32177" xr:uid="{00000000-0005-0000-0000-000004820000}"/>
    <cellStyle name="Normal 93 3 5 3" xfId="24134" xr:uid="{00000000-0005-0000-0000-000005820000}"/>
    <cellStyle name="Normal 93 4" xfId="6360" xr:uid="{00000000-0005-0000-0000-000006820000}"/>
    <cellStyle name="Normal 93 4 2" xfId="6361" xr:uid="{00000000-0005-0000-0000-000007820000}"/>
    <cellStyle name="Normal 93 4 2 2" xfId="6362" xr:uid="{00000000-0005-0000-0000-000008820000}"/>
    <cellStyle name="Normal 93 4 2 2 2" xfId="6363" xr:uid="{00000000-0005-0000-0000-000009820000}"/>
    <cellStyle name="Normal 93 4 2 2 2 2" xfId="10187" xr:uid="{00000000-0005-0000-0000-00000A820000}"/>
    <cellStyle name="Normal 93 4 2 2 2 2 2" xfId="19361" xr:uid="{00000000-0005-0000-0000-00000B820000}"/>
    <cellStyle name="Normal 93 4 2 2 2 2 2 2" xfId="35935" xr:uid="{00000000-0005-0000-0000-00000C820000}"/>
    <cellStyle name="Normal 93 4 2 2 2 2 3" xfId="27888" xr:uid="{00000000-0005-0000-0000-00000D820000}"/>
    <cellStyle name="Normal 93 4 2 2 2 3" xfId="15625" xr:uid="{00000000-0005-0000-0000-00000E820000}"/>
    <cellStyle name="Normal 93 4 2 2 2 3 2" xfId="32181" xr:uid="{00000000-0005-0000-0000-00000F820000}"/>
    <cellStyle name="Normal 93 4 2 2 2 4" xfId="24138" xr:uid="{00000000-0005-0000-0000-000010820000}"/>
    <cellStyle name="Normal 93 4 2 2 3" xfId="10188" xr:uid="{00000000-0005-0000-0000-000011820000}"/>
    <cellStyle name="Normal 93 4 2 2 3 2" xfId="19362" xr:uid="{00000000-0005-0000-0000-000012820000}"/>
    <cellStyle name="Normal 93 4 2 2 3 2 2" xfId="35936" xr:uid="{00000000-0005-0000-0000-000013820000}"/>
    <cellStyle name="Normal 93 4 2 2 3 3" xfId="27889" xr:uid="{00000000-0005-0000-0000-000014820000}"/>
    <cellStyle name="Normal 93 4 2 2 4" xfId="15624" xr:uid="{00000000-0005-0000-0000-000015820000}"/>
    <cellStyle name="Normal 93 4 2 2 4 2" xfId="32180" xr:uid="{00000000-0005-0000-0000-000016820000}"/>
    <cellStyle name="Normal 93 4 2 2 5" xfId="24137" xr:uid="{00000000-0005-0000-0000-000017820000}"/>
    <cellStyle name="Normal 93 4 2 3" xfId="6364" xr:uid="{00000000-0005-0000-0000-000018820000}"/>
    <cellStyle name="Normal 93 4 2 3 2" xfId="10189" xr:uid="{00000000-0005-0000-0000-000019820000}"/>
    <cellStyle name="Normal 93 4 2 3 2 2" xfId="19363" xr:uid="{00000000-0005-0000-0000-00001A820000}"/>
    <cellStyle name="Normal 93 4 2 3 2 2 2" xfId="35937" xr:uid="{00000000-0005-0000-0000-00001B820000}"/>
    <cellStyle name="Normal 93 4 2 3 2 3" xfId="27890" xr:uid="{00000000-0005-0000-0000-00001C820000}"/>
    <cellStyle name="Normal 93 4 2 3 3" xfId="15626" xr:uid="{00000000-0005-0000-0000-00001D820000}"/>
    <cellStyle name="Normal 93 4 2 3 3 2" xfId="32182" xr:uid="{00000000-0005-0000-0000-00001E820000}"/>
    <cellStyle name="Normal 93 4 2 3 4" xfId="24139" xr:uid="{00000000-0005-0000-0000-00001F820000}"/>
    <cellStyle name="Normal 93 4 2 4" xfId="10190" xr:uid="{00000000-0005-0000-0000-000020820000}"/>
    <cellStyle name="Normal 93 4 2 4 2" xfId="19364" xr:uid="{00000000-0005-0000-0000-000021820000}"/>
    <cellStyle name="Normal 93 4 2 4 2 2" xfId="35938" xr:uid="{00000000-0005-0000-0000-000022820000}"/>
    <cellStyle name="Normal 93 4 2 4 3" xfId="27891" xr:uid="{00000000-0005-0000-0000-000023820000}"/>
    <cellStyle name="Normal 93 4 2 5" xfId="15623" xr:uid="{00000000-0005-0000-0000-000024820000}"/>
    <cellStyle name="Normal 93 4 2 5 2" xfId="32179" xr:uid="{00000000-0005-0000-0000-000025820000}"/>
    <cellStyle name="Normal 93 4 2 6" xfId="24136" xr:uid="{00000000-0005-0000-0000-000026820000}"/>
    <cellStyle name="Normal 93 4 3" xfId="6365" xr:uid="{00000000-0005-0000-0000-000027820000}"/>
    <cellStyle name="Normal 93 4 3 2" xfId="6366" xr:uid="{00000000-0005-0000-0000-000028820000}"/>
    <cellStyle name="Normal 93 4 3 2 2" xfId="10191" xr:uid="{00000000-0005-0000-0000-000029820000}"/>
    <cellStyle name="Normal 93 4 3 2 2 2" xfId="19365" xr:uid="{00000000-0005-0000-0000-00002A820000}"/>
    <cellStyle name="Normal 93 4 3 2 2 2 2" xfId="35939" xr:uid="{00000000-0005-0000-0000-00002B820000}"/>
    <cellStyle name="Normal 93 4 3 2 2 3" xfId="27892" xr:uid="{00000000-0005-0000-0000-00002C820000}"/>
    <cellStyle name="Normal 93 4 3 2 3" xfId="15628" xr:uid="{00000000-0005-0000-0000-00002D820000}"/>
    <cellStyle name="Normal 93 4 3 2 3 2" xfId="32184" xr:uid="{00000000-0005-0000-0000-00002E820000}"/>
    <cellStyle name="Normal 93 4 3 2 4" xfId="24141" xr:uid="{00000000-0005-0000-0000-00002F820000}"/>
    <cellStyle name="Normal 93 4 3 3" xfId="10192" xr:uid="{00000000-0005-0000-0000-000030820000}"/>
    <cellStyle name="Normal 93 4 3 3 2" xfId="19366" xr:uid="{00000000-0005-0000-0000-000031820000}"/>
    <cellStyle name="Normal 93 4 3 3 2 2" xfId="35940" xr:uid="{00000000-0005-0000-0000-000032820000}"/>
    <cellStyle name="Normal 93 4 3 3 3" xfId="27893" xr:uid="{00000000-0005-0000-0000-000033820000}"/>
    <cellStyle name="Normal 93 4 3 4" xfId="15627" xr:uid="{00000000-0005-0000-0000-000034820000}"/>
    <cellStyle name="Normal 93 4 3 4 2" xfId="32183" xr:uid="{00000000-0005-0000-0000-000035820000}"/>
    <cellStyle name="Normal 93 4 3 5" xfId="24140" xr:uid="{00000000-0005-0000-0000-000036820000}"/>
    <cellStyle name="Normal 93 4 4" xfId="6367" xr:uid="{00000000-0005-0000-0000-000037820000}"/>
    <cellStyle name="Normal 93 4 4 2" xfId="10193" xr:uid="{00000000-0005-0000-0000-000038820000}"/>
    <cellStyle name="Normal 93 4 4 2 2" xfId="19367" xr:uid="{00000000-0005-0000-0000-000039820000}"/>
    <cellStyle name="Normal 93 4 4 2 2 2" xfId="35941" xr:uid="{00000000-0005-0000-0000-00003A820000}"/>
    <cellStyle name="Normal 93 4 4 2 3" xfId="27894" xr:uid="{00000000-0005-0000-0000-00003B820000}"/>
    <cellStyle name="Normal 93 4 4 3" xfId="15629" xr:uid="{00000000-0005-0000-0000-00003C820000}"/>
    <cellStyle name="Normal 93 4 4 3 2" xfId="32185" xr:uid="{00000000-0005-0000-0000-00003D820000}"/>
    <cellStyle name="Normal 93 4 4 4" xfId="24142" xr:uid="{00000000-0005-0000-0000-00003E820000}"/>
    <cellStyle name="Normal 93 4 5" xfId="10194" xr:uid="{00000000-0005-0000-0000-00003F820000}"/>
    <cellStyle name="Normal 93 4 5 2" xfId="19368" xr:uid="{00000000-0005-0000-0000-000040820000}"/>
    <cellStyle name="Normal 93 4 5 2 2" xfId="35942" xr:uid="{00000000-0005-0000-0000-000041820000}"/>
    <cellStyle name="Normal 93 4 5 3" xfId="27895" xr:uid="{00000000-0005-0000-0000-000042820000}"/>
    <cellStyle name="Normal 93 4 6" xfId="15622" xr:uid="{00000000-0005-0000-0000-000043820000}"/>
    <cellStyle name="Normal 93 4 6 2" xfId="32178" xr:uid="{00000000-0005-0000-0000-000044820000}"/>
    <cellStyle name="Normal 93 4 7" xfId="24135" xr:uid="{00000000-0005-0000-0000-000045820000}"/>
    <cellStyle name="Normal 93 5" xfId="6368" xr:uid="{00000000-0005-0000-0000-000046820000}"/>
    <cellStyle name="Normal 93 5 2" xfId="6369" xr:uid="{00000000-0005-0000-0000-000047820000}"/>
    <cellStyle name="Normal 93 5 2 2" xfId="6370" xr:uid="{00000000-0005-0000-0000-000048820000}"/>
    <cellStyle name="Normal 93 5 2 2 2" xfId="6371" xr:uid="{00000000-0005-0000-0000-000049820000}"/>
    <cellStyle name="Normal 93 5 2 2 2 2" xfId="10195" xr:uid="{00000000-0005-0000-0000-00004A820000}"/>
    <cellStyle name="Normal 93 5 2 2 2 2 2" xfId="19369" xr:uid="{00000000-0005-0000-0000-00004B820000}"/>
    <cellStyle name="Normal 93 5 2 2 2 2 2 2" xfId="35943" xr:uid="{00000000-0005-0000-0000-00004C820000}"/>
    <cellStyle name="Normal 93 5 2 2 2 2 3" xfId="27896" xr:uid="{00000000-0005-0000-0000-00004D820000}"/>
    <cellStyle name="Normal 93 5 2 2 2 3" xfId="15633" xr:uid="{00000000-0005-0000-0000-00004E820000}"/>
    <cellStyle name="Normal 93 5 2 2 2 3 2" xfId="32189" xr:uid="{00000000-0005-0000-0000-00004F820000}"/>
    <cellStyle name="Normal 93 5 2 2 2 4" xfId="24146" xr:uid="{00000000-0005-0000-0000-000050820000}"/>
    <cellStyle name="Normal 93 5 2 2 3" xfId="10196" xr:uid="{00000000-0005-0000-0000-000051820000}"/>
    <cellStyle name="Normal 93 5 2 2 3 2" xfId="19370" xr:uid="{00000000-0005-0000-0000-000052820000}"/>
    <cellStyle name="Normal 93 5 2 2 3 2 2" xfId="35944" xr:uid="{00000000-0005-0000-0000-000053820000}"/>
    <cellStyle name="Normal 93 5 2 2 3 3" xfId="27897" xr:uid="{00000000-0005-0000-0000-000054820000}"/>
    <cellStyle name="Normal 93 5 2 2 4" xfId="15632" xr:uid="{00000000-0005-0000-0000-000055820000}"/>
    <cellStyle name="Normal 93 5 2 2 4 2" xfId="32188" xr:uid="{00000000-0005-0000-0000-000056820000}"/>
    <cellStyle name="Normal 93 5 2 2 5" xfId="24145" xr:uid="{00000000-0005-0000-0000-000057820000}"/>
    <cellStyle name="Normal 93 5 2 3" xfId="6372" xr:uid="{00000000-0005-0000-0000-000058820000}"/>
    <cellStyle name="Normal 93 5 2 3 2" xfId="10197" xr:uid="{00000000-0005-0000-0000-000059820000}"/>
    <cellStyle name="Normal 93 5 2 3 2 2" xfId="19371" xr:uid="{00000000-0005-0000-0000-00005A820000}"/>
    <cellStyle name="Normal 93 5 2 3 2 2 2" xfId="35945" xr:uid="{00000000-0005-0000-0000-00005B820000}"/>
    <cellStyle name="Normal 93 5 2 3 2 3" xfId="27898" xr:uid="{00000000-0005-0000-0000-00005C820000}"/>
    <cellStyle name="Normal 93 5 2 3 3" xfId="15634" xr:uid="{00000000-0005-0000-0000-00005D820000}"/>
    <cellStyle name="Normal 93 5 2 3 3 2" xfId="32190" xr:uid="{00000000-0005-0000-0000-00005E820000}"/>
    <cellStyle name="Normal 93 5 2 3 4" xfId="24147" xr:uid="{00000000-0005-0000-0000-00005F820000}"/>
    <cellStyle name="Normal 93 5 2 4" xfId="10198" xr:uid="{00000000-0005-0000-0000-000060820000}"/>
    <cellStyle name="Normal 93 5 2 4 2" xfId="19372" xr:uid="{00000000-0005-0000-0000-000061820000}"/>
    <cellStyle name="Normal 93 5 2 4 2 2" xfId="35946" xr:uid="{00000000-0005-0000-0000-000062820000}"/>
    <cellStyle name="Normal 93 5 2 4 3" xfId="27899" xr:uid="{00000000-0005-0000-0000-000063820000}"/>
    <cellStyle name="Normal 93 5 2 5" xfId="15631" xr:uid="{00000000-0005-0000-0000-000064820000}"/>
    <cellStyle name="Normal 93 5 2 5 2" xfId="32187" xr:uid="{00000000-0005-0000-0000-000065820000}"/>
    <cellStyle name="Normal 93 5 2 6" xfId="24144" xr:uid="{00000000-0005-0000-0000-000066820000}"/>
    <cellStyle name="Normal 93 5 3" xfId="6373" xr:uid="{00000000-0005-0000-0000-000067820000}"/>
    <cellStyle name="Normal 93 5 3 2" xfId="6374" xr:uid="{00000000-0005-0000-0000-000068820000}"/>
    <cellStyle name="Normal 93 5 3 2 2" xfId="10199" xr:uid="{00000000-0005-0000-0000-000069820000}"/>
    <cellStyle name="Normal 93 5 3 2 2 2" xfId="19373" xr:uid="{00000000-0005-0000-0000-00006A820000}"/>
    <cellStyle name="Normal 93 5 3 2 2 2 2" xfId="35947" xr:uid="{00000000-0005-0000-0000-00006B820000}"/>
    <cellStyle name="Normal 93 5 3 2 2 3" xfId="27900" xr:uid="{00000000-0005-0000-0000-00006C820000}"/>
    <cellStyle name="Normal 93 5 3 2 3" xfId="15636" xr:uid="{00000000-0005-0000-0000-00006D820000}"/>
    <cellStyle name="Normal 93 5 3 2 3 2" xfId="32192" xr:uid="{00000000-0005-0000-0000-00006E820000}"/>
    <cellStyle name="Normal 93 5 3 2 4" xfId="24149" xr:uid="{00000000-0005-0000-0000-00006F820000}"/>
    <cellStyle name="Normal 93 5 3 3" xfId="10200" xr:uid="{00000000-0005-0000-0000-000070820000}"/>
    <cellStyle name="Normal 93 5 3 3 2" xfId="19374" xr:uid="{00000000-0005-0000-0000-000071820000}"/>
    <cellStyle name="Normal 93 5 3 3 2 2" xfId="35948" xr:uid="{00000000-0005-0000-0000-000072820000}"/>
    <cellStyle name="Normal 93 5 3 3 3" xfId="27901" xr:uid="{00000000-0005-0000-0000-000073820000}"/>
    <cellStyle name="Normal 93 5 3 4" xfId="15635" xr:uid="{00000000-0005-0000-0000-000074820000}"/>
    <cellStyle name="Normal 93 5 3 4 2" xfId="32191" xr:uid="{00000000-0005-0000-0000-000075820000}"/>
    <cellStyle name="Normal 93 5 3 5" xfId="24148" xr:uid="{00000000-0005-0000-0000-000076820000}"/>
    <cellStyle name="Normal 93 5 4" xfId="6375" xr:uid="{00000000-0005-0000-0000-000077820000}"/>
    <cellStyle name="Normal 93 5 4 2" xfId="10201" xr:uid="{00000000-0005-0000-0000-000078820000}"/>
    <cellStyle name="Normal 93 5 4 2 2" xfId="19375" xr:uid="{00000000-0005-0000-0000-000079820000}"/>
    <cellStyle name="Normal 93 5 4 2 2 2" xfId="35949" xr:uid="{00000000-0005-0000-0000-00007A820000}"/>
    <cellStyle name="Normal 93 5 4 2 3" xfId="27902" xr:uid="{00000000-0005-0000-0000-00007B820000}"/>
    <cellStyle name="Normal 93 5 4 3" xfId="15637" xr:uid="{00000000-0005-0000-0000-00007C820000}"/>
    <cellStyle name="Normal 93 5 4 3 2" xfId="32193" xr:uid="{00000000-0005-0000-0000-00007D820000}"/>
    <cellStyle name="Normal 93 5 4 4" xfId="24150" xr:uid="{00000000-0005-0000-0000-00007E820000}"/>
    <cellStyle name="Normal 93 5 5" xfId="10202" xr:uid="{00000000-0005-0000-0000-00007F820000}"/>
    <cellStyle name="Normal 93 5 5 2" xfId="19376" xr:uid="{00000000-0005-0000-0000-000080820000}"/>
    <cellStyle name="Normal 93 5 5 2 2" xfId="35950" xr:uid="{00000000-0005-0000-0000-000081820000}"/>
    <cellStyle name="Normal 93 5 5 3" xfId="27903" xr:uid="{00000000-0005-0000-0000-000082820000}"/>
    <cellStyle name="Normal 93 5 6" xfId="15630" xr:uid="{00000000-0005-0000-0000-000083820000}"/>
    <cellStyle name="Normal 93 5 6 2" xfId="32186" xr:uid="{00000000-0005-0000-0000-000084820000}"/>
    <cellStyle name="Normal 93 5 7" xfId="24143" xr:uid="{00000000-0005-0000-0000-000085820000}"/>
    <cellStyle name="Normal 93 6" xfId="6376" xr:uid="{00000000-0005-0000-0000-000086820000}"/>
    <cellStyle name="Normal 93 6 2" xfId="6377" xr:uid="{00000000-0005-0000-0000-000087820000}"/>
    <cellStyle name="Normal 93 6 2 2" xfId="6378" xr:uid="{00000000-0005-0000-0000-000088820000}"/>
    <cellStyle name="Normal 93 6 2 2 2" xfId="10203" xr:uid="{00000000-0005-0000-0000-000089820000}"/>
    <cellStyle name="Normal 93 6 2 2 2 2" xfId="19377" xr:uid="{00000000-0005-0000-0000-00008A820000}"/>
    <cellStyle name="Normal 93 6 2 2 2 2 2" xfId="35951" xr:uid="{00000000-0005-0000-0000-00008B820000}"/>
    <cellStyle name="Normal 93 6 2 2 2 3" xfId="27904" xr:uid="{00000000-0005-0000-0000-00008C820000}"/>
    <cellStyle name="Normal 93 6 2 2 3" xfId="15640" xr:uid="{00000000-0005-0000-0000-00008D820000}"/>
    <cellStyle name="Normal 93 6 2 2 3 2" xfId="32196" xr:uid="{00000000-0005-0000-0000-00008E820000}"/>
    <cellStyle name="Normal 93 6 2 2 4" xfId="24153" xr:uid="{00000000-0005-0000-0000-00008F820000}"/>
    <cellStyle name="Normal 93 6 2 3" xfId="10204" xr:uid="{00000000-0005-0000-0000-000090820000}"/>
    <cellStyle name="Normal 93 6 2 3 2" xfId="19378" xr:uid="{00000000-0005-0000-0000-000091820000}"/>
    <cellStyle name="Normal 93 6 2 3 2 2" xfId="35952" xr:uid="{00000000-0005-0000-0000-000092820000}"/>
    <cellStyle name="Normal 93 6 2 3 3" xfId="27905" xr:uid="{00000000-0005-0000-0000-000093820000}"/>
    <cellStyle name="Normal 93 6 2 4" xfId="15639" xr:uid="{00000000-0005-0000-0000-000094820000}"/>
    <cellStyle name="Normal 93 6 2 4 2" xfId="32195" xr:uid="{00000000-0005-0000-0000-000095820000}"/>
    <cellStyle name="Normal 93 6 2 5" xfId="24152" xr:uid="{00000000-0005-0000-0000-000096820000}"/>
    <cellStyle name="Normal 93 6 3" xfId="6379" xr:uid="{00000000-0005-0000-0000-000097820000}"/>
    <cellStyle name="Normal 93 6 3 2" xfId="10205" xr:uid="{00000000-0005-0000-0000-000098820000}"/>
    <cellStyle name="Normal 93 6 3 2 2" xfId="19379" xr:uid="{00000000-0005-0000-0000-000099820000}"/>
    <cellStyle name="Normal 93 6 3 2 2 2" xfId="35953" xr:uid="{00000000-0005-0000-0000-00009A820000}"/>
    <cellStyle name="Normal 93 6 3 2 3" xfId="27906" xr:uid="{00000000-0005-0000-0000-00009B820000}"/>
    <cellStyle name="Normal 93 6 3 3" xfId="15641" xr:uid="{00000000-0005-0000-0000-00009C820000}"/>
    <cellStyle name="Normal 93 6 3 3 2" xfId="32197" xr:uid="{00000000-0005-0000-0000-00009D820000}"/>
    <cellStyle name="Normal 93 6 3 4" xfId="24154" xr:uid="{00000000-0005-0000-0000-00009E820000}"/>
    <cellStyle name="Normal 93 6 4" xfId="10206" xr:uid="{00000000-0005-0000-0000-00009F820000}"/>
    <cellStyle name="Normal 93 6 4 2" xfId="19380" xr:uid="{00000000-0005-0000-0000-0000A0820000}"/>
    <cellStyle name="Normal 93 6 4 2 2" xfId="35954" xr:uid="{00000000-0005-0000-0000-0000A1820000}"/>
    <cellStyle name="Normal 93 6 4 3" xfId="27907" xr:uid="{00000000-0005-0000-0000-0000A2820000}"/>
    <cellStyle name="Normal 93 6 5" xfId="15638" xr:uid="{00000000-0005-0000-0000-0000A3820000}"/>
    <cellStyle name="Normal 93 6 5 2" xfId="32194" xr:uid="{00000000-0005-0000-0000-0000A4820000}"/>
    <cellStyle name="Normal 93 6 6" xfId="24151" xr:uid="{00000000-0005-0000-0000-0000A5820000}"/>
    <cellStyle name="Normal 93 7" xfId="6380" xr:uid="{00000000-0005-0000-0000-0000A6820000}"/>
    <cellStyle name="Normal 93 7 2" xfId="6381" xr:uid="{00000000-0005-0000-0000-0000A7820000}"/>
    <cellStyle name="Normal 93 7 2 2" xfId="10207" xr:uid="{00000000-0005-0000-0000-0000A8820000}"/>
    <cellStyle name="Normal 93 7 2 2 2" xfId="19381" xr:uid="{00000000-0005-0000-0000-0000A9820000}"/>
    <cellStyle name="Normal 93 7 2 2 2 2" xfId="35955" xr:uid="{00000000-0005-0000-0000-0000AA820000}"/>
    <cellStyle name="Normal 93 7 2 2 3" xfId="27908" xr:uid="{00000000-0005-0000-0000-0000AB820000}"/>
    <cellStyle name="Normal 93 7 2 3" xfId="15643" xr:uid="{00000000-0005-0000-0000-0000AC820000}"/>
    <cellStyle name="Normal 93 7 2 3 2" xfId="32199" xr:uid="{00000000-0005-0000-0000-0000AD820000}"/>
    <cellStyle name="Normal 93 7 2 4" xfId="24156" xr:uid="{00000000-0005-0000-0000-0000AE820000}"/>
    <cellStyle name="Normal 93 7 3" xfId="10208" xr:uid="{00000000-0005-0000-0000-0000AF820000}"/>
    <cellStyle name="Normal 93 7 3 2" xfId="19382" xr:uid="{00000000-0005-0000-0000-0000B0820000}"/>
    <cellStyle name="Normal 93 7 3 2 2" xfId="35956" xr:uid="{00000000-0005-0000-0000-0000B1820000}"/>
    <cellStyle name="Normal 93 7 3 3" xfId="27909" xr:uid="{00000000-0005-0000-0000-0000B2820000}"/>
    <cellStyle name="Normal 93 7 4" xfId="15642" xr:uid="{00000000-0005-0000-0000-0000B3820000}"/>
    <cellStyle name="Normal 93 7 4 2" xfId="32198" xr:uid="{00000000-0005-0000-0000-0000B4820000}"/>
    <cellStyle name="Normal 93 7 5" xfId="24155" xr:uid="{00000000-0005-0000-0000-0000B5820000}"/>
    <cellStyle name="Normal 93 8" xfId="6382" xr:uid="{00000000-0005-0000-0000-0000B6820000}"/>
    <cellStyle name="Normal 93 8 2" xfId="10209" xr:uid="{00000000-0005-0000-0000-0000B7820000}"/>
    <cellStyle name="Normal 93 8 2 2" xfId="19383" xr:uid="{00000000-0005-0000-0000-0000B8820000}"/>
    <cellStyle name="Normal 93 8 2 2 2" xfId="35957" xr:uid="{00000000-0005-0000-0000-0000B9820000}"/>
    <cellStyle name="Normal 93 8 2 3" xfId="27910" xr:uid="{00000000-0005-0000-0000-0000BA820000}"/>
    <cellStyle name="Normal 93 8 3" xfId="15644" xr:uid="{00000000-0005-0000-0000-0000BB820000}"/>
    <cellStyle name="Normal 93 8 3 2" xfId="32200" xr:uid="{00000000-0005-0000-0000-0000BC820000}"/>
    <cellStyle name="Normal 93 8 4" xfId="24157" xr:uid="{00000000-0005-0000-0000-0000BD820000}"/>
    <cellStyle name="Normal 93 9" xfId="10210" xr:uid="{00000000-0005-0000-0000-0000BE820000}"/>
    <cellStyle name="Normal 93 9 2" xfId="19384" xr:uid="{00000000-0005-0000-0000-0000BF820000}"/>
    <cellStyle name="Normal 93 9 2 2" xfId="35958" xr:uid="{00000000-0005-0000-0000-0000C0820000}"/>
    <cellStyle name="Normal 93 9 3" xfId="27911" xr:uid="{00000000-0005-0000-0000-0000C1820000}"/>
    <cellStyle name="Normal 94" xfId="6383" xr:uid="{00000000-0005-0000-0000-0000C2820000}"/>
    <cellStyle name="Normal 94 10" xfId="15645" xr:uid="{00000000-0005-0000-0000-0000C3820000}"/>
    <cellStyle name="Normal 94 10 2" xfId="32201" xr:uid="{00000000-0005-0000-0000-0000C4820000}"/>
    <cellStyle name="Normal 94 11" xfId="24158" xr:uid="{00000000-0005-0000-0000-0000C5820000}"/>
    <cellStyle name="Normal 94 2" xfId="6384" xr:uid="{00000000-0005-0000-0000-0000C6820000}"/>
    <cellStyle name="Normal 94 2 2" xfId="6385" xr:uid="{00000000-0005-0000-0000-0000C7820000}"/>
    <cellStyle name="Normal 94 2 3" xfId="15646" xr:uid="{00000000-0005-0000-0000-0000C8820000}"/>
    <cellStyle name="Normal 94 2 3 2" xfId="32202" xr:uid="{00000000-0005-0000-0000-0000C9820000}"/>
    <cellStyle name="Normal 94 2 4" xfId="24159" xr:uid="{00000000-0005-0000-0000-0000CA820000}"/>
    <cellStyle name="Normal 94 3" xfId="6386" xr:uid="{00000000-0005-0000-0000-0000CB820000}"/>
    <cellStyle name="Normal 94 3 2" xfId="6387" xr:uid="{00000000-0005-0000-0000-0000CC820000}"/>
    <cellStyle name="Normal 94 3 2 2" xfId="6388" xr:uid="{00000000-0005-0000-0000-0000CD820000}"/>
    <cellStyle name="Normal 94 3 2 2 2" xfId="6389" xr:uid="{00000000-0005-0000-0000-0000CE820000}"/>
    <cellStyle name="Normal 94 3 2 2 2 2" xfId="10211" xr:uid="{00000000-0005-0000-0000-0000CF820000}"/>
    <cellStyle name="Normal 94 3 2 2 2 2 2" xfId="19385" xr:uid="{00000000-0005-0000-0000-0000D0820000}"/>
    <cellStyle name="Normal 94 3 2 2 2 2 2 2" xfId="35959" xr:uid="{00000000-0005-0000-0000-0000D1820000}"/>
    <cellStyle name="Normal 94 3 2 2 2 2 3" xfId="27912" xr:uid="{00000000-0005-0000-0000-0000D2820000}"/>
    <cellStyle name="Normal 94 3 2 2 2 3" xfId="15649" xr:uid="{00000000-0005-0000-0000-0000D3820000}"/>
    <cellStyle name="Normal 94 3 2 2 2 3 2" xfId="32205" xr:uid="{00000000-0005-0000-0000-0000D4820000}"/>
    <cellStyle name="Normal 94 3 2 2 2 4" xfId="24162" xr:uid="{00000000-0005-0000-0000-0000D5820000}"/>
    <cellStyle name="Normal 94 3 2 2 3" xfId="10212" xr:uid="{00000000-0005-0000-0000-0000D6820000}"/>
    <cellStyle name="Normal 94 3 2 2 3 2" xfId="19386" xr:uid="{00000000-0005-0000-0000-0000D7820000}"/>
    <cellStyle name="Normal 94 3 2 2 3 2 2" xfId="35960" xr:uid="{00000000-0005-0000-0000-0000D8820000}"/>
    <cellStyle name="Normal 94 3 2 2 3 3" xfId="27913" xr:uid="{00000000-0005-0000-0000-0000D9820000}"/>
    <cellStyle name="Normal 94 3 2 2 4" xfId="15648" xr:uid="{00000000-0005-0000-0000-0000DA820000}"/>
    <cellStyle name="Normal 94 3 2 2 4 2" xfId="32204" xr:uid="{00000000-0005-0000-0000-0000DB820000}"/>
    <cellStyle name="Normal 94 3 2 2 5" xfId="24161" xr:uid="{00000000-0005-0000-0000-0000DC820000}"/>
    <cellStyle name="Normal 94 3 2 3" xfId="6390" xr:uid="{00000000-0005-0000-0000-0000DD820000}"/>
    <cellStyle name="Normal 94 3 2 3 2" xfId="10213" xr:uid="{00000000-0005-0000-0000-0000DE820000}"/>
    <cellStyle name="Normal 94 3 2 3 2 2" xfId="19387" xr:uid="{00000000-0005-0000-0000-0000DF820000}"/>
    <cellStyle name="Normal 94 3 2 3 2 2 2" xfId="35961" xr:uid="{00000000-0005-0000-0000-0000E0820000}"/>
    <cellStyle name="Normal 94 3 2 3 2 3" xfId="27914" xr:uid="{00000000-0005-0000-0000-0000E1820000}"/>
    <cellStyle name="Normal 94 3 2 3 3" xfId="15650" xr:uid="{00000000-0005-0000-0000-0000E2820000}"/>
    <cellStyle name="Normal 94 3 2 3 3 2" xfId="32206" xr:uid="{00000000-0005-0000-0000-0000E3820000}"/>
    <cellStyle name="Normal 94 3 2 3 4" xfId="24163" xr:uid="{00000000-0005-0000-0000-0000E4820000}"/>
    <cellStyle name="Normal 94 3 2 4" xfId="10214" xr:uid="{00000000-0005-0000-0000-0000E5820000}"/>
    <cellStyle name="Normal 94 3 2 4 2" xfId="19388" xr:uid="{00000000-0005-0000-0000-0000E6820000}"/>
    <cellStyle name="Normal 94 3 2 4 2 2" xfId="35962" xr:uid="{00000000-0005-0000-0000-0000E7820000}"/>
    <cellStyle name="Normal 94 3 2 4 3" xfId="27915" xr:uid="{00000000-0005-0000-0000-0000E8820000}"/>
    <cellStyle name="Normal 94 3 2 5" xfId="15647" xr:uid="{00000000-0005-0000-0000-0000E9820000}"/>
    <cellStyle name="Normal 94 3 2 5 2" xfId="32203" xr:uid="{00000000-0005-0000-0000-0000EA820000}"/>
    <cellStyle name="Normal 94 3 2 6" xfId="24160" xr:uid="{00000000-0005-0000-0000-0000EB820000}"/>
    <cellStyle name="Normal 94 3 3" xfId="6391" xr:uid="{00000000-0005-0000-0000-0000EC820000}"/>
    <cellStyle name="Normal 94 3 3 2" xfId="6392" xr:uid="{00000000-0005-0000-0000-0000ED820000}"/>
    <cellStyle name="Normal 94 3 3 2 2" xfId="10215" xr:uid="{00000000-0005-0000-0000-0000EE820000}"/>
    <cellStyle name="Normal 94 3 3 2 2 2" xfId="19389" xr:uid="{00000000-0005-0000-0000-0000EF820000}"/>
    <cellStyle name="Normal 94 3 3 2 2 2 2" xfId="35963" xr:uid="{00000000-0005-0000-0000-0000F0820000}"/>
    <cellStyle name="Normal 94 3 3 2 2 3" xfId="27916" xr:uid="{00000000-0005-0000-0000-0000F1820000}"/>
    <cellStyle name="Normal 94 3 3 2 3" xfId="15652" xr:uid="{00000000-0005-0000-0000-0000F2820000}"/>
    <cellStyle name="Normal 94 3 3 2 3 2" xfId="32208" xr:uid="{00000000-0005-0000-0000-0000F3820000}"/>
    <cellStyle name="Normal 94 3 3 2 4" xfId="24165" xr:uid="{00000000-0005-0000-0000-0000F4820000}"/>
    <cellStyle name="Normal 94 3 3 3" xfId="10216" xr:uid="{00000000-0005-0000-0000-0000F5820000}"/>
    <cellStyle name="Normal 94 3 3 3 2" xfId="19390" xr:uid="{00000000-0005-0000-0000-0000F6820000}"/>
    <cellStyle name="Normal 94 3 3 3 2 2" xfId="35964" xr:uid="{00000000-0005-0000-0000-0000F7820000}"/>
    <cellStyle name="Normal 94 3 3 3 3" xfId="27917" xr:uid="{00000000-0005-0000-0000-0000F8820000}"/>
    <cellStyle name="Normal 94 3 3 4" xfId="15651" xr:uid="{00000000-0005-0000-0000-0000F9820000}"/>
    <cellStyle name="Normal 94 3 3 4 2" xfId="32207" xr:uid="{00000000-0005-0000-0000-0000FA820000}"/>
    <cellStyle name="Normal 94 3 3 5" xfId="24164" xr:uid="{00000000-0005-0000-0000-0000FB820000}"/>
    <cellStyle name="Normal 94 3 4" xfId="6393" xr:uid="{00000000-0005-0000-0000-0000FC820000}"/>
    <cellStyle name="Normal 94 3 4 2" xfId="10217" xr:uid="{00000000-0005-0000-0000-0000FD820000}"/>
    <cellStyle name="Normal 94 3 4 2 2" xfId="19391" xr:uid="{00000000-0005-0000-0000-0000FE820000}"/>
    <cellStyle name="Normal 94 3 4 2 2 2" xfId="35965" xr:uid="{00000000-0005-0000-0000-0000FF820000}"/>
    <cellStyle name="Normal 94 3 4 2 3" xfId="27918" xr:uid="{00000000-0005-0000-0000-000000830000}"/>
    <cellStyle name="Normal 94 3 4 3" xfId="15653" xr:uid="{00000000-0005-0000-0000-000001830000}"/>
    <cellStyle name="Normal 94 3 4 3 2" xfId="32209" xr:uid="{00000000-0005-0000-0000-000002830000}"/>
    <cellStyle name="Normal 94 3 4 4" xfId="24166" xr:uid="{00000000-0005-0000-0000-000003830000}"/>
    <cellStyle name="Normal 94 3 5" xfId="6394" xr:uid="{00000000-0005-0000-0000-000004830000}"/>
    <cellStyle name="Normal 94 3 5 2" xfId="15654" xr:uid="{00000000-0005-0000-0000-000005830000}"/>
    <cellStyle name="Normal 94 3 5 2 2" xfId="32210" xr:uid="{00000000-0005-0000-0000-000006830000}"/>
    <cellStyle name="Normal 94 3 5 3" xfId="24167" xr:uid="{00000000-0005-0000-0000-000007830000}"/>
    <cellStyle name="Normal 94 4" xfId="6395" xr:uid="{00000000-0005-0000-0000-000008830000}"/>
    <cellStyle name="Normal 94 4 2" xfId="6396" xr:uid="{00000000-0005-0000-0000-000009830000}"/>
    <cellStyle name="Normal 94 4 2 2" xfId="6397" xr:uid="{00000000-0005-0000-0000-00000A830000}"/>
    <cellStyle name="Normal 94 4 2 2 2" xfId="6398" xr:uid="{00000000-0005-0000-0000-00000B830000}"/>
    <cellStyle name="Normal 94 4 2 2 2 2" xfId="10218" xr:uid="{00000000-0005-0000-0000-00000C830000}"/>
    <cellStyle name="Normal 94 4 2 2 2 2 2" xfId="19392" xr:uid="{00000000-0005-0000-0000-00000D830000}"/>
    <cellStyle name="Normal 94 4 2 2 2 2 2 2" xfId="35966" xr:uid="{00000000-0005-0000-0000-00000E830000}"/>
    <cellStyle name="Normal 94 4 2 2 2 2 3" xfId="27919" xr:uid="{00000000-0005-0000-0000-00000F830000}"/>
    <cellStyle name="Normal 94 4 2 2 2 3" xfId="15658" xr:uid="{00000000-0005-0000-0000-000010830000}"/>
    <cellStyle name="Normal 94 4 2 2 2 3 2" xfId="32214" xr:uid="{00000000-0005-0000-0000-000011830000}"/>
    <cellStyle name="Normal 94 4 2 2 2 4" xfId="24171" xr:uid="{00000000-0005-0000-0000-000012830000}"/>
    <cellStyle name="Normal 94 4 2 2 3" xfId="10219" xr:uid="{00000000-0005-0000-0000-000013830000}"/>
    <cellStyle name="Normal 94 4 2 2 3 2" xfId="19393" xr:uid="{00000000-0005-0000-0000-000014830000}"/>
    <cellStyle name="Normal 94 4 2 2 3 2 2" xfId="35967" xr:uid="{00000000-0005-0000-0000-000015830000}"/>
    <cellStyle name="Normal 94 4 2 2 3 3" xfId="27920" xr:uid="{00000000-0005-0000-0000-000016830000}"/>
    <cellStyle name="Normal 94 4 2 2 4" xfId="15657" xr:uid="{00000000-0005-0000-0000-000017830000}"/>
    <cellStyle name="Normal 94 4 2 2 4 2" xfId="32213" xr:uid="{00000000-0005-0000-0000-000018830000}"/>
    <cellStyle name="Normal 94 4 2 2 5" xfId="24170" xr:uid="{00000000-0005-0000-0000-000019830000}"/>
    <cellStyle name="Normal 94 4 2 3" xfId="6399" xr:uid="{00000000-0005-0000-0000-00001A830000}"/>
    <cellStyle name="Normal 94 4 2 3 2" xfId="10220" xr:uid="{00000000-0005-0000-0000-00001B830000}"/>
    <cellStyle name="Normal 94 4 2 3 2 2" xfId="19394" xr:uid="{00000000-0005-0000-0000-00001C830000}"/>
    <cellStyle name="Normal 94 4 2 3 2 2 2" xfId="35968" xr:uid="{00000000-0005-0000-0000-00001D830000}"/>
    <cellStyle name="Normal 94 4 2 3 2 3" xfId="27921" xr:uid="{00000000-0005-0000-0000-00001E830000}"/>
    <cellStyle name="Normal 94 4 2 3 3" xfId="15659" xr:uid="{00000000-0005-0000-0000-00001F830000}"/>
    <cellStyle name="Normal 94 4 2 3 3 2" xfId="32215" xr:uid="{00000000-0005-0000-0000-000020830000}"/>
    <cellStyle name="Normal 94 4 2 3 4" xfId="24172" xr:uid="{00000000-0005-0000-0000-000021830000}"/>
    <cellStyle name="Normal 94 4 2 4" xfId="10221" xr:uid="{00000000-0005-0000-0000-000022830000}"/>
    <cellStyle name="Normal 94 4 2 4 2" xfId="19395" xr:uid="{00000000-0005-0000-0000-000023830000}"/>
    <cellStyle name="Normal 94 4 2 4 2 2" xfId="35969" xr:uid="{00000000-0005-0000-0000-000024830000}"/>
    <cellStyle name="Normal 94 4 2 4 3" xfId="27922" xr:uid="{00000000-0005-0000-0000-000025830000}"/>
    <cellStyle name="Normal 94 4 2 5" xfId="15656" xr:uid="{00000000-0005-0000-0000-000026830000}"/>
    <cellStyle name="Normal 94 4 2 5 2" xfId="32212" xr:uid="{00000000-0005-0000-0000-000027830000}"/>
    <cellStyle name="Normal 94 4 2 6" xfId="24169" xr:uid="{00000000-0005-0000-0000-000028830000}"/>
    <cellStyle name="Normal 94 4 3" xfId="6400" xr:uid="{00000000-0005-0000-0000-000029830000}"/>
    <cellStyle name="Normal 94 4 3 2" xfId="6401" xr:uid="{00000000-0005-0000-0000-00002A830000}"/>
    <cellStyle name="Normal 94 4 3 2 2" xfId="10222" xr:uid="{00000000-0005-0000-0000-00002B830000}"/>
    <cellStyle name="Normal 94 4 3 2 2 2" xfId="19396" xr:uid="{00000000-0005-0000-0000-00002C830000}"/>
    <cellStyle name="Normal 94 4 3 2 2 2 2" xfId="35970" xr:uid="{00000000-0005-0000-0000-00002D830000}"/>
    <cellStyle name="Normal 94 4 3 2 2 3" xfId="27923" xr:uid="{00000000-0005-0000-0000-00002E830000}"/>
    <cellStyle name="Normal 94 4 3 2 3" xfId="15661" xr:uid="{00000000-0005-0000-0000-00002F830000}"/>
    <cellStyle name="Normal 94 4 3 2 3 2" xfId="32217" xr:uid="{00000000-0005-0000-0000-000030830000}"/>
    <cellStyle name="Normal 94 4 3 2 4" xfId="24174" xr:uid="{00000000-0005-0000-0000-000031830000}"/>
    <cellStyle name="Normal 94 4 3 3" xfId="10223" xr:uid="{00000000-0005-0000-0000-000032830000}"/>
    <cellStyle name="Normal 94 4 3 3 2" xfId="19397" xr:uid="{00000000-0005-0000-0000-000033830000}"/>
    <cellStyle name="Normal 94 4 3 3 2 2" xfId="35971" xr:uid="{00000000-0005-0000-0000-000034830000}"/>
    <cellStyle name="Normal 94 4 3 3 3" xfId="27924" xr:uid="{00000000-0005-0000-0000-000035830000}"/>
    <cellStyle name="Normal 94 4 3 4" xfId="15660" xr:uid="{00000000-0005-0000-0000-000036830000}"/>
    <cellStyle name="Normal 94 4 3 4 2" xfId="32216" xr:uid="{00000000-0005-0000-0000-000037830000}"/>
    <cellStyle name="Normal 94 4 3 5" xfId="24173" xr:uid="{00000000-0005-0000-0000-000038830000}"/>
    <cellStyle name="Normal 94 4 4" xfId="6402" xr:uid="{00000000-0005-0000-0000-000039830000}"/>
    <cellStyle name="Normal 94 4 4 2" xfId="10224" xr:uid="{00000000-0005-0000-0000-00003A830000}"/>
    <cellStyle name="Normal 94 4 4 2 2" xfId="19398" xr:uid="{00000000-0005-0000-0000-00003B830000}"/>
    <cellStyle name="Normal 94 4 4 2 2 2" xfId="35972" xr:uid="{00000000-0005-0000-0000-00003C830000}"/>
    <cellStyle name="Normal 94 4 4 2 3" xfId="27925" xr:uid="{00000000-0005-0000-0000-00003D830000}"/>
    <cellStyle name="Normal 94 4 4 3" xfId="15662" xr:uid="{00000000-0005-0000-0000-00003E830000}"/>
    <cellStyle name="Normal 94 4 4 3 2" xfId="32218" xr:uid="{00000000-0005-0000-0000-00003F830000}"/>
    <cellStyle name="Normal 94 4 4 4" xfId="24175" xr:uid="{00000000-0005-0000-0000-000040830000}"/>
    <cellStyle name="Normal 94 4 5" xfId="10225" xr:uid="{00000000-0005-0000-0000-000041830000}"/>
    <cellStyle name="Normal 94 4 5 2" xfId="19399" xr:uid="{00000000-0005-0000-0000-000042830000}"/>
    <cellStyle name="Normal 94 4 5 2 2" xfId="35973" xr:uid="{00000000-0005-0000-0000-000043830000}"/>
    <cellStyle name="Normal 94 4 5 3" xfId="27926" xr:uid="{00000000-0005-0000-0000-000044830000}"/>
    <cellStyle name="Normal 94 4 6" xfId="15655" xr:uid="{00000000-0005-0000-0000-000045830000}"/>
    <cellStyle name="Normal 94 4 6 2" xfId="32211" xr:uid="{00000000-0005-0000-0000-000046830000}"/>
    <cellStyle name="Normal 94 4 7" xfId="24168" xr:uid="{00000000-0005-0000-0000-000047830000}"/>
    <cellStyle name="Normal 94 5" xfId="6403" xr:uid="{00000000-0005-0000-0000-000048830000}"/>
    <cellStyle name="Normal 94 5 2" xfId="6404" xr:uid="{00000000-0005-0000-0000-000049830000}"/>
    <cellStyle name="Normal 94 5 2 2" xfId="6405" xr:uid="{00000000-0005-0000-0000-00004A830000}"/>
    <cellStyle name="Normal 94 5 2 2 2" xfId="6406" xr:uid="{00000000-0005-0000-0000-00004B830000}"/>
    <cellStyle name="Normal 94 5 2 2 2 2" xfId="10226" xr:uid="{00000000-0005-0000-0000-00004C830000}"/>
    <cellStyle name="Normal 94 5 2 2 2 2 2" xfId="19400" xr:uid="{00000000-0005-0000-0000-00004D830000}"/>
    <cellStyle name="Normal 94 5 2 2 2 2 2 2" xfId="35974" xr:uid="{00000000-0005-0000-0000-00004E830000}"/>
    <cellStyle name="Normal 94 5 2 2 2 2 3" xfId="27927" xr:uid="{00000000-0005-0000-0000-00004F830000}"/>
    <cellStyle name="Normal 94 5 2 2 2 3" xfId="15666" xr:uid="{00000000-0005-0000-0000-000050830000}"/>
    <cellStyle name="Normal 94 5 2 2 2 3 2" xfId="32222" xr:uid="{00000000-0005-0000-0000-000051830000}"/>
    <cellStyle name="Normal 94 5 2 2 2 4" xfId="24179" xr:uid="{00000000-0005-0000-0000-000052830000}"/>
    <cellStyle name="Normal 94 5 2 2 3" xfId="10227" xr:uid="{00000000-0005-0000-0000-000053830000}"/>
    <cellStyle name="Normal 94 5 2 2 3 2" xfId="19401" xr:uid="{00000000-0005-0000-0000-000054830000}"/>
    <cellStyle name="Normal 94 5 2 2 3 2 2" xfId="35975" xr:uid="{00000000-0005-0000-0000-000055830000}"/>
    <cellStyle name="Normal 94 5 2 2 3 3" xfId="27928" xr:uid="{00000000-0005-0000-0000-000056830000}"/>
    <cellStyle name="Normal 94 5 2 2 4" xfId="15665" xr:uid="{00000000-0005-0000-0000-000057830000}"/>
    <cellStyle name="Normal 94 5 2 2 4 2" xfId="32221" xr:uid="{00000000-0005-0000-0000-000058830000}"/>
    <cellStyle name="Normal 94 5 2 2 5" xfId="24178" xr:uid="{00000000-0005-0000-0000-000059830000}"/>
    <cellStyle name="Normal 94 5 2 3" xfId="6407" xr:uid="{00000000-0005-0000-0000-00005A830000}"/>
    <cellStyle name="Normal 94 5 2 3 2" xfId="10228" xr:uid="{00000000-0005-0000-0000-00005B830000}"/>
    <cellStyle name="Normal 94 5 2 3 2 2" xfId="19402" xr:uid="{00000000-0005-0000-0000-00005C830000}"/>
    <cellStyle name="Normal 94 5 2 3 2 2 2" xfId="35976" xr:uid="{00000000-0005-0000-0000-00005D830000}"/>
    <cellStyle name="Normal 94 5 2 3 2 3" xfId="27929" xr:uid="{00000000-0005-0000-0000-00005E830000}"/>
    <cellStyle name="Normal 94 5 2 3 3" xfId="15667" xr:uid="{00000000-0005-0000-0000-00005F830000}"/>
    <cellStyle name="Normal 94 5 2 3 3 2" xfId="32223" xr:uid="{00000000-0005-0000-0000-000060830000}"/>
    <cellStyle name="Normal 94 5 2 3 4" xfId="24180" xr:uid="{00000000-0005-0000-0000-000061830000}"/>
    <cellStyle name="Normal 94 5 2 4" xfId="10229" xr:uid="{00000000-0005-0000-0000-000062830000}"/>
    <cellStyle name="Normal 94 5 2 4 2" xfId="19403" xr:uid="{00000000-0005-0000-0000-000063830000}"/>
    <cellStyle name="Normal 94 5 2 4 2 2" xfId="35977" xr:uid="{00000000-0005-0000-0000-000064830000}"/>
    <cellStyle name="Normal 94 5 2 4 3" xfId="27930" xr:uid="{00000000-0005-0000-0000-000065830000}"/>
    <cellStyle name="Normal 94 5 2 5" xfId="15664" xr:uid="{00000000-0005-0000-0000-000066830000}"/>
    <cellStyle name="Normal 94 5 2 5 2" xfId="32220" xr:uid="{00000000-0005-0000-0000-000067830000}"/>
    <cellStyle name="Normal 94 5 2 6" xfId="24177" xr:uid="{00000000-0005-0000-0000-000068830000}"/>
    <cellStyle name="Normal 94 5 3" xfId="6408" xr:uid="{00000000-0005-0000-0000-000069830000}"/>
    <cellStyle name="Normal 94 5 3 2" xfId="6409" xr:uid="{00000000-0005-0000-0000-00006A830000}"/>
    <cellStyle name="Normal 94 5 3 2 2" xfId="10230" xr:uid="{00000000-0005-0000-0000-00006B830000}"/>
    <cellStyle name="Normal 94 5 3 2 2 2" xfId="19404" xr:uid="{00000000-0005-0000-0000-00006C830000}"/>
    <cellStyle name="Normal 94 5 3 2 2 2 2" xfId="35978" xr:uid="{00000000-0005-0000-0000-00006D830000}"/>
    <cellStyle name="Normal 94 5 3 2 2 3" xfId="27931" xr:uid="{00000000-0005-0000-0000-00006E830000}"/>
    <cellStyle name="Normal 94 5 3 2 3" xfId="15669" xr:uid="{00000000-0005-0000-0000-00006F830000}"/>
    <cellStyle name="Normal 94 5 3 2 3 2" xfId="32225" xr:uid="{00000000-0005-0000-0000-000070830000}"/>
    <cellStyle name="Normal 94 5 3 2 4" xfId="24182" xr:uid="{00000000-0005-0000-0000-000071830000}"/>
    <cellStyle name="Normal 94 5 3 3" xfId="10231" xr:uid="{00000000-0005-0000-0000-000072830000}"/>
    <cellStyle name="Normal 94 5 3 3 2" xfId="19405" xr:uid="{00000000-0005-0000-0000-000073830000}"/>
    <cellStyle name="Normal 94 5 3 3 2 2" xfId="35979" xr:uid="{00000000-0005-0000-0000-000074830000}"/>
    <cellStyle name="Normal 94 5 3 3 3" xfId="27932" xr:uid="{00000000-0005-0000-0000-000075830000}"/>
    <cellStyle name="Normal 94 5 3 4" xfId="15668" xr:uid="{00000000-0005-0000-0000-000076830000}"/>
    <cellStyle name="Normal 94 5 3 4 2" xfId="32224" xr:uid="{00000000-0005-0000-0000-000077830000}"/>
    <cellStyle name="Normal 94 5 3 5" xfId="24181" xr:uid="{00000000-0005-0000-0000-000078830000}"/>
    <cellStyle name="Normal 94 5 4" xfId="6410" xr:uid="{00000000-0005-0000-0000-000079830000}"/>
    <cellStyle name="Normal 94 5 4 2" xfId="10232" xr:uid="{00000000-0005-0000-0000-00007A830000}"/>
    <cellStyle name="Normal 94 5 4 2 2" xfId="19406" xr:uid="{00000000-0005-0000-0000-00007B830000}"/>
    <cellStyle name="Normal 94 5 4 2 2 2" xfId="35980" xr:uid="{00000000-0005-0000-0000-00007C830000}"/>
    <cellStyle name="Normal 94 5 4 2 3" xfId="27933" xr:uid="{00000000-0005-0000-0000-00007D830000}"/>
    <cellStyle name="Normal 94 5 4 3" xfId="15670" xr:uid="{00000000-0005-0000-0000-00007E830000}"/>
    <cellStyle name="Normal 94 5 4 3 2" xfId="32226" xr:uid="{00000000-0005-0000-0000-00007F830000}"/>
    <cellStyle name="Normal 94 5 4 4" xfId="24183" xr:uid="{00000000-0005-0000-0000-000080830000}"/>
    <cellStyle name="Normal 94 5 5" xfId="10233" xr:uid="{00000000-0005-0000-0000-000081830000}"/>
    <cellStyle name="Normal 94 5 5 2" xfId="19407" xr:uid="{00000000-0005-0000-0000-000082830000}"/>
    <cellStyle name="Normal 94 5 5 2 2" xfId="35981" xr:uid="{00000000-0005-0000-0000-000083830000}"/>
    <cellStyle name="Normal 94 5 5 3" xfId="27934" xr:uid="{00000000-0005-0000-0000-000084830000}"/>
    <cellStyle name="Normal 94 5 6" xfId="15663" xr:uid="{00000000-0005-0000-0000-000085830000}"/>
    <cellStyle name="Normal 94 5 6 2" xfId="32219" xr:uid="{00000000-0005-0000-0000-000086830000}"/>
    <cellStyle name="Normal 94 5 7" xfId="24176" xr:uid="{00000000-0005-0000-0000-000087830000}"/>
    <cellStyle name="Normal 94 6" xfId="6411" xr:uid="{00000000-0005-0000-0000-000088830000}"/>
    <cellStyle name="Normal 94 6 2" xfId="6412" xr:uid="{00000000-0005-0000-0000-000089830000}"/>
    <cellStyle name="Normal 94 6 2 2" xfId="6413" xr:uid="{00000000-0005-0000-0000-00008A830000}"/>
    <cellStyle name="Normal 94 6 2 2 2" xfId="10234" xr:uid="{00000000-0005-0000-0000-00008B830000}"/>
    <cellStyle name="Normal 94 6 2 2 2 2" xfId="19408" xr:uid="{00000000-0005-0000-0000-00008C830000}"/>
    <cellStyle name="Normal 94 6 2 2 2 2 2" xfId="35982" xr:uid="{00000000-0005-0000-0000-00008D830000}"/>
    <cellStyle name="Normal 94 6 2 2 2 3" xfId="27935" xr:uid="{00000000-0005-0000-0000-00008E830000}"/>
    <cellStyle name="Normal 94 6 2 2 3" xfId="15673" xr:uid="{00000000-0005-0000-0000-00008F830000}"/>
    <cellStyle name="Normal 94 6 2 2 3 2" xfId="32229" xr:uid="{00000000-0005-0000-0000-000090830000}"/>
    <cellStyle name="Normal 94 6 2 2 4" xfId="24186" xr:uid="{00000000-0005-0000-0000-000091830000}"/>
    <cellStyle name="Normal 94 6 2 3" xfId="10235" xr:uid="{00000000-0005-0000-0000-000092830000}"/>
    <cellStyle name="Normal 94 6 2 3 2" xfId="19409" xr:uid="{00000000-0005-0000-0000-000093830000}"/>
    <cellStyle name="Normal 94 6 2 3 2 2" xfId="35983" xr:uid="{00000000-0005-0000-0000-000094830000}"/>
    <cellStyle name="Normal 94 6 2 3 3" xfId="27936" xr:uid="{00000000-0005-0000-0000-000095830000}"/>
    <cellStyle name="Normal 94 6 2 4" xfId="15672" xr:uid="{00000000-0005-0000-0000-000096830000}"/>
    <cellStyle name="Normal 94 6 2 4 2" xfId="32228" xr:uid="{00000000-0005-0000-0000-000097830000}"/>
    <cellStyle name="Normal 94 6 2 5" xfId="24185" xr:uid="{00000000-0005-0000-0000-000098830000}"/>
    <cellStyle name="Normal 94 6 3" xfId="6414" xr:uid="{00000000-0005-0000-0000-000099830000}"/>
    <cellStyle name="Normal 94 6 3 2" xfId="10236" xr:uid="{00000000-0005-0000-0000-00009A830000}"/>
    <cellStyle name="Normal 94 6 3 2 2" xfId="19410" xr:uid="{00000000-0005-0000-0000-00009B830000}"/>
    <cellStyle name="Normal 94 6 3 2 2 2" xfId="35984" xr:uid="{00000000-0005-0000-0000-00009C830000}"/>
    <cellStyle name="Normal 94 6 3 2 3" xfId="27937" xr:uid="{00000000-0005-0000-0000-00009D830000}"/>
    <cellStyle name="Normal 94 6 3 3" xfId="15674" xr:uid="{00000000-0005-0000-0000-00009E830000}"/>
    <cellStyle name="Normal 94 6 3 3 2" xfId="32230" xr:uid="{00000000-0005-0000-0000-00009F830000}"/>
    <cellStyle name="Normal 94 6 3 4" xfId="24187" xr:uid="{00000000-0005-0000-0000-0000A0830000}"/>
    <cellStyle name="Normal 94 6 4" xfId="10237" xr:uid="{00000000-0005-0000-0000-0000A1830000}"/>
    <cellStyle name="Normal 94 6 4 2" xfId="19411" xr:uid="{00000000-0005-0000-0000-0000A2830000}"/>
    <cellStyle name="Normal 94 6 4 2 2" xfId="35985" xr:uid="{00000000-0005-0000-0000-0000A3830000}"/>
    <cellStyle name="Normal 94 6 4 3" xfId="27938" xr:uid="{00000000-0005-0000-0000-0000A4830000}"/>
    <cellStyle name="Normal 94 6 5" xfId="15671" xr:uid="{00000000-0005-0000-0000-0000A5830000}"/>
    <cellStyle name="Normal 94 6 5 2" xfId="32227" xr:uid="{00000000-0005-0000-0000-0000A6830000}"/>
    <cellStyle name="Normal 94 6 6" xfId="24184" xr:uid="{00000000-0005-0000-0000-0000A7830000}"/>
    <cellStyle name="Normal 94 7" xfId="6415" xr:uid="{00000000-0005-0000-0000-0000A8830000}"/>
    <cellStyle name="Normal 94 7 2" xfId="6416" xr:uid="{00000000-0005-0000-0000-0000A9830000}"/>
    <cellStyle name="Normal 94 7 2 2" xfId="10238" xr:uid="{00000000-0005-0000-0000-0000AA830000}"/>
    <cellStyle name="Normal 94 7 2 2 2" xfId="19412" xr:uid="{00000000-0005-0000-0000-0000AB830000}"/>
    <cellStyle name="Normal 94 7 2 2 2 2" xfId="35986" xr:uid="{00000000-0005-0000-0000-0000AC830000}"/>
    <cellStyle name="Normal 94 7 2 2 3" xfId="27939" xr:uid="{00000000-0005-0000-0000-0000AD830000}"/>
    <cellStyle name="Normal 94 7 2 3" xfId="15676" xr:uid="{00000000-0005-0000-0000-0000AE830000}"/>
    <cellStyle name="Normal 94 7 2 3 2" xfId="32232" xr:uid="{00000000-0005-0000-0000-0000AF830000}"/>
    <cellStyle name="Normal 94 7 2 4" xfId="24189" xr:uid="{00000000-0005-0000-0000-0000B0830000}"/>
    <cellStyle name="Normal 94 7 3" xfId="10239" xr:uid="{00000000-0005-0000-0000-0000B1830000}"/>
    <cellStyle name="Normal 94 7 3 2" xfId="19413" xr:uid="{00000000-0005-0000-0000-0000B2830000}"/>
    <cellStyle name="Normal 94 7 3 2 2" xfId="35987" xr:uid="{00000000-0005-0000-0000-0000B3830000}"/>
    <cellStyle name="Normal 94 7 3 3" xfId="27940" xr:uid="{00000000-0005-0000-0000-0000B4830000}"/>
    <cellStyle name="Normal 94 7 4" xfId="15675" xr:uid="{00000000-0005-0000-0000-0000B5830000}"/>
    <cellStyle name="Normal 94 7 4 2" xfId="32231" xr:uid="{00000000-0005-0000-0000-0000B6830000}"/>
    <cellStyle name="Normal 94 7 5" xfId="24188" xr:uid="{00000000-0005-0000-0000-0000B7830000}"/>
    <cellStyle name="Normal 94 8" xfId="6417" xr:uid="{00000000-0005-0000-0000-0000B8830000}"/>
    <cellStyle name="Normal 94 8 2" xfId="10240" xr:uid="{00000000-0005-0000-0000-0000B9830000}"/>
    <cellStyle name="Normal 94 8 2 2" xfId="19414" xr:uid="{00000000-0005-0000-0000-0000BA830000}"/>
    <cellStyle name="Normal 94 8 2 2 2" xfId="35988" xr:uid="{00000000-0005-0000-0000-0000BB830000}"/>
    <cellStyle name="Normal 94 8 2 3" xfId="27941" xr:uid="{00000000-0005-0000-0000-0000BC830000}"/>
    <cellStyle name="Normal 94 8 3" xfId="15677" xr:uid="{00000000-0005-0000-0000-0000BD830000}"/>
    <cellStyle name="Normal 94 8 3 2" xfId="32233" xr:uid="{00000000-0005-0000-0000-0000BE830000}"/>
    <cellStyle name="Normal 94 8 4" xfId="24190" xr:uid="{00000000-0005-0000-0000-0000BF830000}"/>
    <cellStyle name="Normal 94 9" xfId="10241" xr:uid="{00000000-0005-0000-0000-0000C0830000}"/>
    <cellStyle name="Normal 94 9 2" xfId="19415" xr:uid="{00000000-0005-0000-0000-0000C1830000}"/>
    <cellStyle name="Normal 94 9 2 2" xfId="35989" xr:uid="{00000000-0005-0000-0000-0000C2830000}"/>
    <cellStyle name="Normal 94 9 3" xfId="27942" xr:uid="{00000000-0005-0000-0000-0000C3830000}"/>
    <cellStyle name="Normal 95" xfId="6418" xr:uid="{00000000-0005-0000-0000-0000C4830000}"/>
    <cellStyle name="Normal 95 10" xfId="15678" xr:uid="{00000000-0005-0000-0000-0000C5830000}"/>
    <cellStyle name="Normal 95 10 2" xfId="32234" xr:uid="{00000000-0005-0000-0000-0000C6830000}"/>
    <cellStyle name="Normal 95 11" xfId="24191" xr:uid="{00000000-0005-0000-0000-0000C7830000}"/>
    <cellStyle name="Normal 95 2" xfId="6419" xr:uid="{00000000-0005-0000-0000-0000C8830000}"/>
    <cellStyle name="Normal 95 2 2" xfId="6420" xr:uid="{00000000-0005-0000-0000-0000C9830000}"/>
    <cellStyle name="Normal 95 2 3" xfId="15679" xr:uid="{00000000-0005-0000-0000-0000CA830000}"/>
    <cellStyle name="Normal 95 2 3 2" xfId="32235" xr:uid="{00000000-0005-0000-0000-0000CB830000}"/>
    <cellStyle name="Normal 95 2 4" xfId="24192" xr:uid="{00000000-0005-0000-0000-0000CC830000}"/>
    <cellStyle name="Normal 95 3" xfId="6421" xr:uid="{00000000-0005-0000-0000-0000CD830000}"/>
    <cellStyle name="Normal 95 3 2" xfId="6422" xr:uid="{00000000-0005-0000-0000-0000CE830000}"/>
    <cellStyle name="Normal 95 3 2 2" xfId="6423" xr:uid="{00000000-0005-0000-0000-0000CF830000}"/>
    <cellStyle name="Normal 95 3 2 2 2" xfId="6424" xr:uid="{00000000-0005-0000-0000-0000D0830000}"/>
    <cellStyle name="Normal 95 3 2 2 2 2" xfId="10242" xr:uid="{00000000-0005-0000-0000-0000D1830000}"/>
    <cellStyle name="Normal 95 3 2 2 2 2 2" xfId="19416" xr:uid="{00000000-0005-0000-0000-0000D2830000}"/>
    <cellStyle name="Normal 95 3 2 2 2 2 2 2" xfId="35990" xr:uid="{00000000-0005-0000-0000-0000D3830000}"/>
    <cellStyle name="Normal 95 3 2 2 2 2 3" xfId="27943" xr:uid="{00000000-0005-0000-0000-0000D4830000}"/>
    <cellStyle name="Normal 95 3 2 2 2 3" xfId="15682" xr:uid="{00000000-0005-0000-0000-0000D5830000}"/>
    <cellStyle name="Normal 95 3 2 2 2 3 2" xfId="32238" xr:uid="{00000000-0005-0000-0000-0000D6830000}"/>
    <cellStyle name="Normal 95 3 2 2 2 4" xfId="24195" xr:uid="{00000000-0005-0000-0000-0000D7830000}"/>
    <cellStyle name="Normal 95 3 2 2 3" xfId="10243" xr:uid="{00000000-0005-0000-0000-0000D8830000}"/>
    <cellStyle name="Normal 95 3 2 2 3 2" xfId="19417" xr:uid="{00000000-0005-0000-0000-0000D9830000}"/>
    <cellStyle name="Normal 95 3 2 2 3 2 2" xfId="35991" xr:uid="{00000000-0005-0000-0000-0000DA830000}"/>
    <cellStyle name="Normal 95 3 2 2 3 3" xfId="27944" xr:uid="{00000000-0005-0000-0000-0000DB830000}"/>
    <cellStyle name="Normal 95 3 2 2 4" xfId="15681" xr:uid="{00000000-0005-0000-0000-0000DC830000}"/>
    <cellStyle name="Normal 95 3 2 2 4 2" xfId="32237" xr:uid="{00000000-0005-0000-0000-0000DD830000}"/>
    <cellStyle name="Normal 95 3 2 2 5" xfId="24194" xr:uid="{00000000-0005-0000-0000-0000DE830000}"/>
    <cellStyle name="Normal 95 3 2 3" xfId="6425" xr:uid="{00000000-0005-0000-0000-0000DF830000}"/>
    <cellStyle name="Normal 95 3 2 3 2" xfId="10244" xr:uid="{00000000-0005-0000-0000-0000E0830000}"/>
    <cellStyle name="Normal 95 3 2 3 2 2" xfId="19418" xr:uid="{00000000-0005-0000-0000-0000E1830000}"/>
    <cellStyle name="Normal 95 3 2 3 2 2 2" xfId="35992" xr:uid="{00000000-0005-0000-0000-0000E2830000}"/>
    <cellStyle name="Normal 95 3 2 3 2 3" xfId="27945" xr:uid="{00000000-0005-0000-0000-0000E3830000}"/>
    <cellStyle name="Normal 95 3 2 3 3" xfId="15683" xr:uid="{00000000-0005-0000-0000-0000E4830000}"/>
    <cellStyle name="Normal 95 3 2 3 3 2" xfId="32239" xr:uid="{00000000-0005-0000-0000-0000E5830000}"/>
    <cellStyle name="Normal 95 3 2 3 4" xfId="24196" xr:uid="{00000000-0005-0000-0000-0000E6830000}"/>
    <cellStyle name="Normal 95 3 2 4" xfId="10245" xr:uid="{00000000-0005-0000-0000-0000E7830000}"/>
    <cellStyle name="Normal 95 3 2 4 2" xfId="19419" xr:uid="{00000000-0005-0000-0000-0000E8830000}"/>
    <cellStyle name="Normal 95 3 2 4 2 2" xfId="35993" xr:uid="{00000000-0005-0000-0000-0000E9830000}"/>
    <cellStyle name="Normal 95 3 2 4 3" xfId="27946" xr:uid="{00000000-0005-0000-0000-0000EA830000}"/>
    <cellStyle name="Normal 95 3 2 5" xfId="15680" xr:uid="{00000000-0005-0000-0000-0000EB830000}"/>
    <cellStyle name="Normal 95 3 2 5 2" xfId="32236" xr:uid="{00000000-0005-0000-0000-0000EC830000}"/>
    <cellStyle name="Normal 95 3 2 6" xfId="24193" xr:uid="{00000000-0005-0000-0000-0000ED830000}"/>
    <cellStyle name="Normal 95 3 3" xfId="6426" xr:uid="{00000000-0005-0000-0000-0000EE830000}"/>
    <cellStyle name="Normal 95 3 3 2" xfId="6427" xr:uid="{00000000-0005-0000-0000-0000EF830000}"/>
    <cellStyle name="Normal 95 3 3 2 2" xfId="10246" xr:uid="{00000000-0005-0000-0000-0000F0830000}"/>
    <cellStyle name="Normal 95 3 3 2 2 2" xfId="19420" xr:uid="{00000000-0005-0000-0000-0000F1830000}"/>
    <cellStyle name="Normal 95 3 3 2 2 2 2" xfId="35994" xr:uid="{00000000-0005-0000-0000-0000F2830000}"/>
    <cellStyle name="Normal 95 3 3 2 2 3" xfId="27947" xr:uid="{00000000-0005-0000-0000-0000F3830000}"/>
    <cellStyle name="Normal 95 3 3 2 3" xfId="15685" xr:uid="{00000000-0005-0000-0000-0000F4830000}"/>
    <cellStyle name="Normal 95 3 3 2 3 2" xfId="32241" xr:uid="{00000000-0005-0000-0000-0000F5830000}"/>
    <cellStyle name="Normal 95 3 3 2 4" xfId="24198" xr:uid="{00000000-0005-0000-0000-0000F6830000}"/>
    <cellStyle name="Normal 95 3 3 3" xfId="10247" xr:uid="{00000000-0005-0000-0000-0000F7830000}"/>
    <cellStyle name="Normal 95 3 3 3 2" xfId="19421" xr:uid="{00000000-0005-0000-0000-0000F8830000}"/>
    <cellStyle name="Normal 95 3 3 3 2 2" xfId="35995" xr:uid="{00000000-0005-0000-0000-0000F9830000}"/>
    <cellStyle name="Normal 95 3 3 3 3" xfId="27948" xr:uid="{00000000-0005-0000-0000-0000FA830000}"/>
    <cellStyle name="Normal 95 3 3 4" xfId="15684" xr:uid="{00000000-0005-0000-0000-0000FB830000}"/>
    <cellStyle name="Normal 95 3 3 4 2" xfId="32240" xr:uid="{00000000-0005-0000-0000-0000FC830000}"/>
    <cellStyle name="Normal 95 3 3 5" xfId="24197" xr:uid="{00000000-0005-0000-0000-0000FD830000}"/>
    <cellStyle name="Normal 95 3 4" xfId="6428" xr:uid="{00000000-0005-0000-0000-0000FE830000}"/>
    <cellStyle name="Normal 95 3 4 2" xfId="10248" xr:uid="{00000000-0005-0000-0000-0000FF830000}"/>
    <cellStyle name="Normal 95 3 4 2 2" xfId="19422" xr:uid="{00000000-0005-0000-0000-000000840000}"/>
    <cellStyle name="Normal 95 3 4 2 2 2" xfId="35996" xr:uid="{00000000-0005-0000-0000-000001840000}"/>
    <cellStyle name="Normal 95 3 4 2 3" xfId="27949" xr:uid="{00000000-0005-0000-0000-000002840000}"/>
    <cellStyle name="Normal 95 3 4 3" xfId="15686" xr:uid="{00000000-0005-0000-0000-000003840000}"/>
    <cellStyle name="Normal 95 3 4 3 2" xfId="32242" xr:uid="{00000000-0005-0000-0000-000004840000}"/>
    <cellStyle name="Normal 95 3 4 4" xfId="24199" xr:uid="{00000000-0005-0000-0000-000005840000}"/>
    <cellStyle name="Normal 95 3 5" xfId="6429" xr:uid="{00000000-0005-0000-0000-000006840000}"/>
    <cellStyle name="Normal 95 3 5 2" xfId="15687" xr:uid="{00000000-0005-0000-0000-000007840000}"/>
    <cellStyle name="Normal 95 3 5 2 2" xfId="32243" xr:uid="{00000000-0005-0000-0000-000008840000}"/>
    <cellStyle name="Normal 95 3 5 3" xfId="24200" xr:uid="{00000000-0005-0000-0000-000009840000}"/>
    <cellStyle name="Normal 95 4" xfId="6430" xr:uid="{00000000-0005-0000-0000-00000A840000}"/>
    <cellStyle name="Normal 95 4 2" xfId="6431" xr:uid="{00000000-0005-0000-0000-00000B840000}"/>
    <cellStyle name="Normal 95 4 2 2" xfId="6432" xr:uid="{00000000-0005-0000-0000-00000C840000}"/>
    <cellStyle name="Normal 95 4 2 2 2" xfId="6433" xr:uid="{00000000-0005-0000-0000-00000D840000}"/>
    <cellStyle name="Normal 95 4 2 2 2 2" xfId="10249" xr:uid="{00000000-0005-0000-0000-00000E840000}"/>
    <cellStyle name="Normal 95 4 2 2 2 2 2" xfId="19423" xr:uid="{00000000-0005-0000-0000-00000F840000}"/>
    <cellStyle name="Normal 95 4 2 2 2 2 2 2" xfId="35997" xr:uid="{00000000-0005-0000-0000-000010840000}"/>
    <cellStyle name="Normal 95 4 2 2 2 2 3" xfId="27950" xr:uid="{00000000-0005-0000-0000-000011840000}"/>
    <cellStyle name="Normal 95 4 2 2 2 3" xfId="15691" xr:uid="{00000000-0005-0000-0000-000012840000}"/>
    <cellStyle name="Normal 95 4 2 2 2 3 2" xfId="32247" xr:uid="{00000000-0005-0000-0000-000013840000}"/>
    <cellStyle name="Normal 95 4 2 2 2 4" xfId="24204" xr:uid="{00000000-0005-0000-0000-000014840000}"/>
    <cellStyle name="Normal 95 4 2 2 3" xfId="10250" xr:uid="{00000000-0005-0000-0000-000015840000}"/>
    <cellStyle name="Normal 95 4 2 2 3 2" xfId="19424" xr:uid="{00000000-0005-0000-0000-000016840000}"/>
    <cellStyle name="Normal 95 4 2 2 3 2 2" xfId="35998" xr:uid="{00000000-0005-0000-0000-000017840000}"/>
    <cellStyle name="Normal 95 4 2 2 3 3" xfId="27951" xr:uid="{00000000-0005-0000-0000-000018840000}"/>
    <cellStyle name="Normal 95 4 2 2 4" xfId="15690" xr:uid="{00000000-0005-0000-0000-000019840000}"/>
    <cellStyle name="Normal 95 4 2 2 4 2" xfId="32246" xr:uid="{00000000-0005-0000-0000-00001A840000}"/>
    <cellStyle name="Normal 95 4 2 2 5" xfId="24203" xr:uid="{00000000-0005-0000-0000-00001B840000}"/>
    <cellStyle name="Normal 95 4 2 3" xfId="6434" xr:uid="{00000000-0005-0000-0000-00001C840000}"/>
    <cellStyle name="Normal 95 4 2 3 2" xfId="10251" xr:uid="{00000000-0005-0000-0000-00001D840000}"/>
    <cellStyle name="Normal 95 4 2 3 2 2" xfId="19425" xr:uid="{00000000-0005-0000-0000-00001E840000}"/>
    <cellStyle name="Normal 95 4 2 3 2 2 2" xfId="35999" xr:uid="{00000000-0005-0000-0000-00001F840000}"/>
    <cellStyle name="Normal 95 4 2 3 2 3" xfId="27952" xr:uid="{00000000-0005-0000-0000-000020840000}"/>
    <cellStyle name="Normal 95 4 2 3 3" xfId="15692" xr:uid="{00000000-0005-0000-0000-000021840000}"/>
    <cellStyle name="Normal 95 4 2 3 3 2" xfId="32248" xr:uid="{00000000-0005-0000-0000-000022840000}"/>
    <cellStyle name="Normal 95 4 2 3 4" xfId="24205" xr:uid="{00000000-0005-0000-0000-000023840000}"/>
    <cellStyle name="Normal 95 4 2 4" xfId="10252" xr:uid="{00000000-0005-0000-0000-000024840000}"/>
    <cellStyle name="Normal 95 4 2 4 2" xfId="19426" xr:uid="{00000000-0005-0000-0000-000025840000}"/>
    <cellStyle name="Normal 95 4 2 4 2 2" xfId="36000" xr:uid="{00000000-0005-0000-0000-000026840000}"/>
    <cellStyle name="Normal 95 4 2 4 3" xfId="27953" xr:uid="{00000000-0005-0000-0000-000027840000}"/>
    <cellStyle name="Normal 95 4 2 5" xfId="15689" xr:uid="{00000000-0005-0000-0000-000028840000}"/>
    <cellStyle name="Normal 95 4 2 5 2" xfId="32245" xr:uid="{00000000-0005-0000-0000-000029840000}"/>
    <cellStyle name="Normal 95 4 2 6" xfId="24202" xr:uid="{00000000-0005-0000-0000-00002A840000}"/>
    <cellStyle name="Normal 95 4 3" xfId="6435" xr:uid="{00000000-0005-0000-0000-00002B840000}"/>
    <cellStyle name="Normal 95 4 3 2" xfId="6436" xr:uid="{00000000-0005-0000-0000-00002C840000}"/>
    <cellStyle name="Normal 95 4 3 2 2" xfId="10253" xr:uid="{00000000-0005-0000-0000-00002D840000}"/>
    <cellStyle name="Normal 95 4 3 2 2 2" xfId="19427" xr:uid="{00000000-0005-0000-0000-00002E840000}"/>
    <cellStyle name="Normal 95 4 3 2 2 2 2" xfId="36001" xr:uid="{00000000-0005-0000-0000-00002F840000}"/>
    <cellStyle name="Normal 95 4 3 2 2 3" xfId="27954" xr:uid="{00000000-0005-0000-0000-000030840000}"/>
    <cellStyle name="Normal 95 4 3 2 3" xfId="15694" xr:uid="{00000000-0005-0000-0000-000031840000}"/>
    <cellStyle name="Normal 95 4 3 2 3 2" xfId="32250" xr:uid="{00000000-0005-0000-0000-000032840000}"/>
    <cellStyle name="Normal 95 4 3 2 4" xfId="24207" xr:uid="{00000000-0005-0000-0000-000033840000}"/>
    <cellStyle name="Normal 95 4 3 3" xfId="10254" xr:uid="{00000000-0005-0000-0000-000034840000}"/>
    <cellStyle name="Normal 95 4 3 3 2" xfId="19428" xr:uid="{00000000-0005-0000-0000-000035840000}"/>
    <cellStyle name="Normal 95 4 3 3 2 2" xfId="36002" xr:uid="{00000000-0005-0000-0000-000036840000}"/>
    <cellStyle name="Normal 95 4 3 3 3" xfId="27955" xr:uid="{00000000-0005-0000-0000-000037840000}"/>
    <cellStyle name="Normal 95 4 3 4" xfId="15693" xr:uid="{00000000-0005-0000-0000-000038840000}"/>
    <cellStyle name="Normal 95 4 3 4 2" xfId="32249" xr:uid="{00000000-0005-0000-0000-000039840000}"/>
    <cellStyle name="Normal 95 4 3 5" xfId="24206" xr:uid="{00000000-0005-0000-0000-00003A840000}"/>
    <cellStyle name="Normal 95 4 4" xfId="6437" xr:uid="{00000000-0005-0000-0000-00003B840000}"/>
    <cellStyle name="Normal 95 4 4 2" xfId="10255" xr:uid="{00000000-0005-0000-0000-00003C840000}"/>
    <cellStyle name="Normal 95 4 4 2 2" xfId="19429" xr:uid="{00000000-0005-0000-0000-00003D840000}"/>
    <cellStyle name="Normal 95 4 4 2 2 2" xfId="36003" xr:uid="{00000000-0005-0000-0000-00003E840000}"/>
    <cellStyle name="Normal 95 4 4 2 3" xfId="27956" xr:uid="{00000000-0005-0000-0000-00003F840000}"/>
    <cellStyle name="Normal 95 4 4 3" xfId="15695" xr:uid="{00000000-0005-0000-0000-000040840000}"/>
    <cellStyle name="Normal 95 4 4 3 2" xfId="32251" xr:uid="{00000000-0005-0000-0000-000041840000}"/>
    <cellStyle name="Normal 95 4 4 4" xfId="24208" xr:uid="{00000000-0005-0000-0000-000042840000}"/>
    <cellStyle name="Normal 95 4 5" xfId="10256" xr:uid="{00000000-0005-0000-0000-000043840000}"/>
    <cellStyle name="Normal 95 4 5 2" xfId="19430" xr:uid="{00000000-0005-0000-0000-000044840000}"/>
    <cellStyle name="Normal 95 4 5 2 2" xfId="36004" xr:uid="{00000000-0005-0000-0000-000045840000}"/>
    <cellStyle name="Normal 95 4 5 3" xfId="27957" xr:uid="{00000000-0005-0000-0000-000046840000}"/>
    <cellStyle name="Normal 95 4 6" xfId="15688" xr:uid="{00000000-0005-0000-0000-000047840000}"/>
    <cellStyle name="Normal 95 4 6 2" xfId="32244" xr:uid="{00000000-0005-0000-0000-000048840000}"/>
    <cellStyle name="Normal 95 4 7" xfId="24201" xr:uid="{00000000-0005-0000-0000-000049840000}"/>
    <cellStyle name="Normal 95 5" xfId="6438" xr:uid="{00000000-0005-0000-0000-00004A840000}"/>
    <cellStyle name="Normal 95 5 2" xfId="6439" xr:uid="{00000000-0005-0000-0000-00004B840000}"/>
    <cellStyle name="Normal 95 5 2 2" xfId="6440" xr:uid="{00000000-0005-0000-0000-00004C840000}"/>
    <cellStyle name="Normal 95 5 2 2 2" xfId="6441" xr:uid="{00000000-0005-0000-0000-00004D840000}"/>
    <cellStyle name="Normal 95 5 2 2 2 2" xfId="10257" xr:uid="{00000000-0005-0000-0000-00004E840000}"/>
    <cellStyle name="Normal 95 5 2 2 2 2 2" xfId="19431" xr:uid="{00000000-0005-0000-0000-00004F840000}"/>
    <cellStyle name="Normal 95 5 2 2 2 2 2 2" xfId="36005" xr:uid="{00000000-0005-0000-0000-000050840000}"/>
    <cellStyle name="Normal 95 5 2 2 2 2 3" xfId="27958" xr:uid="{00000000-0005-0000-0000-000051840000}"/>
    <cellStyle name="Normal 95 5 2 2 2 3" xfId="15699" xr:uid="{00000000-0005-0000-0000-000052840000}"/>
    <cellStyle name="Normal 95 5 2 2 2 3 2" xfId="32255" xr:uid="{00000000-0005-0000-0000-000053840000}"/>
    <cellStyle name="Normal 95 5 2 2 2 4" xfId="24212" xr:uid="{00000000-0005-0000-0000-000054840000}"/>
    <cellStyle name="Normal 95 5 2 2 3" xfId="10258" xr:uid="{00000000-0005-0000-0000-000055840000}"/>
    <cellStyle name="Normal 95 5 2 2 3 2" xfId="19432" xr:uid="{00000000-0005-0000-0000-000056840000}"/>
    <cellStyle name="Normal 95 5 2 2 3 2 2" xfId="36006" xr:uid="{00000000-0005-0000-0000-000057840000}"/>
    <cellStyle name="Normal 95 5 2 2 3 3" xfId="27959" xr:uid="{00000000-0005-0000-0000-000058840000}"/>
    <cellStyle name="Normal 95 5 2 2 4" xfId="15698" xr:uid="{00000000-0005-0000-0000-000059840000}"/>
    <cellStyle name="Normal 95 5 2 2 4 2" xfId="32254" xr:uid="{00000000-0005-0000-0000-00005A840000}"/>
    <cellStyle name="Normal 95 5 2 2 5" xfId="24211" xr:uid="{00000000-0005-0000-0000-00005B840000}"/>
    <cellStyle name="Normal 95 5 2 3" xfId="6442" xr:uid="{00000000-0005-0000-0000-00005C840000}"/>
    <cellStyle name="Normal 95 5 2 3 2" xfId="10259" xr:uid="{00000000-0005-0000-0000-00005D840000}"/>
    <cellStyle name="Normal 95 5 2 3 2 2" xfId="19433" xr:uid="{00000000-0005-0000-0000-00005E840000}"/>
    <cellStyle name="Normal 95 5 2 3 2 2 2" xfId="36007" xr:uid="{00000000-0005-0000-0000-00005F840000}"/>
    <cellStyle name="Normal 95 5 2 3 2 3" xfId="27960" xr:uid="{00000000-0005-0000-0000-000060840000}"/>
    <cellStyle name="Normal 95 5 2 3 3" xfId="15700" xr:uid="{00000000-0005-0000-0000-000061840000}"/>
    <cellStyle name="Normal 95 5 2 3 3 2" xfId="32256" xr:uid="{00000000-0005-0000-0000-000062840000}"/>
    <cellStyle name="Normal 95 5 2 3 4" xfId="24213" xr:uid="{00000000-0005-0000-0000-000063840000}"/>
    <cellStyle name="Normal 95 5 2 4" xfId="10260" xr:uid="{00000000-0005-0000-0000-000064840000}"/>
    <cellStyle name="Normal 95 5 2 4 2" xfId="19434" xr:uid="{00000000-0005-0000-0000-000065840000}"/>
    <cellStyle name="Normal 95 5 2 4 2 2" xfId="36008" xr:uid="{00000000-0005-0000-0000-000066840000}"/>
    <cellStyle name="Normal 95 5 2 4 3" xfId="27961" xr:uid="{00000000-0005-0000-0000-000067840000}"/>
    <cellStyle name="Normal 95 5 2 5" xfId="15697" xr:uid="{00000000-0005-0000-0000-000068840000}"/>
    <cellStyle name="Normal 95 5 2 5 2" xfId="32253" xr:uid="{00000000-0005-0000-0000-000069840000}"/>
    <cellStyle name="Normal 95 5 2 6" xfId="24210" xr:uid="{00000000-0005-0000-0000-00006A840000}"/>
    <cellStyle name="Normal 95 5 3" xfId="6443" xr:uid="{00000000-0005-0000-0000-00006B840000}"/>
    <cellStyle name="Normal 95 5 3 2" xfId="6444" xr:uid="{00000000-0005-0000-0000-00006C840000}"/>
    <cellStyle name="Normal 95 5 3 2 2" xfId="10261" xr:uid="{00000000-0005-0000-0000-00006D840000}"/>
    <cellStyle name="Normal 95 5 3 2 2 2" xfId="19435" xr:uid="{00000000-0005-0000-0000-00006E840000}"/>
    <cellStyle name="Normal 95 5 3 2 2 2 2" xfId="36009" xr:uid="{00000000-0005-0000-0000-00006F840000}"/>
    <cellStyle name="Normal 95 5 3 2 2 3" xfId="27962" xr:uid="{00000000-0005-0000-0000-000070840000}"/>
    <cellStyle name="Normal 95 5 3 2 3" xfId="15702" xr:uid="{00000000-0005-0000-0000-000071840000}"/>
    <cellStyle name="Normal 95 5 3 2 3 2" xfId="32258" xr:uid="{00000000-0005-0000-0000-000072840000}"/>
    <cellStyle name="Normal 95 5 3 2 4" xfId="24215" xr:uid="{00000000-0005-0000-0000-000073840000}"/>
    <cellStyle name="Normal 95 5 3 3" xfId="10262" xr:uid="{00000000-0005-0000-0000-000074840000}"/>
    <cellStyle name="Normal 95 5 3 3 2" xfId="19436" xr:uid="{00000000-0005-0000-0000-000075840000}"/>
    <cellStyle name="Normal 95 5 3 3 2 2" xfId="36010" xr:uid="{00000000-0005-0000-0000-000076840000}"/>
    <cellStyle name="Normal 95 5 3 3 3" xfId="27963" xr:uid="{00000000-0005-0000-0000-000077840000}"/>
    <cellStyle name="Normal 95 5 3 4" xfId="15701" xr:uid="{00000000-0005-0000-0000-000078840000}"/>
    <cellStyle name="Normal 95 5 3 4 2" xfId="32257" xr:uid="{00000000-0005-0000-0000-000079840000}"/>
    <cellStyle name="Normal 95 5 3 5" xfId="24214" xr:uid="{00000000-0005-0000-0000-00007A840000}"/>
    <cellStyle name="Normal 95 5 4" xfId="6445" xr:uid="{00000000-0005-0000-0000-00007B840000}"/>
    <cellStyle name="Normal 95 5 4 2" xfId="10263" xr:uid="{00000000-0005-0000-0000-00007C840000}"/>
    <cellStyle name="Normal 95 5 4 2 2" xfId="19437" xr:uid="{00000000-0005-0000-0000-00007D840000}"/>
    <cellStyle name="Normal 95 5 4 2 2 2" xfId="36011" xr:uid="{00000000-0005-0000-0000-00007E840000}"/>
    <cellStyle name="Normal 95 5 4 2 3" xfId="27964" xr:uid="{00000000-0005-0000-0000-00007F840000}"/>
    <cellStyle name="Normal 95 5 4 3" xfId="15703" xr:uid="{00000000-0005-0000-0000-000080840000}"/>
    <cellStyle name="Normal 95 5 4 3 2" xfId="32259" xr:uid="{00000000-0005-0000-0000-000081840000}"/>
    <cellStyle name="Normal 95 5 4 4" xfId="24216" xr:uid="{00000000-0005-0000-0000-000082840000}"/>
    <cellStyle name="Normal 95 5 5" xfId="10264" xr:uid="{00000000-0005-0000-0000-000083840000}"/>
    <cellStyle name="Normal 95 5 5 2" xfId="19438" xr:uid="{00000000-0005-0000-0000-000084840000}"/>
    <cellStyle name="Normal 95 5 5 2 2" xfId="36012" xr:uid="{00000000-0005-0000-0000-000085840000}"/>
    <cellStyle name="Normal 95 5 5 3" xfId="27965" xr:uid="{00000000-0005-0000-0000-000086840000}"/>
    <cellStyle name="Normal 95 5 6" xfId="15696" xr:uid="{00000000-0005-0000-0000-000087840000}"/>
    <cellStyle name="Normal 95 5 6 2" xfId="32252" xr:uid="{00000000-0005-0000-0000-000088840000}"/>
    <cellStyle name="Normal 95 5 7" xfId="24209" xr:uid="{00000000-0005-0000-0000-000089840000}"/>
    <cellStyle name="Normal 95 6" xfId="6446" xr:uid="{00000000-0005-0000-0000-00008A840000}"/>
    <cellStyle name="Normal 95 6 2" xfId="6447" xr:uid="{00000000-0005-0000-0000-00008B840000}"/>
    <cellStyle name="Normal 95 6 2 2" xfId="6448" xr:uid="{00000000-0005-0000-0000-00008C840000}"/>
    <cellStyle name="Normal 95 6 2 2 2" xfId="10265" xr:uid="{00000000-0005-0000-0000-00008D840000}"/>
    <cellStyle name="Normal 95 6 2 2 2 2" xfId="19439" xr:uid="{00000000-0005-0000-0000-00008E840000}"/>
    <cellStyle name="Normal 95 6 2 2 2 2 2" xfId="36013" xr:uid="{00000000-0005-0000-0000-00008F840000}"/>
    <cellStyle name="Normal 95 6 2 2 2 3" xfId="27966" xr:uid="{00000000-0005-0000-0000-000090840000}"/>
    <cellStyle name="Normal 95 6 2 2 3" xfId="15706" xr:uid="{00000000-0005-0000-0000-000091840000}"/>
    <cellStyle name="Normal 95 6 2 2 3 2" xfId="32262" xr:uid="{00000000-0005-0000-0000-000092840000}"/>
    <cellStyle name="Normal 95 6 2 2 4" xfId="24219" xr:uid="{00000000-0005-0000-0000-000093840000}"/>
    <cellStyle name="Normal 95 6 2 3" xfId="10266" xr:uid="{00000000-0005-0000-0000-000094840000}"/>
    <cellStyle name="Normal 95 6 2 3 2" xfId="19440" xr:uid="{00000000-0005-0000-0000-000095840000}"/>
    <cellStyle name="Normal 95 6 2 3 2 2" xfId="36014" xr:uid="{00000000-0005-0000-0000-000096840000}"/>
    <cellStyle name="Normal 95 6 2 3 3" xfId="27967" xr:uid="{00000000-0005-0000-0000-000097840000}"/>
    <cellStyle name="Normal 95 6 2 4" xfId="15705" xr:uid="{00000000-0005-0000-0000-000098840000}"/>
    <cellStyle name="Normal 95 6 2 4 2" xfId="32261" xr:uid="{00000000-0005-0000-0000-000099840000}"/>
    <cellStyle name="Normal 95 6 2 5" xfId="24218" xr:uid="{00000000-0005-0000-0000-00009A840000}"/>
    <cellStyle name="Normal 95 6 3" xfId="6449" xr:uid="{00000000-0005-0000-0000-00009B840000}"/>
    <cellStyle name="Normal 95 6 3 2" xfId="10267" xr:uid="{00000000-0005-0000-0000-00009C840000}"/>
    <cellStyle name="Normal 95 6 3 2 2" xfId="19441" xr:uid="{00000000-0005-0000-0000-00009D840000}"/>
    <cellStyle name="Normal 95 6 3 2 2 2" xfId="36015" xr:uid="{00000000-0005-0000-0000-00009E840000}"/>
    <cellStyle name="Normal 95 6 3 2 3" xfId="27968" xr:uid="{00000000-0005-0000-0000-00009F840000}"/>
    <cellStyle name="Normal 95 6 3 3" xfId="15707" xr:uid="{00000000-0005-0000-0000-0000A0840000}"/>
    <cellStyle name="Normal 95 6 3 3 2" xfId="32263" xr:uid="{00000000-0005-0000-0000-0000A1840000}"/>
    <cellStyle name="Normal 95 6 3 4" xfId="24220" xr:uid="{00000000-0005-0000-0000-0000A2840000}"/>
    <cellStyle name="Normal 95 6 4" xfId="10268" xr:uid="{00000000-0005-0000-0000-0000A3840000}"/>
    <cellStyle name="Normal 95 6 4 2" xfId="19442" xr:uid="{00000000-0005-0000-0000-0000A4840000}"/>
    <cellStyle name="Normal 95 6 4 2 2" xfId="36016" xr:uid="{00000000-0005-0000-0000-0000A5840000}"/>
    <cellStyle name="Normal 95 6 4 3" xfId="27969" xr:uid="{00000000-0005-0000-0000-0000A6840000}"/>
    <cellStyle name="Normal 95 6 5" xfId="15704" xr:uid="{00000000-0005-0000-0000-0000A7840000}"/>
    <cellStyle name="Normal 95 6 5 2" xfId="32260" xr:uid="{00000000-0005-0000-0000-0000A8840000}"/>
    <cellStyle name="Normal 95 6 6" xfId="24217" xr:uid="{00000000-0005-0000-0000-0000A9840000}"/>
    <cellStyle name="Normal 95 7" xfId="6450" xr:uid="{00000000-0005-0000-0000-0000AA840000}"/>
    <cellStyle name="Normal 95 7 2" xfId="6451" xr:uid="{00000000-0005-0000-0000-0000AB840000}"/>
    <cellStyle name="Normal 95 7 2 2" xfId="10269" xr:uid="{00000000-0005-0000-0000-0000AC840000}"/>
    <cellStyle name="Normal 95 7 2 2 2" xfId="19443" xr:uid="{00000000-0005-0000-0000-0000AD840000}"/>
    <cellStyle name="Normal 95 7 2 2 2 2" xfId="36017" xr:uid="{00000000-0005-0000-0000-0000AE840000}"/>
    <cellStyle name="Normal 95 7 2 2 3" xfId="27970" xr:uid="{00000000-0005-0000-0000-0000AF840000}"/>
    <cellStyle name="Normal 95 7 2 3" xfId="15709" xr:uid="{00000000-0005-0000-0000-0000B0840000}"/>
    <cellStyle name="Normal 95 7 2 3 2" xfId="32265" xr:uid="{00000000-0005-0000-0000-0000B1840000}"/>
    <cellStyle name="Normal 95 7 2 4" xfId="24222" xr:uid="{00000000-0005-0000-0000-0000B2840000}"/>
    <cellStyle name="Normal 95 7 3" xfId="10270" xr:uid="{00000000-0005-0000-0000-0000B3840000}"/>
    <cellStyle name="Normal 95 7 3 2" xfId="19444" xr:uid="{00000000-0005-0000-0000-0000B4840000}"/>
    <cellStyle name="Normal 95 7 3 2 2" xfId="36018" xr:uid="{00000000-0005-0000-0000-0000B5840000}"/>
    <cellStyle name="Normal 95 7 3 3" xfId="27971" xr:uid="{00000000-0005-0000-0000-0000B6840000}"/>
    <cellStyle name="Normal 95 7 4" xfId="15708" xr:uid="{00000000-0005-0000-0000-0000B7840000}"/>
    <cellStyle name="Normal 95 7 4 2" xfId="32264" xr:uid="{00000000-0005-0000-0000-0000B8840000}"/>
    <cellStyle name="Normal 95 7 5" xfId="24221" xr:uid="{00000000-0005-0000-0000-0000B9840000}"/>
    <cellStyle name="Normal 95 8" xfId="6452" xr:uid="{00000000-0005-0000-0000-0000BA840000}"/>
    <cellStyle name="Normal 95 8 2" xfId="10271" xr:uid="{00000000-0005-0000-0000-0000BB840000}"/>
    <cellStyle name="Normal 95 8 2 2" xfId="19445" xr:uid="{00000000-0005-0000-0000-0000BC840000}"/>
    <cellStyle name="Normal 95 8 2 2 2" xfId="36019" xr:uid="{00000000-0005-0000-0000-0000BD840000}"/>
    <cellStyle name="Normal 95 8 2 3" xfId="27972" xr:uid="{00000000-0005-0000-0000-0000BE840000}"/>
    <cellStyle name="Normal 95 8 3" xfId="15710" xr:uid="{00000000-0005-0000-0000-0000BF840000}"/>
    <cellStyle name="Normal 95 8 3 2" xfId="32266" xr:uid="{00000000-0005-0000-0000-0000C0840000}"/>
    <cellStyle name="Normal 95 8 4" xfId="24223" xr:uid="{00000000-0005-0000-0000-0000C1840000}"/>
    <cellStyle name="Normal 95 9" xfId="10272" xr:uid="{00000000-0005-0000-0000-0000C2840000}"/>
    <cellStyle name="Normal 95 9 2" xfId="19446" xr:uid="{00000000-0005-0000-0000-0000C3840000}"/>
    <cellStyle name="Normal 95 9 2 2" xfId="36020" xr:uid="{00000000-0005-0000-0000-0000C4840000}"/>
    <cellStyle name="Normal 95 9 3" xfId="27973" xr:uid="{00000000-0005-0000-0000-0000C5840000}"/>
    <cellStyle name="Normal 96" xfId="6453" xr:uid="{00000000-0005-0000-0000-0000C6840000}"/>
    <cellStyle name="Normal 96 10" xfId="15711" xr:uid="{00000000-0005-0000-0000-0000C7840000}"/>
    <cellStyle name="Normal 96 10 2" xfId="32267" xr:uid="{00000000-0005-0000-0000-0000C8840000}"/>
    <cellStyle name="Normal 96 11" xfId="24224" xr:uid="{00000000-0005-0000-0000-0000C9840000}"/>
    <cellStyle name="Normal 96 2" xfId="6454" xr:uid="{00000000-0005-0000-0000-0000CA840000}"/>
    <cellStyle name="Normal 96 2 2" xfId="6455" xr:uid="{00000000-0005-0000-0000-0000CB840000}"/>
    <cellStyle name="Normal 96 2 3" xfId="15712" xr:uid="{00000000-0005-0000-0000-0000CC840000}"/>
    <cellStyle name="Normal 96 2 3 2" xfId="32268" xr:uid="{00000000-0005-0000-0000-0000CD840000}"/>
    <cellStyle name="Normal 96 2 4" xfId="24225" xr:uid="{00000000-0005-0000-0000-0000CE840000}"/>
    <cellStyle name="Normal 96 3" xfId="6456" xr:uid="{00000000-0005-0000-0000-0000CF840000}"/>
    <cellStyle name="Normal 96 3 2" xfId="6457" xr:uid="{00000000-0005-0000-0000-0000D0840000}"/>
    <cellStyle name="Normal 96 3 2 2" xfId="6458" xr:uid="{00000000-0005-0000-0000-0000D1840000}"/>
    <cellStyle name="Normal 96 3 2 2 2" xfId="6459" xr:uid="{00000000-0005-0000-0000-0000D2840000}"/>
    <cellStyle name="Normal 96 3 2 2 2 2" xfId="10273" xr:uid="{00000000-0005-0000-0000-0000D3840000}"/>
    <cellStyle name="Normal 96 3 2 2 2 2 2" xfId="19447" xr:uid="{00000000-0005-0000-0000-0000D4840000}"/>
    <cellStyle name="Normal 96 3 2 2 2 2 2 2" xfId="36021" xr:uid="{00000000-0005-0000-0000-0000D5840000}"/>
    <cellStyle name="Normal 96 3 2 2 2 2 3" xfId="27974" xr:uid="{00000000-0005-0000-0000-0000D6840000}"/>
    <cellStyle name="Normal 96 3 2 2 2 3" xfId="15715" xr:uid="{00000000-0005-0000-0000-0000D7840000}"/>
    <cellStyle name="Normal 96 3 2 2 2 3 2" xfId="32271" xr:uid="{00000000-0005-0000-0000-0000D8840000}"/>
    <cellStyle name="Normal 96 3 2 2 2 4" xfId="24228" xr:uid="{00000000-0005-0000-0000-0000D9840000}"/>
    <cellStyle name="Normal 96 3 2 2 3" xfId="10274" xr:uid="{00000000-0005-0000-0000-0000DA840000}"/>
    <cellStyle name="Normal 96 3 2 2 3 2" xfId="19448" xr:uid="{00000000-0005-0000-0000-0000DB840000}"/>
    <cellStyle name="Normal 96 3 2 2 3 2 2" xfId="36022" xr:uid="{00000000-0005-0000-0000-0000DC840000}"/>
    <cellStyle name="Normal 96 3 2 2 3 3" xfId="27975" xr:uid="{00000000-0005-0000-0000-0000DD840000}"/>
    <cellStyle name="Normal 96 3 2 2 4" xfId="15714" xr:uid="{00000000-0005-0000-0000-0000DE840000}"/>
    <cellStyle name="Normal 96 3 2 2 4 2" xfId="32270" xr:uid="{00000000-0005-0000-0000-0000DF840000}"/>
    <cellStyle name="Normal 96 3 2 2 5" xfId="24227" xr:uid="{00000000-0005-0000-0000-0000E0840000}"/>
    <cellStyle name="Normal 96 3 2 3" xfId="6460" xr:uid="{00000000-0005-0000-0000-0000E1840000}"/>
    <cellStyle name="Normal 96 3 2 3 2" xfId="10275" xr:uid="{00000000-0005-0000-0000-0000E2840000}"/>
    <cellStyle name="Normal 96 3 2 3 2 2" xfId="19449" xr:uid="{00000000-0005-0000-0000-0000E3840000}"/>
    <cellStyle name="Normal 96 3 2 3 2 2 2" xfId="36023" xr:uid="{00000000-0005-0000-0000-0000E4840000}"/>
    <cellStyle name="Normal 96 3 2 3 2 3" xfId="27976" xr:uid="{00000000-0005-0000-0000-0000E5840000}"/>
    <cellStyle name="Normal 96 3 2 3 3" xfId="15716" xr:uid="{00000000-0005-0000-0000-0000E6840000}"/>
    <cellStyle name="Normal 96 3 2 3 3 2" xfId="32272" xr:uid="{00000000-0005-0000-0000-0000E7840000}"/>
    <cellStyle name="Normal 96 3 2 3 4" xfId="24229" xr:uid="{00000000-0005-0000-0000-0000E8840000}"/>
    <cellStyle name="Normal 96 3 2 4" xfId="10276" xr:uid="{00000000-0005-0000-0000-0000E9840000}"/>
    <cellStyle name="Normal 96 3 2 4 2" xfId="19450" xr:uid="{00000000-0005-0000-0000-0000EA840000}"/>
    <cellStyle name="Normal 96 3 2 4 2 2" xfId="36024" xr:uid="{00000000-0005-0000-0000-0000EB840000}"/>
    <cellStyle name="Normal 96 3 2 4 3" xfId="27977" xr:uid="{00000000-0005-0000-0000-0000EC840000}"/>
    <cellStyle name="Normal 96 3 2 5" xfId="15713" xr:uid="{00000000-0005-0000-0000-0000ED840000}"/>
    <cellStyle name="Normal 96 3 2 5 2" xfId="32269" xr:uid="{00000000-0005-0000-0000-0000EE840000}"/>
    <cellStyle name="Normal 96 3 2 6" xfId="24226" xr:uid="{00000000-0005-0000-0000-0000EF840000}"/>
    <cellStyle name="Normal 96 3 3" xfId="6461" xr:uid="{00000000-0005-0000-0000-0000F0840000}"/>
    <cellStyle name="Normal 96 3 3 2" xfId="6462" xr:uid="{00000000-0005-0000-0000-0000F1840000}"/>
    <cellStyle name="Normal 96 3 3 2 2" xfId="10277" xr:uid="{00000000-0005-0000-0000-0000F2840000}"/>
    <cellStyle name="Normal 96 3 3 2 2 2" xfId="19451" xr:uid="{00000000-0005-0000-0000-0000F3840000}"/>
    <cellStyle name="Normal 96 3 3 2 2 2 2" xfId="36025" xr:uid="{00000000-0005-0000-0000-0000F4840000}"/>
    <cellStyle name="Normal 96 3 3 2 2 3" xfId="27978" xr:uid="{00000000-0005-0000-0000-0000F5840000}"/>
    <cellStyle name="Normal 96 3 3 2 3" xfId="15718" xr:uid="{00000000-0005-0000-0000-0000F6840000}"/>
    <cellStyle name="Normal 96 3 3 2 3 2" xfId="32274" xr:uid="{00000000-0005-0000-0000-0000F7840000}"/>
    <cellStyle name="Normal 96 3 3 2 4" xfId="24231" xr:uid="{00000000-0005-0000-0000-0000F8840000}"/>
    <cellStyle name="Normal 96 3 3 3" xfId="10278" xr:uid="{00000000-0005-0000-0000-0000F9840000}"/>
    <cellStyle name="Normal 96 3 3 3 2" xfId="19452" xr:uid="{00000000-0005-0000-0000-0000FA840000}"/>
    <cellStyle name="Normal 96 3 3 3 2 2" xfId="36026" xr:uid="{00000000-0005-0000-0000-0000FB840000}"/>
    <cellStyle name="Normal 96 3 3 3 3" xfId="27979" xr:uid="{00000000-0005-0000-0000-0000FC840000}"/>
    <cellStyle name="Normal 96 3 3 4" xfId="15717" xr:uid="{00000000-0005-0000-0000-0000FD840000}"/>
    <cellStyle name="Normal 96 3 3 4 2" xfId="32273" xr:uid="{00000000-0005-0000-0000-0000FE840000}"/>
    <cellStyle name="Normal 96 3 3 5" xfId="24230" xr:uid="{00000000-0005-0000-0000-0000FF840000}"/>
    <cellStyle name="Normal 96 3 4" xfId="6463" xr:uid="{00000000-0005-0000-0000-000000850000}"/>
    <cellStyle name="Normal 96 3 4 2" xfId="10279" xr:uid="{00000000-0005-0000-0000-000001850000}"/>
    <cellStyle name="Normal 96 3 4 2 2" xfId="19453" xr:uid="{00000000-0005-0000-0000-000002850000}"/>
    <cellStyle name="Normal 96 3 4 2 2 2" xfId="36027" xr:uid="{00000000-0005-0000-0000-000003850000}"/>
    <cellStyle name="Normal 96 3 4 2 3" xfId="27980" xr:uid="{00000000-0005-0000-0000-000004850000}"/>
    <cellStyle name="Normal 96 3 4 3" xfId="15719" xr:uid="{00000000-0005-0000-0000-000005850000}"/>
    <cellStyle name="Normal 96 3 4 3 2" xfId="32275" xr:uid="{00000000-0005-0000-0000-000006850000}"/>
    <cellStyle name="Normal 96 3 4 4" xfId="24232" xr:uid="{00000000-0005-0000-0000-000007850000}"/>
    <cellStyle name="Normal 96 3 5" xfId="6464" xr:uid="{00000000-0005-0000-0000-000008850000}"/>
    <cellStyle name="Normal 96 3 5 2" xfId="15720" xr:uid="{00000000-0005-0000-0000-000009850000}"/>
    <cellStyle name="Normal 96 3 5 2 2" xfId="32276" xr:uid="{00000000-0005-0000-0000-00000A850000}"/>
    <cellStyle name="Normal 96 3 5 3" xfId="24233" xr:uid="{00000000-0005-0000-0000-00000B850000}"/>
    <cellStyle name="Normal 96 4" xfId="6465" xr:uid="{00000000-0005-0000-0000-00000C850000}"/>
    <cellStyle name="Normal 96 4 2" xfId="6466" xr:uid="{00000000-0005-0000-0000-00000D850000}"/>
    <cellStyle name="Normal 96 4 2 2" xfId="6467" xr:uid="{00000000-0005-0000-0000-00000E850000}"/>
    <cellStyle name="Normal 96 4 2 2 2" xfId="6468" xr:uid="{00000000-0005-0000-0000-00000F850000}"/>
    <cellStyle name="Normal 96 4 2 2 2 2" xfId="10280" xr:uid="{00000000-0005-0000-0000-000010850000}"/>
    <cellStyle name="Normal 96 4 2 2 2 2 2" xfId="19454" xr:uid="{00000000-0005-0000-0000-000011850000}"/>
    <cellStyle name="Normal 96 4 2 2 2 2 2 2" xfId="36028" xr:uid="{00000000-0005-0000-0000-000012850000}"/>
    <cellStyle name="Normal 96 4 2 2 2 2 3" xfId="27981" xr:uid="{00000000-0005-0000-0000-000013850000}"/>
    <cellStyle name="Normal 96 4 2 2 2 3" xfId="15724" xr:uid="{00000000-0005-0000-0000-000014850000}"/>
    <cellStyle name="Normal 96 4 2 2 2 3 2" xfId="32280" xr:uid="{00000000-0005-0000-0000-000015850000}"/>
    <cellStyle name="Normal 96 4 2 2 2 4" xfId="24237" xr:uid="{00000000-0005-0000-0000-000016850000}"/>
    <cellStyle name="Normal 96 4 2 2 3" xfId="10281" xr:uid="{00000000-0005-0000-0000-000017850000}"/>
    <cellStyle name="Normal 96 4 2 2 3 2" xfId="19455" xr:uid="{00000000-0005-0000-0000-000018850000}"/>
    <cellStyle name="Normal 96 4 2 2 3 2 2" xfId="36029" xr:uid="{00000000-0005-0000-0000-000019850000}"/>
    <cellStyle name="Normal 96 4 2 2 3 3" xfId="27982" xr:uid="{00000000-0005-0000-0000-00001A850000}"/>
    <cellStyle name="Normal 96 4 2 2 4" xfId="15723" xr:uid="{00000000-0005-0000-0000-00001B850000}"/>
    <cellStyle name="Normal 96 4 2 2 4 2" xfId="32279" xr:uid="{00000000-0005-0000-0000-00001C850000}"/>
    <cellStyle name="Normal 96 4 2 2 5" xfId="24236" xr:uid="{00000000-0005-0000-0000-00001D850000}"/>
    <cellStyle name="Normal 96 4 2 3" xfId="6469" xr:uid="{00000000-0005-0000-0000-00001E850000}"/>
    <cellStyle name="Normal 96 4 2 3 2" xfId="10282" xr:uid="{00000000-0005-0000-0000-00001F850000}"/>
    <cellStyle name="Normal 96 4 2 3 2 2" xfId="19456" xr:uid="{00000000-0005-0000-0000-000020850000}"/>
    <cellStyle name="Normal 96 4 2 3 2 2 2" xfId="36030" xr:uid="{00000000-0005-0000-0000-000021850000}"/>
    <cellStyle name="Normal 96 4 2 3 2 3" xfId="27983" xr:uid="{00000000-0005-0000-0000-000022850000}"/>
    <cellStyle name="Normal 96 4 2 3 3" xfId="15725" xr:uid="{00000000-0005-0000-0000-000023850000}"/>
    <cellStyle name="Normal 96 4 2 3 3 2" xfId="32281" xr:uid="{00000000-0005-0000-0000-000024850000}"/>
    <cellStyle name="Normal 96 4 2 3 4" xfId="24238" xr:uid="{00000000-0005-0000-0000-000025850000}"/>
    <cellStyle name="Normal 96 4 2 4" xfId="10283" xr:uid="{00000000-0005-0000-0000-000026850000}"/>
    <cellStyle name="Normal 96 4 2 4 2" xfId="19457" xr:uid="{00000000-0005-0000-0000-000027850000}"/>
    <cellStyle name="Normal 96 4 2 4 2 2" xfId="36031" xr:uid="{00000000-0005-0000-0000-000028850000}"/>
    <cellStyle name="Normal 96 4 2 4 3" xfId="27984" xr:uid="{00000000-0005-0000-0000-000029850000}"/>
    <cellStyle name="Normal 96 4 2 5" xfId="15722" xr:uid="{00000000-0005-0000-0000-00002A850000}"/>
    <cellStyle name="Normal 96 4 2 5 2" xfId="32278" xr:uid="{00000000-0005-0000-0000-00002B850000}"/>
    <cellStyle name="Normal 96 4 2 6" xfId="24235" xr:uid="{00000000-0005-0000-0000-00002C850000}"/>
    <cellStyle name="Normal 96 4 3" xfId="6470" xr:uid="{00000000-0005-0000-0000-00002D850000}"/>
    <cellStyle name="Normal 96 4 3 2" xfId="6471" xr:uid="{00000000-0005-0000-0000-00002E850000}"/>
    <cellStyle name="Normal 96 4 3 2 2" xfId="10284" xr:uid="{00000000-0005-0000-0000-00002F850000}"/>
    <cellStyle name="Normal 96 4 3 2 2 2" xfId="19458" xr:uid="{00000000-0005-0000-0000-000030850000}"/>
    <cellStyle name="Normal 96 4 3 2 2 2 2" xfId="36032" xr:uid="{00000000-0005-0000-0000-000031850000}"/>
    <cellStyle name="Normal 96 4 3 2 2 3" xfId="27985" xr:uid="{00000000-0005-0000-0000-000032850000}"/>
    <cellStyle name="Normal 96 4 3 2 3" xfId="15727" xr:uid="{00000000-0005-0000-0000-000033850000}"/>
    <cellStyle name="Normal 96 4 3 2 3 2" xfId="32283" xr:uid="{00000000-0005-0000-0000-000034850000}"/>
    <cellStyle name="Normal 96 4 3 2 4" xfId="24240" xr:uid="{00000000-0005-0000-0000-000035850000}"/>
    <cellStyle name="Normal 96 4 3 3" xfId="10285" xr:uid="{00000000-0005-0000-0000-000036850000}"/>
    <cellStyle name="Normal 96 4 3 3 2" xfId="19459" xr:uid="{00000000-0005-0000-0000-000037850000}"/>
    <cellStyle name="Normal 96 4 3 3 2 2" xfId="36033" xr:uid="{00000000-0005-0000-0000-000038850000}"/>
    <cellStyle name="Normal 96 4 3 3 3" xfId="27986" xr:uid="{00000000-0005-0000-0000-000039850000}"/>
    <cellStyle name="Normal 96 4 3 4" xfId="15726" xr:uid="{00000000-0005-0000-0000-00003A850000}"/>
    <cellStyle name="Normal 96 4 3 4 2" xfId="32282" xr:uid="{00000000-0005-0000-0000-00003B850000}"/>
    <cellStyle name="Normal 96 4 3 5" xfId="24239" xr:uid="{00000000-0005-0000-0000-00003C850000}"/>
    <cellStyle name="Normal 96 4 4" xfId="6472" xr:uid="{00000000-0005-0000-0000-00003D850000}"/>
    <cellStyle name="Normal 96 4 4 2" xfId="10286" xr:uid="{00000000-0005-0000-0000-00003E850000}"/>
    <cellStyle name="Normal 96 4 4 2 2" xfId="19460" xr:uid="{00000000-0005-0000-0000-00003F850000}"/>
    <cellStyle name="Normal 96 4 4 2 2 2" xfId="36034" xr:uid="{00000000-0005-0000-0000-000040850000}"/>
    <cellStyle name="Normal 96 4 4 2 3" xfId="27987" xr:uid="{00000000-0005-0000-0000-000041850000}"/>
    <cellStyle name="Normal 96 4 4 3" xfId="15728" xr:uid="{00000000-0005-0000-0000-000042850000}"/>
    <cellStyle name="Normal 96 4 4 3 2" xfId="32284" xr:uid="{00000000-0005-0000-0000-000043850000}"/>
    <cellStyle name="Normal 96 4 4 4" xfId="24241" xr:uid="{00000000-0005-0000-0000-000044850000}"/>
    <cellStyle name="Normal 96 4 5" xfId="10287" xr:uid="{00000000-0005-0000-0000-000045850000}"/>
    <cellStyle name="Normal 96 4 5 2" xfId="19461" xr:uid="{00000000-0005-0000-0000-000046850000}"/>
    <cellStyle name="Normal 96 4 5 2 2" xfId="36035" xr:uid="{00000000-0005-0000-0000-000047850000}"/>
    <cellStyle name="Normal 96 4 5 3" xfId="27988" xr:uid="{00000000-0005-0000-0000-000048850000}"/>
    <cellStyle name="Normal 96 4 6" xfId="15721" xr:uid="{00000000-0005-0000-0000-000049850000}"/>
    <cellStyle name="Normal 96 4 6 2" xfId="32277" xr:uid="{00000000-0005-0000-0000-00004A850000}"/>
    <cellStyle name="Normal 96 4 7" xfId="24234" xr:uid="{00000000-0005-0000-0000-00004B850000}"/>
    <cellStyle name="Normal 96 5" xfId="6473" xr:uid="{00000000-0005-0000-0000-00004C850000}"/>
    <cellStyle name="Normal 96 5 2" xfId="6474" xr:uid="{00000000-0005-0000-0000-00004D850000}"/>
    <cellStyle name="Normal 96 5 2 2" xfId="6475" xr:uid="{00000000-0005-0000-0000-00004E850000}"/>
    <cellStyle name="Normal 96 5 2 2 2" xfId="6476" xr:uid="{00000000-0005-0000-0000-00004F850000}"/>
    <cellStyle name="Normal 96 5 2 2 2 2" xfId="10288" xr:uid="{00000000-0005-0000-0000-000050850000}"/>
    <cellStyle name="Normal 96 5 2 2 2 2 2" xfId="19462" xr:uid="{00000000-0005-0000-0000-000051850000}"/>
    <cellStyle name="Normal 96 5 2 2 2 2 2 2" xfId="36036" xr:uid="{00000000-0005-0000-0000-000052850000}"/>
    <cellStyle name="Normal 96 5 2 2 2 2 3" xfId="27989" xr:uid="{00000000-0005-0000-0000-000053850000}"/>
    <cellStyle name="Normal 96 5 2 2 2 3" xfId="15732" xr:uid="{00000000-0005-0000-0000-000054850000}"/>
    <cellStyle name="Normal 96 5 2 2 2 3 2" xfId="32288" xr:uid="{00000000-0005-0000-0000-000055850000}"/>
    <cellStyle name="Normal 96 5 2 2 2 4" xfId="24245" xr:uid="{00000000-0005-0000-0000-000056850000}"/>
    <cellStyle name="Normal 96 5 2 2 3" xfId="10289" xr:uid="{00000000-0005-0000-0000-000057850000}"/>
    <cellStyle name="Normal 96 5 2 2 3 2" xfId="19463" xr:uid="{00000000-0005-0000-0000-000058850000}"/>
    <cellStyle name="Normal 96 5 2 2 3 2 2" xfId="36037" xr:uid="{00000000-0005-0000-0000-000059850000}"/>
    <cellStyle name="Normal 96 5 2 2 3 3" xfId="27990" xr:uid="{00000000-0005-0000-0000-00005A850000}"/>
    <cellStyle name="Normal 96 5 2 2 4" xfId="15731" xr:uid="{00000000-0005-0000-0000-00005B850000}"/>
    <cellStyle name="Normal 96 5 2 2 4 2" xfId="32287" xr:uid="{00000000-0005-0000-0000-00005C850000}"/>
    <cellStyle name="Normal 96 5 2 2 5" xfId="24244" xr:uid="{00000000-0005-0000-0000-00005D850000}"/>
    <cellStyle name="Normal 96 5 2 3" xfId="6477" xr:uid="{00000000-0005-0000-0000-00005E850000}"/>
    <cellStyle name="Normal 96 5 2 3 2" xfId="10290" xr:uid="{00000000-0005-0000-0000-00005F850000}"/>
    <cellStyle name="Normal 96 5 2 3 2 2" xfId="19464" xr:uid="{00000000-0005-0000-0000-000060850000}"/>
    <cellStyle name="Normal 96 5 2 3 2 2 2" xfId="36038" xr:uid="{00000000-0005-0000-0000-000061850000}"/>
    <cellStyle name="Normal 96 5 2 3 2 3" xfId="27991" xr:uid="{00000000-0005-0000-0000-000062850000}"/>
    <cellStyle name="Normal 96 5 2 3 3" xfId="15733" xr:uid="{00000000-0005-0000-0000-000063850000}"/>
    <cellStyle name="Normal 96 5 2 3 3 2" xfId="32289" xr:uid="{00000000-0005-0000-0000-000064850000}"/>
    <cellStyle name="Normal 96 5 2 3 4" xfId="24246" xr:uid="{00000000-0005-0000-0000-000065850000}"/>
    <cellStyle name="Normal 96 5 2 4" xfId="10291" xr:uid="{00000000-0005-0000-0000-000066850000}"/>
    <cellStyle name="Normal 96 5 2 4 2" xfId="19465" xr:uid="{00000000-0005-0000-0000-000067850000}"/>
    <cellStyle name="Normal 96 5 2 4 2 2" xfId="36039" xr:uid="{00000000-0005-0000-0000-000068850000}"/>
    <cellStyle name="Normal 96 5 2 4 3" xfId="27992" xr:uid="{00000000-0005-0000-0000-000069850000}"/>
    <cellStyle name="Normal 96 5 2 5" xfId="15730" xr:uid="{00000000-0005-0000-0000-00006A850000}"/>
    <cellStyle name="Normal 96 5 2 5 2" xfId="32286" xr:uid="{00000000-0005-0000-0000-00006B850000}"/>
    <cellStyle name="Normal 96 5 2 6" xfId="24243" xr:uid="{00000000-0005-0000-0000-00006C850000}"/>
    <cellStyle name="Normal 96 5 3" xfId="6478" xr:uid="{00000000-0005-0000-0000-00006D850000}"/>
    <cellStyle name="Normal 96 5 3 2" xfId="6479" xr:uid="{00000000-0005-0000-0000-00006E850000}"/>
    <cellStyle name="Normal 96 5 3 2 2" xfId="10292" xr:uid="{00000000-0005-0000-0000-00006F850000}"/>
    <cellStyle name="Normal 96 5 3 2 2 2" xfId="19466" xr:uid="{00000000-0005-0000-0000-000070850000}"/>
    <cellStyle name="Normal 96 5 3 2 2 2 2" xfId="36040" xr:uid="{00000000-0005-0000-0000-000071850000}"/>
    <cellStyle name="Normal 96 5 3 2 2 3" xfId="27993" xr:uid="{00000000-0005-0000-0000-000072850000}"/>
    <cellStyle name="Normal 96 5 3 2 3" xfId="15735" xr:uid="{00000000-0005-0000-0000-000073850000}"/>
    <cellStyle name="Normal 96 5 3 2 3 2" xfId="32291" xr:uid="{00000000-0005-0000-0000-000074850000}"/>
    <cellStyle name="Normal 96 5 3 2 4" xfId="24248" xr:uid="{00000000-0005-0000-0000-000075850000}"/>
    <cellStyle name="Normal 96 5 3 3" xfId="10293" xr:uid="{00000000-0005-0000-0000-000076850000}"/>
    <cellStyle name="Normal 96 5 3 3 2" xfId="19467" xr:uid="{00000000-0005-0000-0000-000077850000}"/>
    <cellStyle name="Normal 96 5 3 3 2 2" xfId="36041" xr:uid="{00000000-0005-0000-0000-000078850000}"/>
    <cellStyle name="Normal 96 5 3 3 3" xfId="27994" xr:uid="{00000000-0005-0000-0000-000079850000}"/>
    <cellStyle name="Normal 96 5 3 4" xfId="15734" xr:uid="{00000000-0005-0000-0000-00007A850000}"/>
    <cellStyle name="Normal 96 5 3 4 2" xfId="32290" xr:uid="{00000000-0005-0000-0000-00007B850000}"/>
    <cellStyle name="Normal 96 5 3 5" xfId="24247" xr:uid="{00000000-0005-0000-0000-00007C850000}"/>
    <cellStyle name="Normal 96 5 4" xfId="6480" xr:uid="{00000000-0005-0000-0000-00007D850000}"/>
    <cellStyle name="Normal 96 5 4 2" xfId="10294" xr:uid="{00000000-0005-0000-0000-00007E850000}"/>
    <cellStyle name="Normal 96 5 4 2 2" xfId="19468" xr:uid="{00000000-0005-0000-0000-00007F850000}"/>
    <cellStyle name="Normal 96 5 4 2 2 2" xfId="36042" xr:uid="{00000000-0005-0000-0000-000080850000}"/>
    <cellStyle name="Normal 96 5 4 2 3" xfId="27995" xr:uid="{00000000-0005-0000-0000-000081850000}"/>
    <cellStyle name="Normal 96 5 4 3" xfId="15736" xr:uid="{00000000-0005-0000-0000-000082850000}"/>
    <cellStyle name="Normal 96 5 4 3 2" xfId="32292" xr:uid="{00000000-0005-0000-0000-000083850000}"/>
    <cellStyle name="Normal 96 5 4 4" xfId="24249" xr:uid="{00000000-0005-0000-0000-000084850000}"/>
    <cellStyle name="Normal 96 5 5" xfId="10295" xr:uid="{00000000-0005-0000-0000-000085850000}"/>
    <cellStyle name="Normal 96 5 5 2" xfId="19469" xr:uid="{00000000-0005-0000-0000-000086850000}"/>
    <cellStyle name="Normal 96 5 5 2 2" xfId="36043" xr:uid="{00000000-0005-0000-0000-000087850000}"/>
    <cellStyle name="Normal 96 5 5 3" xfId="27996" xr:uid="{00000000-0005-0000-0000-000088850000}"/>
    <cellStyle name="Normal 96 5 6" xfId="15729" xr:uid="{00000000-0005-0000-0000-000089850000}"/>
    <cellStyle name="Normal 96 5 6 2" xfId="32285" xr:uid="{00000000-0005-0000-0000-00008A850000}"/>
    <cellStyle name="Normal 96 5 7" xfId="24242" xr:uid="{00000000-0005-0000-0000-00008B850000}"/>
    <cellStyle name="Normal 96 6" xfId="6481" xr:uid="{00000000-0005-0000-0000-00008C850000}"/>
    <cellStyle name="Normal 96 6 2" xfId="6482" xr:uid="{00000000-0005-0000-0000-00008D850000}"/>
    <cellStyle name="Normal 96 6 2 2" xfId="6483" xr:uid="{00000000-0005-0000-0000-00008E850000}"/>
    <cellStyle name="Normal 96 6 2 2 2" xfId="10296" xr:uid="{00000000-0005-0000-0000-00008F850000}"/>
    <cellStyle name="Normal 96 6 2 2 2 2" xfId="19470" xr:uid="{00000000-0005-0000-0000-000090850000}"/>
    <cellStyle name="Normal 96 6 2 2 2 2 2" xfId="36044" xr:uid="{00000000-0005-0000-0000-000091850000}"/>
    <cellStyle name="Normal 96 6 2 2 2 3" xfId="27997" xr:uid="{00000000-0005-0000-0000-000092850000}"/>
    <cellStyle name="Normal 96 6 2 2 3" xfId="15739" xr:uid="{00000000-0005-0000-0000-000093850000}"/>
    <cellStyle name="Normal 96 6 2 2 3 2" xfId="32295" xr:uid="{00000000-0005-0000-0000-000094850000}"/>
    <cellStyle name="Normal 96 6 2 2 4" xfId="24252" xr:uid="{00000000-0005-0000-0000-000095850000}"/>
    <cellStyle name="Normal 96 6 2 3" xfId="10297" xr:uid="{00000000-0005-0000-0000-000096850000}"/>
    <cellStyle name="Normal 96 6 2 3 2" xfId="19471" xr:uid="{00000000-0005-0000-0000-000097850000}"/>
    <cellStyle name="Normal 96 6 2 3 2 2" xfId="36045" xr:uid="{00000000-0005-0000-0000-000098850000}"/>
    <cellStyle name="Normal 96 6 2 3 3" xfId="27998" xr:uid="{00000000-0005-0000-0000-000099850000}"/>
    <cellStyle name="Normal 96 6 2 4" xfId="15738" xr:uid="{00000000-0005-0000-0000-00009A850000}"/>
    <cellStyle name="Normal 96 6 2 4 2" xfId="32294" xr:uid="{00000000-0005-0000-0000-00009B850000}"/>
    <cellStyle name="Normal 96 6 2 5" xfId="24251" xr:uid="{00000000-0005-0000-0000-00009C850000}"/>
    <cellStyle name="Normal 96 6 3" xfId="6484" xr:uid="{00000000-0005-0000-0000-00009D850000}"/>
    <cellStyle name="Normal 96 6 3 2" xfId="10298" xr:uid="{00000000-0005-0000-0000-00009E850000}"/>
    <cellStyle name="Normal 96 6 3 2 2" xfId="19472" xr:uid="{00000000-0005-0000-0000-00009F850000}"/>
    <cellStyle name="Normal 96 6 3 2 2 2" xfId="36046" xr:uid="{00000000-0005-0000-0000-0000A0850000}"/>
    <cellStyle name="Normal 96 6 3 2 3" xfId="27999" xr:uid="{00000000-0005-0000-0000-0000A1850000}"/>
    <cellStyle name="Normal 96 6 3 3" xfId="15740" xr:uid="{00000000-0005-0000-0000-0000A2850000}"/>
    <cellStyle name="Normal 96 6 3 3 2" xfId="32296" xr:uid="{00000000-0005-0000-0000-0000A3850000}"/>
    <cellStyle name="Normal 96 6 3 4" xfId="24253" xr:uid="{00000000-0005-0000-0000-0000A4850000}"/>
    <cellStyle name="Normal 96 6 4" xfId="10299" xr:uid="{00000000-0005-0000-0000-0000A5850000}"/>
    <cellStyle name="Normal 96 6 4 2" xfId="19473" xr:uid="{00000000-0005-0000-0000-0000A6850000}"/>
    <cellStyle name="Normal 96 6 4 2 2" xfId="36047" xr:uid="{00000000-0005-0000-0000-0000A7850000}"/>
    <cellStyle name="Normal 96 6 4 3" xfId="28000" xr:uid="{00000000-0005-0000-0000-0000A8850000}"/>
    <cellStyle name="Normal 96 6 5" xfId="15737" xr:uid="{00000000-0005-0000-0000-0000A9850000}"/>
    <cellStyle name="Normal 96 6 5 2" xfId="32293" xr:uid="{00000000-0005-0000-0000-0000AA850000}"/>
    <cellStyle name="Normal 96 6 6" xfId="24250" xr:uid="{00000000-0005-0000-0000-0000AB850000}"/>
    <cellStyle name="Normal 96 7" xfId="6485" xr:uid="{00000000-0005-0000-0000-0000AC850000}"/>
    <cellStyle name="Normal 96 7 2" xfId="6486" xr:uid="{00000000-0005-0000-0000-0000AD850000}"/>
    <cellStyle name="Normal 96 7 2 2" xfId="10300" xr:uid="{00000000-0005-0000-0000-0000AE850000}"/>
    <cellStyle name="Normal 96 7 2 2 2" xfId="19474" xr:uid="{00000000-0005-0000-0000-0000AF850000}"/>
    <cellStyle name="Normal 96 7 2 2 2 2" xfId="36048" xr:uid="{00000000-0005-0000-0000-0000B0850000}"/>
    <cellStyle name="Normal 96 7 2 2 3" xfId="28001" xr:uid="{00000000-0005-0000-0000-0000B1850000}"/>
    <cellStyle name="Normal 96 7 2 3" xfId="15742" xr:uid="{00000000-0005-0000-0000-0000B2850000}"/>
    <cellStyle name="Normal 96 7 2 3 2" xfId="32298" xr:uid="{00000000-0005-0000-0000-0000B3850000}"/>
    <cellStyle name="Normal 96 7 2 4" xfId="24255" xr:uid="{00000000-0005-0000-0000-0000B4850000}"/>
    <cellStyle name="Normal 96 7 3" xfId="10301" xr:uid="{00000000-0005-0000-0000-0000B5850000}"/>
    <cellStyle name="Normal 96 7 3 2" xfId="19475" xr:uid="{00000000-0005-0000-0000-0000B6850000}"/>
    <cellStyle name="Normal 96 7 3 2 2" xfId="36049" xr:uid="{00000000-0005-0000-0000-0000B7850000}"/>
    <cellStyle name="Normal 96 7 3 3" xfId="28002" xr:uid="{00000000-0005-0000-0000-0000B8850000}"/>
    <cellStyle name="Normal 96 7 4" xfId="15741" xr:uid="{00000000-0005-0000-0000-0000B9850000}"/>
    <cellStyle name="Normal 96 7 4 2" xfId="32297" xr:uid="{00000000-0005-0000-0000-0000BA850000}"/>
    <cellStyle name="Normal 96 7 5" xfId="24254" xr:uid="{00000000-0005-0000-0000-0000BB850000}"/>
    <cellStyle name="Normal 96 8" xfId="6487" xr:uid="{00000000-0005-0000-0000-0000BC850000}"/>
    <cellStyle name="Normal 96 8 2" xfId="10302" xr:uid="{00000000-0005-0000-0000-0000BD850000}"/>
    <cellStyle name="Normal 96 8 2 2" xfId="19476" xr:uid="{00000000-0005-0000-0000-0000BE850000}"/>
    <cellStyle name="Normal 96 8 2 2 2" xfId="36050" xr:uid="{00000000-0005-0000-0000-0000BF850000}"/>
    <cellStyle name="Normal 96 8 2 3" xfId="28003" xr:uid="{00000000-0005-0000-0000-0000C0850000}"/>
    <cellStyle name="Normal 96 8 3" xfId="15743" xr:uid="{00000000-0005-0000-0000-0000C1850000}"/>
    <cellStyle name="Normal 96 8 3 2" xfId="32299" xr:uid="{00000000-0005-0000-0000-0000C2850000}"/>
    <cellStyle name="Normal 96 8 4" xfId="24256" xr:uid="{00000000-0005-0000-0000-0000C3850000}"/>
    <cellStyle name="Normal 96 9" xfId="10303" xr:uid="{00000000-0005-0000-0000-0000C4850000}"/>
    <cellStyle name="Normal 96 9 2" xfId="19477" xr:uid="{00000000-0005-0000-0000-0000C5850000}"/>
    <cellStyle name="Normal 96 9 2 2" xfId="36051" xr:uid="{00000000-0005-0000-0000-0000C6850000}"/>
    <cellStyle name="Normal 96 9 3" xfId="28004" xr:uid="{00000000-0005-0000-0000-0000C7850000}"/>
    <cellStyle name="Normal 97" xfId="6488" xr:uid="{00000000-0005-0000-0000-0000C8850000}"/>
    <cellStyle name="Normal 97 10" xfId="15744" xr:uid="{00000000-0005-0000-0000-0000C9850000}"/>
    <cellStyle name="Normal 97 10 2" xfId="32300" xr:uid="{00000000-0005-0000-0000-0000CA850000}"/>
    <cellStyle name="Normal 97 11" xfId="24257" xr:uid="{00000000-0005-0000-0000-0000CB850000}"/>
    <cellStyle name="Normal 97 2" xfId="6489" xr:uid="{00000000-0005-0000-0000-0000CC850000}"/>
    <cellStyle name="Normal 97 2 2" xfId="6490" xr:uid="{00000000-0005-0000-0000-0000CD850000}"/>
    <cellStyle name="Normal 97 2 3" xfId="15745" xr:uid="{00000000-0005-0000-0000-0000CE850000}"/>
    <cellStyle name="Normal 97 2 3 2" xfId="32301" xr:uid="{00000000-0005-0000-0000-0000CF850000}"/>
    <cellStyle name="Normal 97 2 4" xfId="24258" xr:uid="{00000000-0005-0000-0000-0000D0850000}"/>
    <cellStyle name="Normal 97 3" xfId="6491" xr:uid="{00000000-0005-0000-0000-0000D1850000}"/>
    <cellStyle name="Normal 97 3 2" xfId="6492" xr:uid="{00000000-0005-0000-0000-0000D2850000}"/>
    <cellStyle name="Normal 97 3 2 2" xfId="6493" xr:uid="{00000000-0005-0000-0000-0000D3850000}"/>
    <cellStyle name="Normal 97 3 2 2 2" xfId="6494" xr:uid="{00000000-0005-0000-0000-0000D4850000}"/>
    <cellStyle name="Normal 97 3 2 2 2 2" xfId="10304" xr:uid="{00000000-0005-0000-0000-0000D5850000}"/>
    <cellStyle name="Normal 97 3 2 2 2 2 2" xfId="19478" xr:uid="{00000000-0005-0000-0000-0000D6850000}"/>
    <cellStyle name="Normal 97 3 2 2 2 2 2 2" xfId="36052" xr:uid="{00000000-0005-0000-0000-0000D7850000}"/>
    <cellStyle name="Normal 97 3 2 2 2 2 3" xfId="28005" xr:uid="{00000000-0005-0000-0000-0000D8850000}"/>
    <cellStyle name="Normal 97 3 2 2 2 3" xfId="15748" xr:uid="{00000000-0005-0000-0000-0000D9850000}"/>
    <cellStyle name="Normal 97 3 2 2 2 3 2" xfId="32304" xr:uid="{00000000-0005-0000-0000-0000DA850000}"/>
    <cellStyle name="Normal 97 3 2 2 2 4" xfId="24261" xr:uid="{00000000-0005-0000-0000-0000DB850000}"/>
    <cellStyle name="Normal 97 3 2 2 3" xfId="10305" xr:uid="{00000000-0005-0000-0000-0000DC850000}"/>
    <cellStyle name="Normal 97 3 2 2 3 2" xfId="19479" xr:uid="{00000000-0005-0000-0000-0000DD850000}"/>
    <cellStyle name="Normal 97 3 2 2 3 2 2" xfId="36053" xr:uid="{00000000-0005-0000-0000-0000DE850000}"/>
    <cellStyle name="Normal 97 3 2 2 3 3" xfId="28006" xr:uid="{00000000-0005-0000-0000-0000DF850000}"/>
    <cellStyle name="Normal 97 3 2 2 4" xfId="15747" xr:uid="{00000000-0005-0000-0000-0000E0850000}"/>
    <cellStyle name="Normal 97 3 2 2 4 2" xfId="32303" xr:uid="{00000000-0005-0000-0000-0000E1850000}"/>
    <cellStyle name="Normal 97 3 2 2 5" xfId="24260" xr:uid="{00000000-0005-0000-0000-0000E2850000}"/>
    <cellStyle name="Normal 97 3 2 3" xfId="6495" xr:uid="{00000000-0005-0000-0000-0000E3850000}"/>
    <cellStyle name="Normal 97 3 2 3 2" xfId="10306" xr:uid="{00000000-0005-0000-0000-0000E4850000}"/>
    <cellStyle name="Normal 97 3 2 3 2 2" xfId="19480" xr:uid="{00000000-0005-0000-0000-0000E5850000}"/>
    <cellStyle name="Normal 97 3 2 3 2 2 2" xfId="36054" xr:uid="{00000000-0005-0000-0000-0000E6850000}"/>
    <cellStyle name="Normal 97 3 2 3 2 3" xfId="28007" xr:uid="{00000000-0005-0000-0000-0000E7850000}"/>
    <cellStyle name="Normal 97 3 2 3 3" xfId="15749" xr:uid="{00000000-0005-0000-0000-0000E8850000}"/>
    <cellStyle name="Normal 97 3 2 3 3 2" xfId="32305" xr:uid="{00000000-0005-0000-0000-0000E9850000}"/>
    <cellStyle name="Normal 97 3 2 3 4" xfId="24262" xr:uid="{00000000-0005-0000-0000-0000EA850000}"/>
    <cellStyle name="Normal 97 3 2 4" xfId="10307" xr:uid="{00000000-0005-0000-0000-0000EB850000}"/>
    <cellStyle name="Normal 97 3 2 4 2" xfId="19481" xr:uid="{00000000-0005-0000-0000-0000EC850000}"/>
    <cellStyle name="Normal 97 3 2 4 2 2" xfId="36055" xr:uid="{00000000-0005-0000-0000-0000ED850000}"/>
    <cellStyle name="Normal 97 3 2 4 3" xfId="28008" xr:uid="{00000000-0005-0000-0000-0000EE850000}"/>
    <cellStyle name="Normal 97 3 2 5" xfId="15746" xr:uid="{00000000-0005-0000-0000-0000EF850000}"/>
    <cellStyle name="Normal 97 3 2 5 2" xfId="32302" xr:uid="{00000000-0005-0000-0000-0000F0850000}"/>
    <cellStyle name="Normal 97 3 2 6" xfId="24259" xr:uid="{00000000-0005-0000-0000-0000F1850000}"/>
    <cellStyle name="Normal 97 3 3" xfId="6496" xr:uid="{00000000-0005-0000-0000-0000F2850000}"/>
    <cellStyle name="Normal 97 3 3 2" xfId="6497" xr:uid="{00000000-0005-0000-0000-0000F3850000}"/>
    <cellStyle name="Normal 97 3 3 2 2" xfId="10308" xr:uid="{00000000-0005-0000-0000-0000F4850000}"/>
    <cellStyle name="Normal 97 3 3 2 2 2" xfId="19482" xr:uid="{00000000-0005-0000-0000-0000F5850000}"/>
    <cellStyle name="Normal 97 3 3 2 2 2 2" xfId="36056" xr:uid="{00000000-0005-0000-0000-0000F6850000}"/>
    <cellStyle name="Normal 97 3 3 2 2 3" xfId="28009" xr:uid="{00000000-0005-0000-0000-0000F7850000}"/>
    <cellStyle name="Normal 97 3 3 2 3" xfId="15751" xr:uid="{00000000-0005-0000-0000-0000F8850000}"/>
    <cellStyle name="Normal 97 3 3 2 3 2" xfId="32307" xr:uid="{00000000-0005-0000-0000-0000F9850000}"/>
    <cellStyle name="Normal 97 3 3 2 4" xfId="24264" xr:uid="{00000000-0005-0000-0000-0000FA850000}"/>
    <cellStyle name="Normal 97 3 3 3" xfId="10309" xr:uid="{00000000-0005-0000-0000-0000FB850000}"/>
    <cellStyle name="Normal 97 3 3 3 2" xfId="19483" xr:uid="{00000000-0005-0000-0000-0000FC850000}"/>
    <cellStyle name="Normal 97 3 3 3 2 2" xfId="36057" xr:uid="{00000000-0005-0000-0000-0000FD850000}"/>
    <cellStyle name="Normal 97 3 3 3 3" xfId="28010" xr:uid="{00000000-0005-0000-0000-0000FE850000}"/>
    <cellStyle name="Normal 97 3 3 4" xfId="15750" xr:uid="{00000000-0005-0000-0000-0000FF850000}"/>
    <cellStyle name="Normal 97 3 3 4 2" xfId="32306" xr:uid="{00000000-0005-0000-0000-000000860000}"/>
    <cellStyle name="Normal 97 3 3 5" xfId="24263" xr:uid="{00000000-0005-0000-0000-000001860000}"/>
    <cellStyle name="Normal 97 3 4" xfId="6498" xr:uid="{00000000-0005-0000-0000-000002860000}"/>
    <cellStyle name="Normal 97 3 4 2" xfId="10310" xr:uid="{00000000-0005-0000-0000-000003860000}"/>
    <cellStyle name="Normal 97 3 4 2 2" xfId="19484" xr:uid="{00000000-0005-0000-0000-000004860000}"/>
    <cellStyle name="Normal 97 3 4 2 2 2" xfId="36058" xr:uid="{00000000-0005-0000-0000-000005860000}"/>
    <cellStyle name="Normal 97 3 4 2 3" xfId="28011" xr:uid="{00000000-0005-0000-0000-000006860000}"/>
    <cellStyle name="Normal 97 3 4 3" xfId="15752" xr:uid="{00000000-0005-0000-0000-000007860000}"/>
    <cellStyle name="Normal 97 3 4 3 2" xfId="32308" xr:uid="{00000000-0005-0000-0000-000008860000}"/>
    <cellStyle name="Normal 97 3 4 4" xfId="24265" xr:uid="{00000000-0005-0000-0000-000009860000}"/>
    <cellStyle name="Normal 97 3 5" xfId="6499" xr:uid="{00000000-0005-0000-0000-00000A860000}"/>
    <cellStyle name="Normal 97 3 5 2" xfId="15753" xr:uid="{00000000-0005-0000-0000-00000B860000}"/>
    <cellStyle name="Normal 97 3 5 2 2" xfId="32309" xr:uid="{00000000-0005-0000-0000-00000C860000}"/>
    <cellStyle name="Normal 97 3 5 3" xfId="24266" xr:uid="{00000000-0005-0000-0000-00000D860000}"/>
    <cellStyle name="Normal 97 4" xfId="6500" xr:uid="{00000000-0005-0000-0000-00000E860000}"/>
    <cellStyle name="Normal 97 4 2" xfId="6501" xr:uid="{00000000-0005-0000-0000-00000F860000}"/>
    <cellStyle name="Normal 97 4 2 2" xfId="6502" xr:uid="{00000000-0005-0000-0000-000010860000}"/>
    <cellStyle name="Normal 97 4 2 2 2" xfId="6503" xr:uid="{00000000-0005-0000-0000-000011860000}"/>
    <cellStyle name="Normal 97 4 2 2 2 2" xfId="10311" xr:uid="{00000000-0005-0000-0000-000012860000}"/>
    <cellStyle name="Normal 97 4 2 2 2 2 2" xfId="19485" xr:uid="{00000000-0005-0000-0000-000013860000}"/>
    <cellStyle name="Normal 97 4 2 2 2 2 2 2" xfId="36059" xr:uid="{00000000-0005-0000-0000-000014860000}"/>
    <cellStyle name="Normal 97 4 2 2 2 2 3" xfId="28012" xr:uid="{00000000-0005-0000-0000-000015860000}"/>
    <cellStyle name="Normal 97 4 2 2 2 3" xfId="15757" xr:uid="{00000000-0005-0000-0000-000016860000}"/>
    <cellStyle name="Normal 97 4 2 2 2 3 2" xfId="32313" xr:uid="{00000000-0005-0000-0000-000017860000}"/>
    <cellStyle name="Normal 97 4 2 2 2 4" xfId="24270" xr:uid="{00000000-0005-0000-0000-000018860000}"/>
    <cellStyle name="Normal 97 4 2 2 3" xfId="10312" xr:uid="{00000000-0005-0000-0000-000019860000}"/>
    <cellStyle name="Normal 97 4 2 2 3 2" xfId="19486" xr:uid="{00000000-0005-0000-0000-00001A860000}"/>
    <cellStyle name="Normal 97 4 2 2 3 2 2" xfId="36060" xr:uid="{00000000-0005-0000-0000-00001B860000}"/>
    <cellStyle name="Normal 97 4 2 2 3 3" xfId="28013" xr:uid="{00000000-0005-0000-0000-00001C860000}"/>
    <cellStyle name="Normal 97 4 2 2 4" xfId="15756" xr:uid="{00000000-0005-0000-0000-00001D860000}"/>
    <cellStyle name="Normal 97 4 2 2 4 2" xfId="32312" xr:uid="{00000000-0005-0000-0000-00001E860000}"/>
    <cellStyle name="Normal 97 4 2 2 5" xfId="24269" xr:uid="{00000000-0005-0000-0000-00001F860000}"/>
    <cellStyle name="Normal 97 4 2 3" xfId="6504" xr:uid="{00000000-0005-0000-0000-000020860000}"/>
    <cellStyle name="Normal 97 4 2 3 2" xfId="10313" xr:uid="{00000000-0005-0000-0000-000021860000}"/>
    <cellStyle name="Normal 97 4 2 3 2 2" xfId="19487" xr:uid="{00000000-0005-0000-0000-000022860000}"/>
    <cellStyle name="Normal 97 4 2 3 2 2 2" xfId="36061" xr:uid="{00000000-0005-0000-0000-000023860000}"/>
    <cellStyle name="Normal 97 4 2 3 2 3" xfId="28014" xr:uid="{00000000-0005-0000-0000-000024860000}"/>
    <cellStyle name="Normal 97 4 2 3 3" xfId="15758" xr:uid="{00000000-0005-0000-0000-000025860000}"/>
    <cellStyle name="Normal 97 4 2 3 3 2" xfId="32314" xr:uid="{00000000-0005-0000-0000-000026860000}"/>
    <cellStyle name="Normal 97 4 2 3 4" xfId="24271" xr:uid="{00000000-0005-0000-0000-000027860000}"/>
    <cellStyle name="Normal 97 4 2 4" xfId="10314" xr:uid="{00000000-0005-0000-0000-000028860000}"/>
    <cellStyle name="Normal 97 4 2 4 2" xfId="19488" xr:uid="{00000000-0005-0000-0000-000029860000}"/>
    <cellStyle name="Normal 97 4 2 4 2 2" xfId="36062" xr:uid="{00000000-0005-0000-0000-00002A860000}"/>
    <cellStyle name="Normal 97 4 2 4 3" xfId="28015" xr:uid="{00000000-0005-0000-0000-00002B860000}"/>
    <cellStyle name="Normal 97 4 2 5" xfId="15755" xr:uid="{00000000-0005-0000-0000-00002C860000}"/>
    <cellStyle name="Normal 97 4 2 5 2" xfId="32311" xr:uid="{00000000-0005-0000-0000-00002D860000}"/>
    <cellStyle name="Normal 97 4 2 6" xfId="24268" xr:uid="{00000000-0005-0000-0000-00002E860000}"/>
    <cellStyle name="Normal 97 4 3" xfId="6505" xr:uid="{00000000-0005-0000-0000-00002F860000}"/>
    <cellStyle name="Normal 97 4 3 2" xfId="6506" xr:uid="{00000000-0005-0000-0000-000030860000}"/>
    <cellStyle name="Normal 97 4 3 2 2" xfId="10315" xr:uid="{00000000-0005-0000-0000-000031860000}"/>
    <cellStyle name="Normal 97 4 3 2 2 2" xfId="19489" xr:uid="{00000000-0005-0000-0000-000032860000}"/>
    <cellStyle name="Normal 97 4 3 2 2 2 2" xfId="36063" xr:uid="{00000000-0005-0000-0000-000033860000}"/>
    <cellStyle name="Normal 97 4 3 2 2 3" xfId="28016" xr:uid="{00000000-0005-0000-0000-000034860000}"/>
    <cellStyle name="Normal 97 4 3 2 3" xfId="15760" xr:uid="{00000000-0005-0000-0000-000035860000}"/>
    <cellStyle name="Normal 97 4 3 2 3 2" xfId="32316" xr:uid="{00000000-0005-0000-0000-000036860000}"/>
    <cellStyle name="Normal 97 4 3 2 4" xfId="24273" xr:uid="{00000000-0005-0000-0000-000037860000}"/>
    <cellStyle name="Normal 97 4 3 3" xfId="10316" xr:uid="{00000000-0005-0000-0000-000038860000}"/>
    <cellStyle name="Normal 97 4 3 3 2" xfId="19490" xr:uid="{00000000-0005-0000-0000-000039860000}"/>
    <cellStyle name="Normal 97 4 3 3 2 2" xfId="36064" xr:uid="{00000000-0005-0000-0000-00003A860000}"/>
    <cellStyle name="Normal 97 4 3 3 3" xfId="28017" xr:uid="{00000000-0005-0000-0000-00003B860000}"/>
    <cellStyle name="Normal 97 4 3 4" xfId="15759" xr:uid="{00000000-0005-0000-0000-00003C860000}"/>
    <cellStyle name="Normal 97 4 3 4 2" xfId="32315" xr:uid="{00000000-0005-0000-0000-00003D860000}"/>
    <cellStyle name="Normal 97 4 3 5" xfId="24272" xr:uid="{00000000-0005-0000-0000-00003E860000}"/>
    <cellStyle name="Normal 97 4 4" xfId="6507" xr:uid="{00000000-0005-0000-0000-00003F860000}"/>
    <cellStyle name="Normal 97 4 4 2" xfId="10317" xr:uid="{00000000-0005-0000-0000-000040860000}"/>
    <cellStyle name="Normal 97 4 4 2 2" xfId="19491" xr:uid="{00000000-0005-0000-0000-000041860000}"/>
    <cellStyle name="Normal 97 4 4 2 2 2" xfId="36065" xr:uid="{00000000-0005-0000-0000-000042860000}"/>
    <cellStyle name="Normal 97 4 4 2 3" xfId="28018" xr:uid="{00000000-0005-0000-0000-000043860000}"/>
    <cellStyle name="Normal 97 4 4 3" xfId="15761" xr:uid="{00000000-0005-0000-0000-000044860000}"/>
    <cellStyle name="Normal 97 4 4 3 2" xfId="32317" xr:uid="{00000000-0005-0000-0000-000045860000}"/>
    <cellStyle name="Normal 97 4 4 4" xfId="24274" xr:uid="{00000000-0005-0000-0000-000046860000}"/>
    <cellStyle name="Normal 97 4 5" xfId="10318" xr:uid="{00000000-0005-0000-0000-000047860000}"/>
    <cellStyle name="Normal 97 4 5 2" xfId="19492" xr:uid="{00000000-0005-0000-0000-000048860000}"/>
    <cellStyle name="Normal 97 4 5 2 2" xfId="36066" xr:uid="{00000000-0005-0000-0000-000049860000}"/>
    <cellStyle name="Normal 97 4 5 3" xfId="28019" xr:uid="{00000000-0005-0000-0000-00004A860000}"/>
    <cellStyle name="Normal 97 4 6" xfId="15754" xr:uid="{00000000-0005-0000-0000-00004B860000}"/>
    <cellStyle name="Normal 97 4 6 2" xfId="32310" xr:uid="{00000000-0005-0000-0000-00004C860000}"/>
    <cellStyle name="Normal 97 4 7" xfId="24267" xr:uid="{00000000-0005-0000-0000-00004D860000}"/>
    <cellStyle name="Normal 97 5" xfId="6508" xr:uid="{00000000-0005-0000-0000-00004E860000}"/>
    <cellStyle name="Normal 97 5 2" xfId="6509" xr:uid="{00000000-0005-0000-0000-00004F860000}"/>
    <cellStyle name="Normal 97 5 2 2" xfId="6510" xr:uid="{00000000-0005-0000-0000-000050860000}"/>
    <cellStyle name="Normal 97 5 2 2 2" xfId="6511" xr:uid="{00000000-0005-0000-0000-000051860000}"/>
    <cellStyle name="Normal 97 5 2 2 2 2" xfId="10319" xr:uid="{00000000-0005-0000-0000-000052860000}"/>
    <cellStyle name="Normal 97 5 2 2 2 2 2" xfId="19493" xr:uid="{00000000-0005-0000-0000-000053860000}"/>
    <cellStyle name="Normal 97 5 2 2 2 2 2 2" xfId="36067" xr:uid="{00000000-0005-0000-0000-000054860000}"/>
    <cellStyle name="Normal 97 5 2 2 2 2 3" xfId="28020" xr:uid="{00000000-0005-0000-0000-000055860000}"/>
    <cellStyle name="Normal 97 5 2 2 2 3" xfId="15765" xr:uid="{00000000-0005-0000-0000-000056860000}"/>
    <cellStyle name="Normal 97 5 2 2 2 3 2" xfId="32321" xr:uid="{00000000-0005-0000-0000-000057860000}"/>
    <cellStyle name="Normal 97 5 2 2 2 4" xfId="24278" xr:uid="{00000000-0005-0000-0000-000058860000}"/>
    <cellStyle name="Normal 97 5 2 2 3" xfId="10320" xr:uid="{00000000-0005-0000-0000-000059860000}"/>
    <cellStyle name="Normal 97 5 2 2 3 2" xfId="19494" xr:uid="{00000000-0005-0000-0000-00005A860000}"/>
    <cellStyle name="Normal 97 5 2 2 3 2 2" xfId="36068" xr:uid="{00000000-0005-0000-0000-00005B860000}"/>
    <cellStyle name="Normal 97 5 2 2 3 3" xfId="28021" xr:uid="{00000000-0005-0000-0000-00005C860000}"/>
    <cellStyle name="Normal 97 5 2 2 4" xfId="15764" xr:uid="{00000000-0005-0000-0000-00005D860000}"/>
    <cellStyle name="Normal 97 5 2 2 4 2" xfId="32320" xr:uid="{00000000-0005-0000-0000-00005E860000}"/>
    <cellStyle name="Normal 97 5 2 2 5" xfId="24277" xr:uid="{00000000-0005-0000-0000-00005F860000}"/>
    <cellStyle name="Normal 97 5 2 3" xfId="6512" xr:uid="{00000000-0005-0000-0000-000060860000}"/>
    <cellStyle name="Normal 97 5 2 3 2" xfId="10321" xr:uid="{00000000-0005-0000-0000-000061860000}"/>
    <cellStyle name="Normal 97 5 2 3 2 2" xfId="19495" xr:uid="{00000000-0005-0000-0000-000062860000}"/>
    <cellStyle name="Normal 97 5 2 3 2 2 2" xfId="36069" xr:uid="{00000000-0005-0000-0000-000063860000}"/>
    <cellStyle name="Normal 97 5 2 3 2 3" xfId="28022" xr:uid="{00000000-0005-0000-0000-000064860000}"/>
    <cellStyle name="Normal 97 5 2 3 3" xfId="15766" xr:uid="{00000000-0005-0000-0000-000065860000}"/>
    <cellStyle name="Normal 97 5 2 3 3 2" xfId="32322" xr:uid="{00000000-0005-0000-0000-000066860000}"/>
    <cellStyle name="Normal 97 5 2 3 4" xfId="24279" xr:uid="{00000000-0005-0000-0000-000067860000}"/>
    <cellStyle name="Normal 97 5 2 4" xfId="10322" xr:uid="{00000000-0005-0000-0000-000068860000}"/>
    <cellStyle name="Normal 97 5 2 4 2" xfId="19496" xr:uid="{00000000-0005-0000-0000-000069860000}"/>
    <cellStyle name="Normal 97 5 2 4 2 2" xfId="36070" xr:uid="{00000000-0005-0000-0000-00006A860000}"/>
    <cellStyle name="Normal 97 5 2 4 3" xfId="28023" xr:uid="{00000000-0005-0000-0000-00006B860000}"/>
    <cellStyle name="Normal 97 5 2 5" xfId="15763" xr:uid="{00000000-0005-0000-0000-00006C860000}"/>
    <cellStyle name="Normal 97 5 2 5 2" xfId="32319" xr:uid="{00000000-0005-0000-0000-00006D860000}"/>
    <cellStyle name="Normal 97 5 2 6" xfId="24276" xr:uid="{00000000-0005-0000-0000-00006E860000}"/>
    <cellStyle name="Normal 97 5 3" xfId="6513" xr:uid="{00000000-0005-0000-0000-00006F860000}"/>
    <cellStyle name="Normal 97 5 3 2" xfId="6514" xr:uid="{00000000-0005-0000-0000-000070860000}"/>
    <cellStyle name="Normal 97 5 3 2 2" xfId="10323" xr:uid="{00000000-0005-0000-0000-000071860000}"/>
    <cellStyle name="Normal 97 5 3 2 2 2" xfId="19497" xr:uid="{00000000-0005-0000-0000-000072860000}"/>
    <cellStyle name="Normal 97 5 3 2 2 2 2" xfId="36071" xr:uid="{00000000-0005-0000-0000-000073860000}"/>
    <cellStyle name="Normal 97 5 3 2 2 3" xfId="28024" xr:uid="{00000000-0005-0000-0000-000074860000}"/>
    <cellStyle name="Normal 97 5 3 2 3" xfId="15768" xr:uid="{00000000-0005-0000-0000-000075860000}"/>
    <cellStyle name="Normal 97 5 3 2 3 2" xfId="32324" xr:uid="{00000000-0005-0000-0000-000076860000}"/>
    <cellStyle name="Normal 97 5 3 2 4" xfId="24281" xr:uid="{00000000-0005-0000-0000-000077860000}"/>
    <cellStyle name="Normal 97 5 3 3" xfId="10324" xr:uid="{00000000-0005-0000-0000-000078860000}"/>
    <cellStyle name="Normal 97 5 3 3 2" xfId="19498" xr:uid="{00000000-0005-0000-0000-000079860000}"/>
    <cellStyle name="Normal 97 5 3 3 2 2" xfId="36072" xr:uid="{00000000-0005-0000-0000-00007A860000}"/>
    <cellStyle name="Normal 97 5 3 3 3" xfId="28025" xr:uid="{00000000-0005-0000-0000-00007B860000}"/>
    <cellStyle name="Normal 97 5 3 4" xfId="15767" xr:uid="{00000000-0005-0000-0000-00007C860000}"/>
    <cellStyle name="Normal 97 5 3 4 2" xfId="32323" xr:uid="{00000000-0005-0000-0000-00007D860000}"/>
    <cellStyle name="Normal 97 5 3 5" xfId="24280" xr:uid="{00000000-0005-0000-0000-00007E860000}"/>
    <cellStyle name="Normal 97 5 4" xfId="6515" xr:uid="{00000000-0005-0000-0000-00007F860000}"/>
    <cellStyle name="Normal 97 5 4 2" xfId="10325" xr:uid="{00000000-0005-0000-0000-000080860000}"/>
    <cellStyle name="Normal 97 5 4 2 2" xfId="19499" xr:uid="{00000000-0005-0000-0000-000081860000}"/>
    <cellStyle name="Normal 97 5 4 2 2 2" xfId="36073" xr:uid="{00000000-0005-0000-0000-000082860000}"/>
    <cellStyle name="Normal 97 5 4 2 3" xfId="28026" xr:uid="{00000000-0005-0000-0000-000083860000}"/>
    <cellStyle name="Normal 97 5 4 3" xfId="15769" xr:uid="{00000000-0005-0000-0000-000084860000}"/>
    <cellStyle name="Normal 97 5 4 3 2" xfId="32325" xr:uid="{00000000-0005-0000-0000-000085860000}"/>
    <cellStyle name="Normal 97 5 4 4" xfId="24282" xr:uid="{00000000-0005-0000-0000-000086860000}"/>
    <cellStyle name="Normal 97 5 5" xfId="10326" xr:uid="{00000000-0005-0000-0000-000087860000}"/>
    <cellStyle name="Normal 97 5 5 2" xfId="19500" xr:uid="{00000000-0005-0000-0000-000088860000}"/>
    <cellStyle name="Normal 97 5 5 2 2" xfId="36074" xr:uid="{00000000-0005-0000-0000-000089860000}"/>
    <cellStyle name="Normal 97 5 5 3" xfId="28027" xr:uid="{00000000-0005-0000-0000-00008A860000}"/>
    <cellStyle name="Normal 97 5 6" xfId="15762" xr:uid="{00000000-0005-0000-0000-00008B860000}"/>
    <cellStyle name="Normal 97 5 6 2" xfId="32318" xr:uid="{00000000-0005-0000-0000-00008C860000}"/>
    <cellStyle name="Normal 97 5 7" xfId="24275" xr:uid="{00000000-0005-0000-0000-00008D860000}"/>
    <cellStyle name="Normal 97 6" xfId="6516" xr:uid="{00000000-0005-0000-0000-00008E860000}"/>
    <cellStyle name="Normal 97 6 2" xfId="6517" xr:uid="{00000000-0005-0000-0000-00008F860000}"/>
    <cellStyle name="Normal 97 6 2 2" xfId="6518" xr:uid="{00000000-0005-0000-0000-000090860000}"/>
    <cellStyle name="Normal 97 6 2 2 2" xfId="10327" xr:uid="{00000000-0005-0000-0000-000091860000}"/>
    <cellStyle name="Normal 97 6 2 2 2 2" xfId="19501" xr:uid="{00000000-0005-0000-0000-000092860000}"/>
    <cellStyle name="Normal 97 6 2 2 2 2 2" xfId="36075" xr:uid="{00000000-0005-0000-0000-000093860000}"/>
    <cellStyle name="Normal 97 6 2 2 2 3" xfId="28028" xr:uid="{00000000-0005-0000-0000-000094860000}"/>
    <cellStyle name="Normal 97 6 2 2 3" xfId="15772" xr:uid="{00000000-0005-0000-0000-000095860000}"/>
    <cellStyle name="Normal 97 6 2 2 3 2" xfId="32328" xr:uid="{00000000-0005-0000-0000-000096860000}"/>
    <cellStyle name="Normal 97 6 2 2 4" xfId="24285" xr:uid="{00000000-0005-0000-0000-000097860000}"/>
    <cellStyle name="Normal 97 6 2 3" xfId="10328" xr:uid="{00000000-0005-0000-0000-000098860000}"/>
    <cellStyle name="Normal 97 6 2 3 2" xfId="19502" xr:uid="{00000000-0005-0000-0000-000099860000}"/>
    <cellStyle name="Normal 97 6 2 3 2 2" xfId="36076" xr:uid="{00000000-0005-0000-0000-00009A860000}"/>
    <cellStyle name="Normal 97 6 2 3 3" xfId="28029" xr:uid="{00000000-0005-0000-0000-00009B860000}"/>
    <cellStyle name="Normal 97 6 2 4" xfId="15771" xr:uid="{00000000-0005-0000-0000-00009C860000}"/>
    <cellStyle name="Normal 97 6 2 4 2" xfId="32327" xr:uid="{00000000-0005-0000-0000-00009D860000}"/>
    <cellStyle name="Normal 97 6 2 5" xfId="24284" xr:uid="{00000000-0005-0000-0000-00009E860000}"/>
    <cellStyle name="Normal 97 6 3" xfId="6519" xr:uid="{00000000-0005-0000-0000-00009F860000}"/>
    <cellStyle name="Normal 97 6 3 2" xfId="10329" xr:uid="{00000000-0005-0000-0000-0000A0860000}"/>
    <cellStyle name="Normal 97 6 3 2 2" xfId="19503" xr:uid="{00000000-0005-0000-0000-0000A1860000}"/>
    <cellStyle name="Normal 97 6 3 2 2 2" xfId="36077" xr:uid="{00000000-0005-0000-0000-0000A2860000}"/>
    <cellStyle name="Normal 97 6 3 2 3" xfId="28030" xr:uid="{00000000-0005-0000-0000-0000A3860000}"/>
    <cellStyle name="Normal 97 6 3 3" xfId="15773" xr:uid="{00000000-0005-0000-0000-0000A4860000}"/>
    <cellStyle name="Normal 97 6 3 3 2" xfId="32329" xr:uid="{00000000-0005-0000-0000-0000A5860000}"/>
    <cellStyle name="Normal 97 6 3 4" xfId="24286" xr:uid="{00000000-0005-0000-0000-0000A6860000}"/>
    <cellStyle name="Normal 97 6 4" xfId="10330" xr:uid="{00000000-0005-0000-0000-0000A7860000}"/>
    <cellStyle name="Normal 97 6 4 2" xfId="19504" xr:uid="{00000000-0005-0000-0000-0000A8860000}"/>
    <cellStyle name="Normal 97 6 4 2 2" xfId="36078" xr:uid="{00000000-0005-0000-0000-0000A9860000}"/>
    <cellStyle name="Normal 97 6 4 3" xfId="28031" xr:uid="{00000000-0005-0000-0000-0000AA860000}"/>
    <cellStyle name="Normal 97 6 5" xfId="15770" xr:uid="{00000000-0005-0000-0000-0000AB860000}"/>
    <cellStyle name="Normal 97 6 5 2" xfId="32326" xr:uid="{00000000-0005-0000-0000-0000AC860000}"/>
    <cellStyle name="Normal 97 6 6" xfId="24283" xr:uid="{00000000-0005-0000-0000-0000AD860000}"/>
    <cellStyle name="Normal 97 7" xfId="6520" xr:uid="{00000000-0005-0000-0000-0000AE860000}"/>
    <cellStyle name="Normal 97 7 2" xfId="6521" xr:uid="{00000000-0005-0000-0000-0000AF860000}"/>
    <cellStyle name="Normal 97 7 2 2" xfId="10331" xr:uid="{00000000-0005-0000-0000-0000B0860000}"/>
    <cellStyle name="Normal 97 7 2 2 2" xfId="19505" xr:uid="{00000000-0005-0000-0000-0000B1860000}"/>
    <cellStyle name="Normal 97 7 2 2 2 2" xfId="36079" xr:uid="{00000000-0005-0000-0000-0000B2860000}"/>
    <cellStyle name="Normal 97 7 2 2 3" xfId="28032" xr:uid="{00000000-0005-0000-0000-0000B3860000}"/>
    <cellStyle name="Normal 97 7 2 3" xfId="15775" xr:uid="{00000000-0005-0000-0000-0000B4860000}"/>
    <cellStyle name="Normal 97 7 2 3 2" xfId="32331" xr:uid="{00000000-0005-0000-0000-0000B5860000}"/>
    <cellStyle name="Normal 97 7 2 4" xfId="24288" xr:uid="{00000000-0005-0000-0000-0000B6860000}"/>
    <cellStyle name="Normal 97 7 3" xfId="10332" xr:uid="{00000000-0005-0000-0000-0000B7860000}"/>
    <cellStyle name="Normal 97 7 3 2" xfId="19506" xr:uid="{00000000-0005-0000-0000-0000B8860000}"/>
    <cellStyle name="Normal 97 7 3 2 2" xfId="36080" xr:uid="{00000000-0005-0000-0000-0000B9860000}"/>
    <cellStyle name="Normal 97 7 3 3" xfId="28033" xr:uid="{00000000-0005-0000-0000-0000BA860000}"/>
    <cellStyle name="Normal 97 7 4" xfId="15774" xr:uid="{00000000-0005-0000-0000-0000BB860000}"/>
    <cellStyle name="Normal 97 7 4 2" xfId="32330" xr:uid="{00000000-0005-0000-0000-0000BC860000}"/>
    <cellStyle name="Normal 97 7 5" xfId="24287" xr:uid="{00000000-0005-0000-0000-0000BD860000}"/>
    <cellStyle name="Normal 97 8" xfId="6522" xr:uid="{00000000-0005-0000-0000-0000BE860000}"/>
    <cellStyle name="Normal 97 8 2" xfId="10333" xr:uid="{00000000-0005-0000-0000-0000BF860000}"/>
    <cellStyle name="Normal 97 8 2 2" xfId="19507" xr:uid="{00000000-0005-0000-0000-0000C0860000}"/>
    <cellStyle name="Normal 97 8 2 2 2" xfId="36081" xr:uid="{00000000-0005-0000-0000-0000C1860000}"/>
    <cellStyle name="Normal 97 8 2 3" xfId="28034" xr:uid="{00000000-0005-0000-0000-0000C2860000}"/>
    <cellStyle name="Normal 97 8 3" xfId="15776" xr:uid="{00000000-0005-0000-0000-0000C3860000}"/>
    <cellStyle name="Normal 97 8 3 2" xfId="32332" xr:uid="{00000000-0005-0000-0000-0000C4860000}"/>
    <cellStyle name="Normal 97 8 4" xfId="24289" xr:uid="{00000000-0005-0000-0000-0000C5860000}"/>
    <cellStyle name="Normal 97 9" xfId="10334" xr:uid="{00000000-0005-0000-0000-0000C6860000}"/>
    <cellStyle name="Normal 97 9 2" xfId="19508" xr:uid="{00000000-0005-0000-0000-0000C7860000}"/>
    <cellStyle name="Normal 97 9 2 2" xfId="36082" xr:uid="{00000000-0005-0000-0000-0000C8860000}"/>
    <cellStyle name="Normal 97 9 3" xfId="28035" xr:uid="{00000000-0005-0000-0000-0000C9860000}"/>
    <cellStyle name="Normal 98" xfId="6523" xr:uid="{00000000-0005-0000-0000-0000CA860000}"/>
    <cellStyle name="Normal 98 10" xfId="15777" xr:uid="{00000000-0005-0000-0000-0000CB860000}"/>
    <cellStyle name="Normal 98 10 2" xfId="32333" xr:uid="{00000000-0005-0000-0000-0000CC860000}"/>
    <cellStyle name="Normal 98 11" xfId="24290" xr:uid="{00000000-0005-0000-0000-0000CD860000}"/>
    <cellStyle name="Normal 98 2" xfId="6524" xr:uid="{00000000-0005-0000-0000-0000CE860000}"/>
    <cellStyle name="Normal 98 2 2" xfId="6525" xr:uid="{00000000-0005-0000-0000-0000CF860000}"/>
    <cellStyle name="Normal 98 2 3" xfId="15778" xr:uid="{00000000-0005-0000-0000-0000D0860000}"/>
    <cellStyle name="Normal 98 2 3 2" xfId="32334" xr:uid="{00000000-0005-0000-0000-0000D1860000}"/>
    <cellStyle name="Normal 98 2 4" xfId="24291" xr:uid="{00000000-0005-0000-0000-0000D2860000}"/>
    <cellStyle name="Normal 98 3" xfId="6526" xr:uid="{00000000-0005-0000-0000-0000D3860000}"/>
    <cellStyle name="Normal 98 3 2" xfId="6527" xr:uid="{00000000-0005-0000-0000-0000D4860000}"/>
    <cellStyle name="Normal 98 3 2 2" xfId="6528" xr:uid="{00000000-0005-0000-0000-0000D5860000}"/>
    <cellStyle name="Normal 98 3 2 2 2" xfId="6529" xr:uid="{00000000-0005-0000-0000-0000D6860000}"/>
    <cellStyle name="Normal 98 3 2 2 2 2" xfId="10335" xr:uid="{00000000-0005-0000-0000-0000D7860000}"/>
    <cellStyle name="Normal 98 3 2 2 2 2 2" xfId="19509" xr:uid="{00000000-0005-0000-0000-0000D8860000}"/>
    <cellStyle name="Normal 98 3 2 2 2 2 2 2" xfId="36083" xr:uid="{00000000-0005-0000-0000-0000D9860000}"/>
    <cellStyle name="Normal 98 3 2 2 2 2 3" xfId="28036" xr:uid="{00000000-0005-0000-0000-0000DA860000}"/>
    <cellStyle name="Normal 98 3 2 2 2 3" xfId="15781" xr:uid="{00000000-0005-0000-0000-0000DB860000}"/>
    <cellStyle name="Normal 98 3 2 2 2 3 2" xfId="32337" xr:uid="{00000000-0005-0000-0000-0000DC860000}"/>
    <cellStyle name="Normal 98 3 2 2 2 4" xfId="24294" xr:uid="{00000000-0005-0000-0000-0000DD860000}"/>
    <cellStyle name="Normal 98 3 2 2 3" xfId="10336" xr:uid="{00000000-0005-0000-0000-0000DE860000}"/>
    <cellStyle name="Normal 98 3 2 2 3 2" xfId="19510" xr:uid="{00000000-0005-0000-0000-0000DF860000}"/>
    <cellStyle name="Normal 98 3 2 2 3 2 2" xfId="36084" xr:uid="{00000000-0005-0000-0000-0000E0860000}"/>
    <cellStyle name="Normal 98 3 2 2 3 3" xfId="28037" xr:uid="{00000000-0005-0000-0000-0000E1860000}"/>
    <cellStyle name="Normal 98 3 2 2 4" xfId="15780" xr:uid="{00000000-0005-0000-0000-0000E2860000}"/>
    <cellStyle name="Normal 98 3 2 2 4 2" xfId="32336" xr:uid="{00000000-0005-0000-0000-0000E3860000}"/>
    <cellStyle name="Normal 98 3 2 2 5" xfId="24293" xr:uid="{00000000-0005-0000-0000-0000E4860000}"/>
    <cellStyle name="Normal 98 3 2 3" xfId="6530" xr:uid="{00000000-0005-0000-0000-0000E5860000}"/>
    <cellStyle name="Normal 98 3 2 3 2" xfId="10337" xr:uid="{00000000-0005-0000-0000-0000E6860000}"/>
    <cellStyle name="Normal 98 3 2 3 2 2" xfId="19511" xr:uid="{00000000-0005-0000-0000-0000E7860000}"/>
    <cellStyle name="Normal 98 3 2 3 2 2 2" xfId="36085" xr:uid="{00000000-0005-0000-0000-0000E8860000}"/>
    <cellStyle name="Normal 98 3 2 3 2 3" xfId="28038" xr:uid="{00000000-0005-0000-0000-0000E9860000}"/>
    <cellStyle name="Normal 98 3 2 3 3" xfId="15782" xr:uid="{00000000-0005-0000-0000-0000EA860000}"/>
    <cellStyle name="Normal 98 3 2 3 3 2" xfId="32338" xr:uid="{00000000-0005-0000-0000-0000EB860000}"/>
    <cellStyle name="Normal 98 3 2 3 4" xfId="24295" xr:uid="{00000000-0005-0000-0000-0000EC860000}"/>
    <cellStyle name="Normal 98 3 2 4" xfId="10338" xr:uid="{00000000-0005-0000-0000-0000ED860000}"/>
    <cellStyle name="Normal 98 3 2 4 2" xfId="19512" xr:uid="{00000000-0005-0000-0000-0000EE860000}"/>
    <cellStyle name="Normal 98 3 2 4 2 2" xfId="36086" xr:uid="{00000000-0005-0000-0000-0000EF860000}"/>
    <cellStyle name="Normal 98 3 2 4 3" xfId="28039" xr:uid="{00000000-0005-0000-0000-0000F0860000}"/>
    <cellStyle name="Normal 98 3 2 5" xfId="15779" xr:uid="{00000000-0005-0000-0000-0000F1860000}"/>
    <cellStyle name="Normal 98 3 2 5 2" xfId="32335" xr:uid="{00000000-0005-0000-0000-0000F2860000}"/>
    <cellStyle name="Normal 98 3 2 6" xfId="24292" xr:uid="{00000000-0005-0000-0000-0000F3860000}"/>
    <cellStyle name="Normal 98 3 3" xfId="6531" xr:uid="{00000000-0005-0000-0000-0000F4860000}"/>
    <cellStyle name="Normal 98 3 3 2" xfId="6532" xr:uid="{00000000-0005-0000-0000-0000F5860000}"/>
    <cellStyle name="Normal 98 3 3 2 2" xfId="10339" xr:uid="{00000000-0005-0000-0000-0000F6860000}"/>
    <cellStyle name="Normal 98 3 3 2 2 2" xfId="19513" xr:uid="{00000000-0005-0000-0000-0000F7860000}"/>
    <cellStyle name="Normal 98 3 3 2 2 2 2" xfId="36087" xr:uid="{00000000-0005-0000-0000-0000F8860000}"/>
    <cellStyle name="Normal 98 3 3 2 2 3" xfId="28040" xr:uid="{00000000-0005-0000-0000-0000F9860000}"/>
    <cellStyle name="Normal 98 3 3 2 3" xfId="15784" xr:uid="{00000000-0005-0000-0000-0000FA860000}"/>
    <cellStyle name="Normal 98 3 3 2 3 2" xfId="32340" xr:uid="{00000000-0005-0000-0000-0000FB860000}"/>
    <cellStyle name="Normal 98 3 3 2 4" xfId="24297" xr:uid="{00000000-0005-0000-0000-0000FC860000}"/>
    <cellStyle name="Normal 98 3 3 3" xfId="10340" xr:uid="{00000000-0005-0000-0000-0000FD860000}"/>
    <cellStyle name="Normal 98 3 3 3 2" xfId="19514" xr:uid="{00000000-0005-0000-0000-0000FE860000}"/>
    <cellStyle name="Normal 98 3 3 3 2 2" xfId="36088" xr:uid="{00000000-0005-0000-0000-0000FF860000}"/>
    <cellStyle name="Normal 98 3 3 3 3" xfId="28041" xr:uid="{00000000-0005-0000-0000-000000870000}"/>
    <cellStyle name="Normal 98 3 3 4" xfId="15783" xr:uid="{00000000-0005-0000-0000-000001870000}"/>
    <cellStyle name="Normal 98 3 3 4 2" xfId="32339" xr:uid="{00000000-0005-0000-0000-000002870000}"/>
    <cellStyle name="Normal 98 3 3 5" xfId="24296" xr:uid="{00000000-0005-0000-0000-000003870000}"/>
    <cellStyle name="Normal 98 3 4" xfId="6533" xr:uid="{00000000-0005-0000-0000-000004870000}"/>
    <cellStyle name="Normal 98 3 4 2" xfId="10341" xr:uid="{00000000-0005-0000-0000-000005870000}"/>
    <cellStyle name="Normal 98 3 4 2 2" xfId="19515" xr:uid="{00000000-0005-0000-0000-000006870000}"/>
    <cellStyle name="Normal 98 3 4 2 2 2" xfId="36089" xr:uid="{00000000-0005-0000-0000-000007870000}"/>
    <cellStyle name="Normal 98 3 4 2 3" xfId="28042" xr:uid="{00000000-0005-0000-0000-000008870000}"/>
    <cellStyle name="Normal 98 3 4 3" xfId="15785" xr:uid="{00000000-0005-0000-0000-000009870000}"/>
    <cellStyle name="Normal 98 3 4 3 2" xfId="32341" xr:uid="{00000000-0005-0000-0000-00000A870000}"/>
    <cellStyle name="Normal 98 3 4 4" xfId="24298" xr:uid="{00000000-0005-0000-0000-00000B870000}"/>
    <cellStyle name="Normal 98 3 5" xfId="6534" xr:uid="{00000000-0005-0000-0000-00000C870000}"/>
    <cellStyle name="Normal 98 3 5 2" xfId="15786" xr:uid="{00000000-0005-0000-0000-00000D870000}"/>
    <cellStyle name="Normal 98 3 5 2 2" xfId="32342" xr:uid="{00000000-0005-0000-0000-00000E870000}"/>
    <cellStyle name="Normal 98 3 5 3" xfId="24299" xr:uid="{00000000-0005-0000-0000-00000F870000}"/>
    <cellStyle name="Normal 98 4" xfId="6535" xr:uid="{00000000-0005-0000-0000-000010870000}"/>
    <cellStyle name="Normal 98 4 2" xfId="6536" xr:uid="{00000000-0005-0000-0000-000011870000}"/>
    <cellStyle name="Normal 98 4 2 2" xfId="6537" xr:uid="{00000000-0005-0000-0000-000012870000}"/>
    <cellStyle name="Normal 98 4 2 2 2" xfId="6538" xr:uid="{00000000-0005-0000-0000-000013870000}"/>
    <cellStyle name="Normal 98 4 2 2 2 2" xfId="10342" xr:uid="{00000000-0005-0000-0000-000014870000}"/>
    <cellStyle name="Normal 98 4 2 2 2 2 2" xfId="19516" xr:uid="{00000000-0005-0000-0000-000015870000}"/>
    <cellStyle name="Normal 98 4 2 2 2 2 2 2" xfId="36090" xr:uid="{00000000-0005-0000-0000-000016870000}"/>
    <cellStyle name="Normal 98 4 2 2 2 2 3" xfId="28043" xr:uid="{00000000-0005-0000-0000-000017870000}"/>
    <cellStyle name="Normal 98 4 2 2 2 3" xfId="15790" xr:uid="{00000000-0005-0000-0000-000018870000}"/>
    <cellStyle name="Normal 98 4 2 2 2 3 2" xfId="32346" xr:uid="{00000000-0005-0000-0000-000019870000}"/>
    <cellStyle name="Normal 98 4 2 2 2 4" xfId="24303" xr:uid="{00000000-0005-0000-0000-00001A870000}"/>
    <cellStyle name="Normal 98 4 2 2 3" xfId="10343" xr:uid="{00000000-0005-0000-0000-00001B870000}"/>
    <cellStyle name="Normal 98 4 2 2 3 2" xfId="19517" xr:uid="{00000000-0005-0000-0000-00001C870000}"/>
    <cellStyle name="Normal 98 4 2 2 3 2 2" xfId="36091" xr:uid="{00000000-0005-0000-0000-00001D870000}"/>
    <cellStyle name="Normal 98 4 2 2 3 3" xfId="28044" xr:uid="{00000000-0005-0000-0000-00001E870000}"/>
    <cellStyle name="Normal 98 4 2 2 4" xfId="15789" xr:uid="{00000000-0005-0000-0000-00001F870000}"/>
    <cellStyle name="Normal 98 4 2 2 4 2" xfId="32345" xr:uid="{00000000-0005-0000-0000-000020870000}"/>
    <cellStyle name="Normal 98 4 2 2 5" xfId="24302" xr:uid="{00000000-0005-0000-0000-000021870000}"/>
    <cellStyle name="Normal 98 4 2 3" xfId="6539" xr:uid="{00000000-0005-0000-0000-000022870000}"/>
    <cellStyle name="Normal 98 4 2 3 2" xfId="10344" xr:uid="{00000000-0005-0000-0000-000023870000}"/>
    <cellStyle name="Normal 98 4 2 3 2 2" xfId="19518" xr:uid="{00000000-0005-0000-0000-000024870000}"/>
    <cellStyle name="Normal 98 4 2 3 2 2 2" xfId="36092" xr:uid="{00000000-0005-0000-0000-000025870000}"/>
    <cellStyle name="Normal 98 4 2 3 2 3" xfId="28045" xr:uid="{00000000-0005-0000-0000-000026870000}"/>
    <cellStyle name="Normal 98 4 2 3 3" xfId="15791" xr:uid="{00000000-0005-0000-0000-000027870000}"/>
    <cellStyle name="Normal 98 4 2 3 3 2" xfId="32347" xr:uid="{00000000-0005-0000-0000-000028870000}"/>
    <cellStyle name="Normal 98 4 2 3 4" xfId="24304" xr:uid="{00000000-0005-0000-0000-000029870000}"/>
    <cellStyle name="Normal 98 4 2 4" xfId="10345" xr:uid="{00000000-0005-0000-0000-00002A870000}"/>
    <cellStyle name="Normal 98 4 2 4 2" xfId="19519" xr:uid="{00000000-0005-0000-0000-00002B870000}"/>
    <cellStyle name="Normal 98 4 2 4 2 2" xfId="36093" xr:uid="{00000000-0005-0000-0000-00002C870000}"/>
    <cellStyle name="Normal 98 4 2 4 3" xfId="28046" xr:uid="{00000000-0005-0000-0000-00002D870000}"/>
    <cellStyle name="Normal 98 4 2 5" xfId="15788" xr:uid="{00000000-0005-0000-0000-00002E870000}"/>
    <cellStyle name="Normal 98 4 2 5 2" xfId="32344" xr:uid="{00000000-0005-0000-0000-00002F870000}"/>
    <cellStyle name="Normal 98 4 2 6" xfId="24301" xr:uid="{00000000-0005-0000-0000-000030870000}"/>
    <cellStyle name="Normal 98 4 3" xfId="6540" xr:uid="{00000000-0005-0000-0000-000031870000}"/>
    <cellStyle name="Normal 98 4 3 2" xfId="6541" xr:uid="{00000000-0005-0000-0000-000032870000}"/>
    <cellStyle name="Normal 98 4 3 2 2" xfId="10346" xr:uid="{00000000-0005-0000-0000-000033870000}"/>
    <cellStyle name="Normal 98 4 3 2 2 2" xfId="19520" xr:uid="{00000000-0005-0000-0000-000034870000}"/>
    <cellStyle name="Normal 98 4 3 2 2 2 2" xfId="36094" xr:uid="{00000000-0005-0000-0000-000035870000}"/>
    <cellStyle name="Normal 98 4 3 2 2 3" xfId="28047" xr:uid="{00000000-0005-0000-0000-000036870000}"/>
    <cellStyle name="Normal 98 4 3 2 3" xfId="15793" xr:uid="{00000000-0005-0000-0000-000037870000}"/>
    <cellStyle name="Normal 98 4 3 2 3 2" xfId="32349" xr:uid="{00000000-0005-0000-0000-000038870000}"/>
    <cellStyle name="Normal 98 4 3 2 4" xfId="24306" xr:uid="{00000000-0005-0000-0000-000039870000}"/>
    <cellStyle name="Normal 98 4 3 3" xfId="10347" xr:uid="{00000000-0005-0000-0000-00003A870000}"/>
    <cellStyle name="Normal 98 4 3 3 2" xfId="19521" xr:uid="{00000000-0005-0000-0000-00003B870000}"/>
    <cellStyle name="Normal 98 4 3 3 2 2" xfId="36095" xr:uid="{00000000-0005-0000-0000-00003C870000}"/>
    <cellStyle name="Normal 98 4 3 3 3" xfId="28048" xr:uid="{00000000-0005-0000-0000-00003D870000}"/>
    <cellStyle name="Normal 98 4 3 4" xfId="15792" xr:uid="{00000000-0005-0000-0000-00003E870000}"/>
    <cellStyle name="Normal 98 4 3 4 2" xfId="32348" xr:uid="{00000000-0005-0000-0000-00003F870000}"/>
    <cellStyle name="Normal 98 4 3 5" xfId="24305" xr:uid="{00000000-0005-0000-0000-000040870000}"/>
    <cellStyle name="Normal 98 4 4" xfId="6542" xr:uid="{00000000-0005-0000-0000-000041870000}"/>
    <cellStyle name="Normal 98 4 4 2" xfId="10348" xr:uid="{00000000-0005-0000-0000-000042870000}"/>
    <cellStyle name="Normal 98 4 4 2 2" xfId="19522" xr:uid="{00000000-0005-0000-0000-000043870000}"/>
    <cellStyle name="Normal 98 4 4 2 2 2" xfId="36096" xr:uid="{00000000-0005-0000-0000-000044870000}"/>
    <cellStyle name="Normal 98 4 4 2 3" xfId="28049" xr:uid="{00000000-0005-0000-0000-000045870000}"/>
    <cellStyle name="Normal 98 4 4 3" xfId="15794" xr:uid="{00000000-0005-0000-0000-000046870000}"/>
    <cellStyle name="Normal 98 4 4 3 2" xfId="32350" xr:uid="{00000000-0005-0000-0000-000047870000}"/>
    <cellStyle name="Normal 98 4 4 4" xfId="24307" xr:uid="{00000000-0005-0000-0000-000048870000}"/>
    <cellStyle name="Normal 98 4 5" xfId="10349" xr:uid="{00000000-0005-0000-0000-000049870000}"/>
    <cellStyle name="Normal 98 4 5 2" xfId="19523" xr:uid="{00000000-0005-0000-0000-00004A870000}"/>
    <cellStyle name="Normal 98 4 5 2 2" xfId="36097" xr:uid="{00000000-0005-0000-0000-00004B870000}"/>
    <cellStyle name="Normal 98 4 5 3" xfId="28050" xr:uid="{00000000-0005-0000-0000-00004C870000}"/>
    <cellStyle name="Normal 98 4 6" xfId="15787" xr:uid="{00000000-0005-0000-0000-00004D870000}"/>
    <cellStyle name="Normal 98 4 6 2" xfId="32343" xr:uid="{00000000-0005-0000-0000-00004E870000}"/>
    <cellStyle name="Normal 98 4 7" xfId="24300" xr:uid="{00000000-0005-0000-0000-00004F870000}"/>
    <cellStyle name="Normal 98 5" xfId="6543" xr:uid="{00000000-0005-0000-0000-000050870000}"/>
    <cellStyle name="Normal 98 5 2" xfId="6544" xr:uid="{00000000-0005-0000-0000-000051870000}"/>
    <cellStyle name="Normal 98 5 2 2" xfId="6545" xr:uid="{00000000-0005-0000-0000-000052870000}"/>
    <cellStyle name="Normal 98 5 2 2 2" xfId="6546" xr:uid="{00000000-0005-0000-0000-000053870000}"/>
    <cellStyle name="Normal 98 5 2 2 2 2" xfId="10350" xr:uid="{00000000-0005-0000-0000-000054870000}"/>
    <cellStyle name="Normal 98 5 2 2 2 2 2" xfId="19524" xr:uid="{00000000-0005-0000-0000-000055870000}"/>
    <cellStyle name="Normal 98 5 2 2 2 2 2 2" xfId="36098" xr:uid="{00000000-0005-0000-0000-000056870000}"/>
    <cellStyle name="Normal 98 5 2 2 2 2 3" xfId="28051" xr:uid="{00000000-0005-0000-0000-000057870000}"/>
    <cellStyle name="Normal 98 5 2 2 2 3" xfId="15798" xr:uid="{00000000-0005-0000-0000-000058870000}"/>
    <cellStyle name="Normal 98 5 2 2 2 3 2" xfId="32354" xr:uid="{00000000-0005-0000-0000-000059870000}"/>
    <cellStyle name="Normal 98 5 2 2 2 4" xfId="24311" xr:uid="{00000000-0005-0000-0000-00005A870000}"/>
    <cellStyle name="Normal 98 5 2 2 3" xfId="10351" xr:uid="{00000000-0005-0000-0000-00005B870000}"/>
    <cellStyle name="Normal 98 5 2 2 3 2" xfId="19525" xr:uid="{00000000-0005-0000-0000-00005C870000}"/>
    <cellStyle name="Normal 98 5 2 2 3 2 2" xfId="36099" xr:uid="{00000000-0005-0000-0000-00005D870000}"/>
    <cellStyle name="Normal 98 5 2 2 3 3" xfId="28052" xr:uid="{00000000-0005-0000-0000-00005E870000}"/>
    <cellStyle name="Normal 98 5 2 2 4" xfId="15797" xr:uid="{00000000-0005-0000-0000-00005F870000}"/>
    <cellStyle name="Normal 98 5 2 2 4 2" xfId="32353" xr:uid="{00000000-0005-0000-0000-000060870000}"/>
    <cellStyle name="Normal 98 5 2 2 5" xfId="24310" xr:uid="{00000000-0005-0000-0000-000061870000}"/>
    <cellStyle name="Normal 98 5 2 3" xfId="6547" xr:uid="{00000000-0005-0000-0000-000062870000}"/>
    <cellStyle name="Normal 98 5 2 3 2" xfId="10352" xr:uid="{00000000-0005-0000-0000-000063870000}"/>
    <cellStyle name="Normal 98 5 2 3 2 2" xfId="19526" xr:uid="{00000000-0005-0000-0000-000064870000}"/>
    <cellStyle name="Normal 98 5 2 3 2 2 2" xfId="36100" xr:uid="{00000000-0005-0000-0000-000065870000}"/>
    <cellStyle name="Normal 98 5 2 3 2 3" xfId="28053" xr:uid="{00000000-0005-0000-0000-000066870000}"/>
    <cellStyle name="Normal 98 5 2 3 3" xfId="15799" xr:uid="{00000000-0005-0000-0000-000067870000}"/>
    <cellStyle name="Normal 98 5 2 3 3 2" xfId="32355" xr:uid="{00000000-0005-0000-0000-000068870000}"/>
    <cellStyle name="Normal 98 5 2 3 4" xfId="24312" xr:uid="{00000000-0005-0000-0000-000069870000}"/>
    <cellStyle name="Normal 98 5 2 4" xfId="10353" xr:uid="{00000000-0005-0000-0000-00006A870000}"/>
    <cellStyle name="Normal 98 5 2 4 2" xfId="19527" xr:uid="{00000000-0005-0000-0000-00006B870000}"/>
    <cellStyle name="Normal 98 5 2 4 2 2" xfId="36101" xr:uid="{00000000-0005-0000-0000-00006C870000}"/>
    <cellStyle name="Normal 98 5 2 4 3" xfId="28054" xr:uid="{00000000-0005-0000-0000-00006D870000}"/>
    <cellStyle name="Normal 98 5 2 5" xfId="15796" xr:uid="{00000000-0005-0000-0000-00006E870000}"/>
    <cellStyle name="Normal 98 5 2 5 2" xfId="32352" xr:uid="{00000000-0005-0000-0000-00006F870000}"/>
    <cellStyle name="Normal 98 5 2 6" xfId="24309" xr:uid="{00000000-0005-0000-0000-000070870000}"/>
    <cellStyle name="Normal 98 5 3" xfId="6548" xr:uid="{00000000-0005-0000-0000-000071870000}"/>
    <cellStyle name="Normal 98 5 3 2" xfId="6549" xr:uid="{00000000-0005-0000-0000-000072870000}"/>
    <cellStyle name="Normal 98 5 3 2 2" xfId="10354" xr:uid="{00000000-0005-0000-0000-000073870000}"/>
    <cellStyle name="Normal 98 5 3 2 2 2" xfId="19528" xr:uid="{00000000-0005-0000-0000-000074870000}"/>
    <cellStyle name="Normal 98 5 3 2 2 2 2" xfId="36102" xr:uid="{00000000-0005-0000-0000-000075870000}"/>
    <cellStyle name="Normal 98 5 3 2 2 3" xfId="28055" xr:uid="{00000000-0005-0000-0000-000076870000}"/>
    <cellStyle name="Normal 98 5 3 2 3" xfId="15801" xr:uid="{00000000-0005-0000-0000-000077870000}"/>
    <cellStyle name="Normal 98 5 3 2 3 2" xfId="32357" xr:uid="{00000000-0005-0000-0000-000078870000}"/>
    <cellStyle name="Normal 98 5 3 2 4" xfId="24314" xr:uid="{00000000-0005-0000-0000-000079870000}"/>
    <cellStyle name="Normal 98 5 3 3" xfId="10355" xr:uid="{00000000-0005-0000-0000-00007A870000}"/>
    <cellStyle name="Normal 98 5 3 3 2" xfId="19529" xr:uid="{00000000-0005-0000-0000-00007B870000}"/>
    <cellStyle name="Normal 98 5 3 3 2 2" xfId="36103" xr:uid="{00000000-0005-0000-0000-00007C870000}"/>
    <cellStyle name="Normal 98 5 3 3 3" xfId="28056" xr:uid="{00000000-0005-0000-0000-00007D870000}"/>
    <cellStyle name="Normal 98 5 3 4" xfId="15800" xr:uid="{00000000-0005-0000-0000-00007E870000}"/>
    <cellStyle name="Normal 98 5 3 4 2" xfId="32356" xr:uid="{00000000-0005-0000-0000-00007F870000}"/>
    <cellStyle name="Normal 98 5 3 5" xfId="24313" xr:uid="{00000000-0005-0000-0000-000080870000}"/>
    <cellStyle name="Normal 98 5 4" xfId="6550" xr:uid="{00000000-0005-0000-0000-000081870000}"/>
    <cellStyle name="Normal 98 5 4 2" xfId="10356" xr:uid="{00000000-0005-0000-0000-000082870000}"/>
    <cellStyle name="Normal 98 5 4 2 2" xfId="19530" xr:uid="{00000000-0005-0000-0000-000083870000}"/>
    <cellStyle name="Normal 98 5 4 2 2 2" xfId="36104" xr:uid="{00000000-0005-0000-0000-000084870000}"/>
    <cellStyle name="Normal 98 5 4 2 3" xfId="28057" xr:uid="{00000000-0005-0000-0000-000085870000}"/>
    <cellStyle name="Normal 98 5 4 3" xfId="15802" xr:uid="{00000000-0005-0000-0000-000086870000}"/>
    <cellStyle name="Normal 98 5 4 3 2" xfId="32358" xr:uid="{00000000-0005-0000-0000-000087870000}"/>
    <cellStyle name="Normal 98 5 4 4" xfId="24315" xr:uid="{00000000-0005-0000-0000-000088870000}"/>
    <cellStyle name="Normal 98 5 5" xfId="10357" xr:uid="{00000000-0005-0000-0000-000089870000}"/>
    <cellStyle name="Normal 98 5 5 2" xfId="19531" xr:uid="{00000000-0005-0000-0000-00008A870000}"/>
    <cellStyle name="Normal 98 5 5 2 2" xfId="36105" xr:uid="{00000000-0005-0000-0000-00008B870000}"/>
    <cellStyle name="Normal 98 5 5 3" xfId="28058" xr:uid="{00000000-0005-0000-0000-00008C870000}"/>
    <cellStyle name="Normal 98 5 6" xfId="15795" xr:uid="{00000000-0005-0000-0000-00008D870000}"/>
    <cellStyle name="Normal 98 5 6 2" xfId="32351" xr:uid="{00000000-0005-0000-0000-00008E870000}"/>
    <cellStyle name="Normal 98 5 7" xfId="24308" xr:uid="{00000000-0005-0000-0000-00008F870000}"/>
    <cellStyle name="Normal 98 6" xfId="6551" xr:uid="{00000000-0005-0000-0000-000090870000}"/>
    <cellStyle name="Normal 98 6 2" xfId="6552" xr:uid="{00000000-0005-0000-0000-000091870000}"/>
    <cellStyle name="Normal 98 6 2 2" xfId="6553" xr:uid="{00000000-0005-0000-0000-000092870000}"/>
    <cellStyle name="Normal 98 6 2 2 2" xfId="10358" xr:uid="{00000000-0005-0000-0000-000093870000}"/>
    <cellStyle name="Normal 98 6 2 2 2 2" xfId="19532" xr:uid="{00000000-0005-0000-0000-000094870000}"/>
    <cellStyle name="Normal 98 6 2 2 2 2 2" xfId="36106" xr:uid="{00000000-0005-0000-0000-000095870000}"/>
    <cellStyle name="Normal 98 6 2 2 2 3" xfId="28059" xr:uid="{00000000-0005-0000-0000-000096870000}"/>
    <cellStyle name="Normal 98 6 2 2 3" xfId="15805" xr:uid="{00000000-0005-0000-0000-000097870000}"/>
    <cellStyle name="Normal 98 6 2 2 3 2" xfId="32361" xr:uid="{00000000-0005-0000-0000-000098870000}"/>
    <cellStyle name="Normal 98 6 2 2 4" xfId="24318" xr:uid="{00000000-0005-0000-0000-000099870000}"/>
    <cellStyle name="Normal 98 6 2 3" xfId="10359" xr:uid="{00000000-0005-0000-0000-00009A870000}"/>
    <cellStyle name="Normal 98 6 2 3 2" xfId="19533" xr:uid="{00000000-0005-0000-0000-00009B870000}"/>
    <cellStyle name="Normal 98 6 2 3 2 2" xfId="36107" xr:uid="{00000000-0005-0000-0000-00009C870000}"/>
    <cellStyle name="Normal 98 6 2 3 3" xfId="28060" xr:uid="{00000000-0005-0000-0000-00009D870000}"/>
    <cellStyle name="Normal 98 6 2 4" xfId="15804" xr:uid="{00000000-0005-0000-0000-00009E870000}"/>
    <cellStyle name="Normal 98 6 2 4 2" xfId="32360" xr:uid="{00000000-0005-0000-0000-00009F870000}"/>
    <cellStyle name="Normal 98 6 2 5" xfId="24317" xr:uid="{00000000-0005-0000-0000-0000A0870000}"/>
    <cellStyle name="Normal 98 6 3" xfId="6554" xr:uid="{00000000-0005-0000-0000-0000A1870000}"/>
    <cellStyle name="Normal 98 6 3 2" xfId="10360" xr:uid="{00000000-0005-0000-0000-0000A2870000}"/>
    <cellStyle name="Normal 98 6 3 2 2" xfId="19534" xr:uid="{00000000-0005-0000-0000-0000A3870000}"/>
    <cellStyle name="Normal 98 6 3 2 2 2" xfId="36108" xr:uid="{00000000-0005-0000-0000-0000A4870000}"/>
    <cellStyle name="Normal 98 6 3 2 3" xfId="28061" xr:uid="{00000000-0005-0000-0000-0000A5870000}"/>
    <cellStyle name="Normal 98 6 3 3" xfId="15806" xr:uid="{00000000-0005-0000-0000-0000A6870000}"/>
    <cellStyle name="Normal 98 6 3 3 2" xfId="32362" xr:uid="{00000000-0005-0000-0000-0000A7870000}"/>
    <cellStyle name="Normal 98 6 3 4" xfId="24319" xr:uid="{00000000-0005-0000-0000-0000A8870000}"/>
    <cellStyle name="Normal 98 6 4" xfId="10361" xr:uid="{00000000-0005-0000-0000-0000A9870000}"/>
    <cellStyle name="Normal 98 6 4 2" xfId="19535" xr:uid="{00000000-0005-0000-0000-0000AA870000}"/>
    <cellStyle name="Normal 98 6 4 2 2" xfId="36109" xr:uid="{00000000-0005-0000-0000-0000AB870000}"/>
    <cellStyle name="Normal 98 6 4 3" xfId="28062" xr:uid="{00000000-0005-0000-0000-0000AC870000}"/>
    <cellStyle name="Normal 98 6 5" xfId="15803" xr:uid="{00000000-0005-0000-0000-0000AD870000}"/>
    <cellStyle name="Normal 98 6 5 2" xfId="32359" xr:uid="{00000000-0005-0000-0000-0000AE870000}"/>
    <cellStyle name="Normal 98 6 6" xfId="24316" xr:uid="{00000000-0005-0000-0000-0000AF870000}"/>
    <cellStyle name="Normal 98 7" xfId="6555" xr:uid="{00000000-0005-0000-0000-0000B0870000}"/>
    <cellStyle name="Normal 98 7 2" xfId="6556" xr:uid="{00000000-0005-0000-0000-0000B1870000}"/>
    <cellStyle name="Normal 98 7 2 2" xfId="10362" xr:uid="{00000000-0005-0000-0000-0000B2870000}"/>
    <cellStyle name="Normal 98 7 2 2 2" xfId="19536" xr:uid="{00000000-0005-0000-0000-0000B3870000}"/>
    <cellStyle name="Normal 98 7 2 2 2 2" xfId="36110" xr:uid="{00000000-0005-0000-0000-0000B4870000}"/>
    <cellStyle name="Normal 98 7 2 2 3" xfId="28063" xr:uid="{00000000-0005-0000-0000-0000B5870000}"/>
    <cellStyle name="Normal 98 7 2 3" xfId="15808" xr:uid="{00000000-0005-0000-0000-0000B6870000}"/>
    <cellStyle name="Normal 98 7 2 3 2" xfId="32364" xr:uid="{00000000-0005-0000-0000-0000B7870000}"/>
    <cellStyle name="Normal 98 7 2 4" xfId="24321" xr:uid="{00000000-0005-0000-0000-0000B8870000}"/>
    <cellStyle name="Normal 98 7 3" xfId="10363" xr:uid="{00000000-0005-0000-0000-0000B9870000}"/>
    <cellStyle name="Normal 98 7 3 2" xfId="19537" xr:uid="{00000000-0005-0000-0000-0000BA870000}"/>
    <cellStyle name="Normal 98 7 3 2 2" xfId="36111" xr:uid="{00000000-0005-0000-0000-0000BB870000}"/>
    <cellStyle name="Normal 98 7 3 3" xfId="28064" xr:uid="{00000000-0005-0000-0000-0000BC870000}"/>
    <cellStyle name="Normal 98 7 4" xfId="15807" xr:uid="{00000000-0005-0000-0000-0000BD870000}"/>
    <cellStyle name="Normal 98 7 4 2" xfId="32363" xr:uid="{00000000-0005-0000-0000-0000BE870000}"/>
    <cellStyle name="Normal 98 7 5" xfId="24320" xr:uid="{00000000-0005-0000-0000-0000BF870000}"/>
    <cellStyle name="Normal 98 8" xfId="6557" xr:uid="{00000000-0005-0000-0000-0000C0870000}"/>
    <cellStyle name="Normal 98 8 2" xfId="10364" xr:uid="{00000000-0005-0000-0000-0000C1870000}"/>
    <cellStyle name="Normal 98 8 2 2" xfId="19538" xr:uid="{00000000-0005-0000-0000-0000C2870000}"/>
    <cellStyle name="Normal 98 8 2 2 2" xfId="36112" xr:uid="{00000000-0005-0000-0000-0000C3870000}"/>
    <cellStyle name="Normal 98 8 2 3" xfId="28065" xr:uid="{00000000-0005-0000-0000-0000C4870000}"/>
    <cellStyle name="Normal 98 8 3" xfId="15809" xr:uid="{00000000-0005-0000-0000-0000C5870000}"/>
    <cellStyle name="Normal 98 8 3 2" xfId="32365" xr:uid="{00000000-0005-0000-0000-0000C6870000}"/>
    <cellStyle name="Normal 98 8 4" xfId="24322" xr:uid="{00000000-0005-0000-0000-0000C7870000}"/>
    <cellStyle name="Normal 98 9" xfId="10365" xr:uid="{00000000-0005-0000-0000-0000C8870000}"/>
    <cellStyle name="Normal 98 9 2" xfId="19539" xr:uid="{00000000-0005-0000-0000-0000C9870000}"/>
    <cellStyle name="Normal 98 9 2 2" xfId="36113" xr:uid="{00000000-0005-0000-0000-0000CA870000}"/>
    <cellStyle name="Normal 98 9 3" xfId="28066" xr:uid="{00000000-0005-0000-0000-0000CB870000}"/>
    <cellStyle name="Normal 99" xfId="6558" xr:uid="{00000000-0005-0000-0000-0000CC870000}"/>
    <cellStyle name="Normal 99 2" xfId="10366" xr:uid="{00000000-0005-0000-0000-0000CD870000}"/>
    <cellStyle name="Normal_Cognex 4.17.07" xfId="80" xr:uid="{00000000-0005-0000-0000-0000CE870000}"/>
    <cellStyle name="Normal_EMC072000" xfId="82" xr:uid="{00000000-0005-0000-0000-0000CF870000}"/>
    <cellStyle name="Normal_GIGM test" xfId="11" xr:uid="{00000000-0005-0000-0000-0000D0870000}"/>
    <cellStyle name="NormalItalic" xfId="1947" xr:uid="{00000000-0005-0000-0000-0000D1870000}"/>
    <cellStyle name="Nota" xfId="1948" xr:uid="{00000000-0005-0000-0000-0000D2870000}"/>
    <cellStyle name="Nota 2" xfId="11102" xr:uid="{00000000-0005-0000-0000-0000D3870000}"/>
    <cellStyle name="Notas" xfId="1949" xr:uid="{00000000-0005-0000-0000-0000D4870000}"/>
    <cellStyle name="Notas 2" xfId="11103" xr:uid="{00000000-0005-0000-0000-0000D5870000}"/>
    <cellStyle name="Note" xfId="403" builtinId="10" customBuiltin="1"/>
    <cellStyle name="Note 10" xfId="11151" xr:uid="{00000000-0005-0000-0000-0000D7870000}"/>
    <cellStyle name="Note 11" xfId="11167" xr:uid="{00000000-0005-0000-0000-0000D8870000}"/>
    <cellStyle name="Note 12" xfId="11183" xr:uid="{00000000-0005-0000-0000-0000D9870000}"/>
    <cellStyle name="Note 13" xfId="11212" xr:uid="{00000000-0005-0000-0000-0000DA870000}"/>
    <cellStyle name="Note 14" xfId="11231" xr:uid="{00000000-0005-0000-0000-0000DB870000}"/>
    <cellStyle name="Note 15" xfId="11247" xr:uid="{00000000-0005-0000-0000-0000DC870000}"/>
    <cellStyle name="Note 16" xfId="11222" xr:uid="{00000000-0005-0000-0000-0000DD870000}"/>
    <cellStyle name="Note 17" xfId="11269" xr:uid="{00000000-0005-0000-0000-0000DE870000}"/>
    <cellStyle name="Note 18" xfId="11296" xr:uid="{00000000-0005-0000-0000-0000DF870000}"/>
    <cellStyle name="Note 19" xfId="11328" xr:uid="{00000000-0005-0000-0000-0000E0870000}"/>
    <cellStyle name="Note 2" xfId="339" xr:uid="{00000000-0005-0000-0000-0000E1870000}"/>
    <cellStyle name="Note 2 10" xfId="36226" xr:uid="{00000000-0005-0000-0000-0000E2870000}"/>
    <cellStyle name="Note 2 2" xfId="340" xr:uid="{00000000-0005-0000-0000-0000E3870000}"/>
    <cellStyle name="Note 2 2 2" xfId="1650" xr:uid="{00000000-0005-0000-0000-0000E4870000}"/>
    <cellStyle name="Note 2 2 2 2" xfId="1693" xr:uid="{00000000-0005-0000-0000-0000E5870000}"/>
    <cellStyle name="Note 2 2 2 2 2" xfId="10367" xr:uid="{00000000-0005-0000-0000-0000E6870000}"/>
    <cellStyle name="Note 2 2 2 2 2 2" xfId="19540" xr:uid="{00000000-0005-0000-0000-0000E7870000}"/>
    <cellStyle name="Note 2 2 2 2 2 2 2" xfId="36114" xr:uid="{00000000-0005-0000-0000-0000E8870000}"/>
    <cellStyle name="Note 2 2 2 2 2 3" xfId="28067" xr:uid="{00000000-0005-0000-0000-0000E9870000}"/>
    <cellStyle name="Note 2 2 2 2 3" xfId="6562" xr:uid="{00000000-0005-0000-0000-0000EA870000}"/>
    <cellStyle name="Note 2 2 2 2 3 2" xfId="32369" xr:uid="{00000000-0005-0000-0000-0000EB870000}"/>
    <cellStyle name="Note 2 2 2 2 4" xfId="24325" xr:uid="{00000000-0005-0000-0000-0000EC870000}"/>
    <cellStyle name="Note 2 2 2 3" xfId="1712" xr:uid="{00000000-0005-0000-0000-0000ED870000}"/>
    <cellStyle name="Note 2 2 2 3 2" xfId="10368" xr:uid="{00000000-0005-0000-0000-0000EE870000}"/>
    <cellStyle name="Note 2 2 2 3 2 2" xfId="36115" xr:uid="{00000000-0005-0000-0000-0000EF870000}"/>
    <cellStyle name="Note 2 2 2 3 3" xfId="28068" xr:uid="{00000000-0005-0000-0000-0000F0870000}"/>
    <cellStyle name="Note 2 2 2 4" xfId="6561" xr:uid="{00000000-0005-0000-0000-0000F1870000}"/>
    <cellStyle name="Note 2 2 2 4 2" xfId="32368" xr:uid="{00000000-0005-0000-0000-0000F2870000}"/>
    <cellStyle name="Note 2 2 2 5" xfId="24324" xr:uid="{00000000-0005-0000-0000-0000F3870000}"/>
    <cellStyle name="Note 2 2 3" xfId="1673" xr:uid="{00000000-0005-0000-0000-0000F4870000}"/>
    <cellStyle name="Note 2 2 3 2" xfId="10369" xr:uid="{00000000-0005-0000-0000-0000F5870000}"/>
    <cellStyle name="Note 2 2 3 2 2" xfId="19541" xr:uid="{00000000-0005-0000-0000-0000F6870000}"/>
    <cellStyle name="Note 2 2 3 2 2 2" xfId="36116" xr:uid="{00000000-0005-0000-0000-0000F7870000}"/>
    <cellStyle name="Note 2 2 3 2 3" xfId="28069" xr:uid="{00000000-0005-0000-0000-0000F8870000}"/>
    <cellStyle name="Note 2 2 3 3" xfId="6563" xr:uid="{00000000-0005-0000-0000-0000F9870000}"/>
    <cellStyle name="Note 2 2 3 3 2" xfId="32370" xr:uid="{00000000-0005-0000-0000-0000FA870000}"/>
    <cellStyle name="Note 2 2 3 4" xfId="24326" xr:uid="{00000000-0005-0000-0000-0000FB870000}"/>
    <cellStyle name="Note 2 2 4" xfId="10370" xr:uid="{00000000-0005-0000-0000-0000FC870000}"/>
    <cellStyle name="Note 2 2 4 2" xfId="19542" xr:uid="{00000000-0005-0000-0000-0000FD870000}"/>
    <cellStyle name="Note 2 2 4 2 2" xfId="36117" xr:uid="{00000000-0005-0000-0000-0000FE870000}"/>
    <cellStyle name="Note 2 2 4 3" xfId="28070" xr:uid="{00000000-0005-0000-0000-0000FF870000}"/>
    <cellStyle name="Note 2 2 5" xfId="6560" xr:uid="{00000000-0005-0000-0000-000000880000}"/>
    <cellStyle name="Note 2 2 5 2" xfId="32367" xr:uid="{00000000-0005-0000-0000-000001880000}"/>
    <cellStyle name="Note 2 2 6" xfId="24323" xr:uid="{00000000-0005-0000-0000-000002880000}"/>
    <cellStyle name="Note 2 2 7" xfId="36215" xr:uid="{00000000-0005-0000-0000-000003880000}"/>
    <cellStyle name="Note 2 2 8" xfId="36239" xr:uid="{00000000-0005-0000-0000-000004880000}"/>
    <cellStyle name="Note 2 2 9" xfId="36225" xr:uid="{00000000-0005-0000-0000-000005880000}"/>
    <cellStyle name="Note 2 3" xfId="1644" xr:uid="{00000000-0005-0000-0000-000006880000}"/>
    <cellStyle name="Note 2 3 2" xfId="1687" xr:uid="{00000000-0005-0000-0000-000007880000}"/>
    <cellStyle name="Note 2 3 2 2" xfId="10371" xr:uid="{00000000-0005-0000-0000-000008880000}"/>
    <cellStyle name="Note 2 3 2 2 2" xfId="19543" xr:uid="{00000000-0005-0000-0000-000009880000}"/>
    <cellStyle name="Note 2 3 2 2 2 2" xfId="36118" xr:uid="{00000000-0005-0000-0000-00000A880000}"/>
    <cellStyle name="Note 2 3 2 2 3" xfId="28071" xr:uid="{00000000-0005-0000-0000-00000B880000}"/>
    <cellStyle name="Note 2 3 2 3" xfId="6565" xr:uid="{00000000-0005-0000-0000-00000C880000}"/>
    <cellStyle name="Note 2 3 2 3 2" xfId="32372" xr:uid="{00000000-0005-0000-0000-00000D880000}"/>
    <cellStyle name="Note 2 3 2 4" xfId="24328" xr:uid="{00000000-0005-0000-0000-00000E880000}"/>
    <cellStyle name="Note 2 3 3" xfId="1706" xr:uid="{00000000-0005-0000-0000-00000F880000}"/>
    <cellStyle name="Note 2 3 3 2" xfId="10372" xr:uid="{00000000-0005-0000-0000-000010880000}"/>
    <cellStyle name="Note 2 3 3 2 2" xfId="36119" xr:uid="{00000000-0005-0000-0000-000011880000}"/>
    <cellStyle name="Note 2 3 3 3" xfId="28072" xr:uid="{00000000-0005-0000-0000-000012880000}"/>
    <cellStyle name="Note 2 3 4" xfId="6564" xr:uid="{00000000-0005-0000-0000-000013880000}"/>
    <cellStyle name="Note 2 3 4 2" xfId="32371" xr:uid="{00000000-0005-0000-0000-000014880000}"/>
    <cellStyle name="Note 2 3 5" xfId="24327" xr:uid="{00000000-0005-0000-0000-000015880000}"/>
    <cellStyle name="Note 2 4" xfId="1667" xr:uid="{00000000-0005-0000-0000-000016880000}"/>
    <cellStyle name="Note 2 4 2" xfId="10373" xr:uid="{00000000-0005-0000-0000-000017880000}"/>
    <cellStyle name="Note 2 4 2 2" xfId="19544" xr:uid="{00000000-0005-0000-0000-000018880000}"/>
    <cellStyle name="Note 2 4 2 2 2" xfId="36120" xr:uid="{00000000-0005-0000-0000-000019880000}"/>
    <cellStyle name="Note 2 4 2 3" xfId="28073" xr:uid="{00000000-0005-0000-0000-00001A880000}"/>
    <cellStyle name="Note 2 4 3" xfId="6566" xr:uid="{00000000-0005-0000-0000-00001B880000}"/>
    <cellStyle name="Note 2 4 3 2" xfId="32373" xr:uid="{00000000-0005-0000-0000-00001C880000}"/>
    <cellStyle name="Note 2 4 4" xfId="24329" xr:uid="{00000000-0005-0000-0000-00001D880000}"/>
    <cellStyle name="Note 2 5" xfId="10374" xr:uid="{00000000-0005-0000-0000-00001E880000}"/>
    <cellStyle name="Note 2 5 2" xfId="19545" xr:uid="{00000000-0005-0000-0000-00001F880000}"/>
    <cellStyle name="Note 2 5 2 2" xfId="36121" xr:uid="{00000000-0005-0000-0000-000020880000}"/>
    <cellStyle name="Note 2 5 3" xfId="28074" xr:uid="{00000000-0005-0000-0000-000021880000}"/>
    <cellStyle name="Note 2 6" xfId="10916" xr:uid="{00000000-0005-0000-0000-000022880000}"/>
    <cellStyle name="Note 2 6 2" xfId="32366" xr:uid="{00000000-0005-0000-0000-000023880000}"/>
    <cellStyle name="Note 2 7" xfId="6559" xr:uid="{00000000-0005-0000-0000-000024880000}"/>
    <cellStyle name="Note 2 8" xfId="36214" xr:uid="{00000000-0005-0000-0000-000025880000}"/>
    <cellStyle name="Note 2 9" xfId="36238" xr:uid="{00000000-0005-0000-0000-000026880000}"/>
    <cellStyle name="Note 20" xfId="11452" xr:uid="{00000000-0005-0000-0000-000027880000}"/>
    <cellStyle name="Note 21" xfId="11467" xr:uid="{00000000-0005-0000-0000-000028880000}"/>
    <cellStyle name="Note 22" xfId="11493" xr:uid="{00000000-0005-0000-0000-000029880000}"/>
    <cellStyle name="Note 23" xfId="11351" xr:uid="{00000000-0005-0000-0000-00002A880000}"/>
    <cellStyle name="Note 24" xfId="11487" xr:uid="{00000000-0005-0000-0000-00002B880000}"/>
    <cellStyle name="Note 25" xfId="11359" xr:uid="{00000000-0005-0000-0000-00002C880000}"/>
    <cellStyle name="Note 26" xfId="11481" xr:uid="{00000000-0005-0000-0000-00002D880000}"/>
    <cellStyle name="Note 27" xfId="11365" xr:uid="{00000000-0005-0000-0000-00002E880000}"/>
    <cellStyle name="Note 28" xfId="11476" xr:uid="{00000000-0005-0000-0000-00002F880000}"/>
    <cellStyle name="Note 29" xfId="11370" xr:uid="{00000000-0005-0000-0000-000030880000}"/>
    <cellStyle name="Note 3" xfId="341" xr:uid="{00000000-0005-0000-0000-000031880000}"/>
    <cellStyle name="Note 3 2" xfId="342" xr:uid="{00000000-0005-0000-0000-000032880000}"/>
    <cellStyle name="Note 3 2 2" xfId="343" xr:uid="{00000000-0005-0000-0000-000033880000}"/>
    <cellStyle name="Note 3 2 2 2" xfId="6567" xr:uid="{00000000-0005-0000-0000-000034880000}"/>
    <cellStyle name="Note 3 2 2 2 2" xfId="15813" xr:uid="{00000000-0005-0000-0000-000035880000}"/>
    <cellStyle name="Note 3 2 2 2 2 2" xfId="32377" xr:uid="{00000000-0005-0000-0000-000036880000}"/>
    <cellStyle name="Note 3 2 2 2 3" xfId="24333" xr:uid="{00000000-0005-0000-0000-000037880000}"/>
    <cellStyle name="Note 3 2 2 3" xfId="15812" xr:uid="{00000000-0005-0000-0000-000038880000}"/>
    <cellStyle name="Note 3 2 2 3 2" xfId="32376" xr:uid="{00000000-0005-0000-0000-000039880000}"/>
    <cellStyle name="Note 3 2 2 4" xfId="24332" xr:uid="{00000000-0005-0000-0000-00003A880000}"/>
    <cellStyle name="Note 3 2 3" xfId="6568" xr:uid="{00000000-0005-0000-0000-00003B880000}"/>
    <cellStyle name="Note 3 2 3 2" xfId="15814" xr:uid="{00000000-0005-0000-0000-00003C880000}"/>
    <cellStyle name="Note 3 2 3 2 2" xfId="32378" xr:uid="{00000000-0005-0000-0000-00003D880000}"/>
    <cellStyle name="Note 3 2 3 3" xfId="24334" xr:uid="{00000000-0005-0000-0000-00003E880000}"/>
    <cellStyle name="Note 3 2 4" xfId="15811" xr:uid="{00000000-0005-0000-0000-00003F880000}"/>
    <cellStyle name="Note 3 2 4 2" xfId="32375" xr:uid="{00000000-0005-0000-0000-000040880000}"/>
    <cellStyle name="Note 3 2 5" xfId="24331" xr:uid="{00000000-0005-0000-0000-000041880000}"/>
    <cellStyle name="Note 3 3" xfId="344" xr:uid="{00000000-0005-0000-0000-000042880000}"/>
    <cellStyle name="Note 3 3 2" xfId="6569" xr:uid="{00000000-0005-0000-0000-000043880000}"/>
    <cellStyle name="Note 3 3 2 2" xfId="15816" xr:uid="{00000000-0005-0000-0000-000044880000}"/>
    <cellStyle name="Note 3 3 2 2 2" xfId="32380" xr:uid="{00000000-0005-0000-0000-000045880000}"/>
    <cellStyle name="Note 3 3 2 3" xfId="24336" xr:uid="{00000000-0005-0000-0000-000046880000}"/>
    <cellStyle name="Note 3 3 3" xfId="15815" xr:uid="{00000000-0005-0000-0000-000047880000}"/>
    <cellStyle name="Note 3 3 3 2" xfId="32379" xr:uid="{00000000-0005-0000-0000-000048880000}"/>
    <cellStyle name="Note 3 3 4" xfId="24335" xr:uid="{00000000-0005-0000-0000-000049880000}"/>
    <cellStyle name="Note 3 4" xfId="6570" xr:uid="{00000000-0005-0000-0000-00004A880000}"/>
    <cellStyle name="Note 3 4 2" xfId="15817" xr:uid="{00000000-0005-0000-0000-00004B880000}"/>
    <cellStyle name="Note 3 4 2 2" xfId="32381" xr:uid="{00000000-0005-0000-0000-00004C880000}"/>
    <cellStyle name="Note 3 4 3" xfId="24337" xr:uid="{00000000-0005-0000-0000-00004D880000}"/>
    <cellStyle name="Note 3 5" xfId="15810" xr:uid="{00000000-0005-0000-0000-00004E880000}"/>
    <cellStyle name="Note 3 5 2" xfId="32374" xr:uid="{00000000-0005-0000-0000-00004F880000}"/>
    <cellStyle name="Note 3 6" xfId="24330" xr:uid="{00000000-0005-0000-0000-000050880000}"/>
    <cellStyle name="Note 30" xfId="11446" xr:uid="{00000000-0005-0000-0000-000051880000}"/>
    <cellStyle name="Note 31" xfId="11373" xr:uid="{00000000-0005-0000-0000-000052880000}"/>
    <cellStyle name="Note 32" xfId="11443" xr:uid="{00000000-0005-0000-0000-000053880000}"/>
    <cellStyle name="Note 33" xfId="11375" xr:uid="{00000000-0005-0000-0000-000054880000}"/>
    <cellStyle name="Note 34" xfId="11441" xr:uid="{00000000-0005-0000-0000-000055880000}"/>
    <cellStyle name="Note 35" xfId="11377" xr:uid="{00000000-0005-0000-0000-000056880000}"/>
    <cellStyle name="Note 36" xfId="11440" xr:uid="{00000000-0005-0000-0000-000057880000}"/>
    <cellStyle name="Note 37" xfId="11379" xr:uid="{00000000-0005-0000-0000-000058880000}"/>
    <cellStyle name="Note 38" xfId="11439" xr:uid="{00000000-0005-0000-0000-000059880000}"/>
    <cellStyle name="Note 39" xfId="11381" xr:uid="{00000000-0005-0000-0000-00005A880000}"/>
    <cellStyle name="Note 4" xfId="1217" xr:uid="{00000000-0005-0000-0000-00005B880000}"/>
    <cellStyle name="Note 4 2" xfId="1657" xr:uid="{00000000-0005-0000-0000-00005C880000}"/>
    <cellStyle name="Note 4 2 2" xfId="1699" xr:uid="{00000000-0005-0000-0000-00005D880000}"/>
    <cellStyle name="Note 4 2 2 2" xfId="6573" xr:uid="{00000000-0005-0000-0000-00005E880000}"/>
    <cellStyle name="Note 4 2 2 2 2" xfId="32384" xr:uid="{00000000-0005-0000-0000-00005F880000}"/>
    <cellStyle name="Note 4 2 2 3" xfId="24338" xr:uid="{00000000-0005-0000-0000-000060880000}"/>
    <cellStyle name="Note 4 2 3" xfId="1718" xr:uid="{00000000-0005-0000-0000-000061880000}"/>
    <cellStyle name="Note 4 2 3 2" xfId="32383" xr:uid="{00000000-0005-0000-0000-000062880000}"/>
    <cellStyle name="Note 4 2 3 3" xfId="15819" xr:uid="{00000000-0005-0000-0000-000063880000}"/>
    <cellStyle name="Note 4 2 4" xfId="6572" xr:uid="{00000000-0005-0000-0000-000064880000}"/>
    <cellStyle name="Note 4 3" xfId="1682" xr:uid="{00000000-0005-0000-0000-000065880000}"/>
    <cellStyle name="Note 4 3 2" xfId="6574" xr:uid="{00000000-0005-0000-0000-000066880000}"/>
    <cellStyle name="Note 4 3 2 2" xfId="32385" xr:uid="{00000000-0005-0000-0000-000067880000}"/>
    <cellStyle name="Note 4 3 3" xfId="24339" xr:uid="{00000000-0005-0000-0000-000068880000}"/>
    <cellStyle name="Note 4 4" xfId="1679" xr:uid="{00000000-0005-0000-0000-000069880000}"/>
    <cellStyle name="Note 4 4 2" xfId="32382" xr:uid="{00000000-0005-0000-0000-00006A880000}"/>
    <cellStyle name="Note 4 4 3" xfId="15818" xr:uid="{00000000-0005-0000-0000-00006B880000}"/>
    <cellStyle name="Note 4 5" xfId="6571" xr:uid="{00000000-0005-0000-0000-00006C880000}"/>
    <cellStyle name="Note 4 6" xfId="36216" xr:uid="{00000000-0005-0000-0000-00006D880000}"/>
    <cellStyle name="Note 40" xfId="11437" xr:uid="{00000000-0005-0000-0000-00006E880000}"/>
    <cellStyle name="Note 41" xfId="11386" xr:uid="{00000000-0005-0000-0000-00006F880000}"/>
    <cellStyle name="Note 41 2" xfId="28180" xr:uid="{00000000-0005-0000-0000-000070880000}"/>
    <cellStyle name="Note 42" xfId="19662" xr:uid="{00000000-0005-0000-0000-000071880000}"/>
    <cellStyle name="Note 43" xfId="19679" xr:uid="{00000000-0005-0000-0000-000072880000}"/>
    <cellStyle name="Note 44" xfId="19684" xr:uid="{00000000-0005-0000-0000-000073880000}"/>
    <cellStyle name="Note 45" xfId="19712" xr:uid="{00000000-0005-0000-0000-000074880000}"/>
    <cellStyle name="Note 46" xfId="19726" xr:uid="{00000000-0005-0000-0000-000075880000}"/>
    <cellStyle name="Note 47" xfId="19742" xr:uid="{00000000-0005-0000-0000-000076880000}"/>
    <cellStyle name="Note 48" xfId="19718" xr:uid="{00000000-0005-0000-0000-000077880000}"/>
    <cellStyle name="Note 49" xfId="19764" xr:uid="{00000000-0005-0000-0000-000078880000}"/>
    <cellStyle name="Note 5" xfId="6575" xr:uid="{00000000-0005-0000-0000-000079880000}"/>
    <cellStyle name="Note 5 2" xfId="6576" xr:uid="{00000000-0005-0000-0000-00007A880000}"/>
    <cellStyle name="Note 5 2 2" xfId="15821" xr:uid="{00000000-0005-0000-0000-00007B880000}"/>
    <cellStyle name="Note 5 2 2 2" xfId="32387" xr:uid="{00000000-0005-0000-0000-00007C880000}"/>
    <cellStyle name="Note 5 2 3" xfId="24341" xr:uid="{00000000-0005-0000-0000-00007D880000}"/>
    <cellStyle name="Note 5 3" xfId="15820" xr:uid="{00000000-0005-0000-0000-00007E880000}"/>
    <cellStyle name="Note 5 3 2" xfId="32386" xr:uid="{00000000-0005-0000-0000-00007F880000}"/>
    <cellStyle name="Note 5 4" xfId="24340" xr:uid="{00000000-0005-0000-0000-000080880000}"/>
    <cellStyle name="Note 50" xfId="19791" xr:uid="{00000000-0005-0000-0000-000081880000}"/>
    <cellStyle name="Note 51" xfId="19810" xr:uid="{00000000-0005-0000-0000-000082880000}"/>
    <cellStyle name="Note 52" xfId="19925" xr:uid="{00000000-0005-0000-0000-000083880000}"/>
    <cellStyle name="Note 53" xfId="19939" xr:uid="{00000000-0005-0000-0000-000084880000}"/>
    <cellStyle name="Note 54" xfId="19963" xr:uid="{00000000-0005-0000-0000-000085880000}"/>
    <cellStyle name="Note 55" xfId="19828" xr:uid="{00000000-0005-0000-0000-000086880000}"/>
    <cellStyle name="Note 56" xfId="19958" xr:uid="{00000000-0005-0000-0000-000087880000}"/>
    <cellStyle name="Note 57" xfId="19835" xr:uid="{00000000-0005-0000-0000-000088880000}"/>
    <cellStyle name="Note 58" xfId="19952" xr:uid="{00000000-0005-0000-0000-000089880000}"/>
    <cellStyle name="Note 59" xfId="19841" xr:uid="{00000000-0005-0000-0000-00008A880000}"/>
    <cellStyle name="Note 6" xfId="6577" xr:uid="{00000000-0005-0000-0000-00008B880000}"/>
    <cellStyle name="Note 6 2" xfId="6578" xr:uid="{00000000-0005-0000-0000-00008C880000}"/>
    <cellStyle name="Note 6 2 2" xfId="15823" xr:uid="{00000000-0005-0000-0000-00008D880000}"/>
    <cellStyle name="Note 6 2 2 2" xfId="32389" xr:uid="{00000000-0005-0000-0000-00008E880000}"/>
    <cellStyle name="Note 6 2 3" xfId="24343" xr:uid="{00000000-0005-0000-0000-00008F880000}"/>
    <cellStyle name="Note 6 3" xfId="15822" xr:uid="{00000000-0005-0000-0000-000090880000}"/>
    <cellStyle name="Note 6 3 2" xfId="32388" xr:uid="{00000000-0005-0000-0000-000091880000}"/>
    <cellStyle name="Note 6 4" xfId="24342" xr:uid="{00000000-0005-0000-0000-000092880000}"/>
    <cellStyle name="Note 60" xfId="19947" xr:uid="{00000000-0005-0000-0000-000093880000}"/>
    <cellStyle name="Note 61" xfId="19846" xr:uid="{00000000-0005-0000-0000-000094880000}"/>
    <cellStyle name="Note 62" xfId="19919" xr:uid="{00000000-0005-0000-0000-000095880000}"/>
    <cellStyle name="Note 63" xfId="19849" xr:uid="{00000000-0005-0000-0000-000096880000}"/>
    <cellStyle name="Note 64" xfId="19917" xr:uid="{00000000-0005-0000-0000-000097880000}"/>
    <cellStyle name="Note 65" xfId="19851" xr:uid="{00000000-0005-0000-0000-000098880000}"/>
    <cellStyle name="Note 66" xfId="19915" xr:uid="{00000000-0005-0000-0000-000099880000}"/>
    <cellStyle name="Note 67" xfId="19853" xr:uid="{00000000-0005-0000-0000-00009A880000}"/>
    <cellStyle name="Note 68" xfId="19914" xr:uid="{00000000-0005-0000-0000-00009B880000}"/>
    <cellStyle name="Note 69" xfId="19855" xr:uid="{00000000-0005-0000-0000-00009C880000}"/>
    <cellStyle name="Note 7" xfId="6579" xr:uid="{00000000-0005-0000-0000-00009D880000}"/>
    <cellStyle name="Note 7 2" xfId="15824" xr:uid="{00000000-0005-0000-0000-00009E880000}"/>
    <cellStyle name="Note 7 2 2" xfId="32390" xr:uid="{00000000-0005-0000-0000-00009F880000}"/>
    <cellStyle name="Note 7 3" xfId="24344" xr:uid="{00000000-0005-0000-0000-0000A0880000}"/>
    <cellStyle name="Note 70" xfId="19913" xr:uid="{00000000-0005-0000-0000-0000A1880000}"/>
    <cellStyle name="Note 71" xfId="19857" xr:uid="{00000000-0005-0000-0000-0000A2880000}"/>
    <cellStyle name="Note 72" xfId="19911" xr:uid="{00000000-0005-0000-0000-0000A3880000}"/>
    <cellStyle name="Note 73" xfId="19632" xr:uid="{00000000-0005-0000-0000-0000A4880000}"/>
    <cellStyle name="Note 8" xfId="6580" xr:uid="{00000000-0005-0000-0000-0000A5880000}"/>
    <cellStyle name="Note 8 2" xfId="15825" xr:uid="{00000000-0005-0000-0000-0000A6880000}"/>
    <cellStyle name="Note 8 2 2" xfId="32391" xr:uid="{00000000-0005-0000-0000-0000A7880000}"/>
    <cellStyle name="Note 8 3" xfId="24345" xr:uid="{00000000-0005-0000-0000-0000A8880000}"/>
    <cellStyle name="Note 9" xfId="6581" xr:uid="{00000000-0005-0000-0000-0000A9880000}"/>
    <cellStyle name="Note 9 2" xfId="15826" xr:uid="{00000000-0005-0000-0000-0000AA880000}"/>
    <cellStyle name="Note 9 2 2" xfId="32392" xr:uid="{00000000-0005-0000-0000-0000AB880000}"/>
    <cellStyle name="Note 9 3" xfId="24346" xr:uid="{00000000-0005-0000-0000-0000AC880000}"/>
    <cellStyle name="Nulos" xfId="1950" xr:uid="{00000000-0005-0000-0000-0000AD880000}"/>
    <cellStyle name="Number" xfId="345" xr:uid="{00000000-0005-0000-0000-0000AE880000}"/>
    <cellStyle name="Œ…‹æØ‚è [0.00]_GE 3 MINIMUM" xfId="1951" xr:uid="{00000000-0005-0000-0000-0000AF880000}"/>
    <cellStyle name="Œ…‹æØ‚è_GE 3 MINIMUM" xfId="1952" xr:uid="{00000000-0005-0000-0000-0000B0880000}"/>
    <cellStyle name="Oficio" xfId="1953" xr:uid="{00000000-0005-0000-0000-0000B1880000}"/>
    <cellStyle name="Osborne" xfId="346" xr:uid="{00000000-0005-0000-0000-0000B2880000}"/>
    <cellStyle name="Osborne 2" xfId="10424" xr:uid="{00000000-0005-0000-0000-0000B3880000}"/>
    <cellStyle name="Osborne 3" xfId="11137" xr:uid="{00000000-0005-0000-0000-0000B4880000}"/>
    <cellStyle name="OSW_RowLabels" xfId="1218" xr:uid="{00000000-0005-0000-0000-0000B5880000}"/>
    <cellStyle name="Output" xfId="398" builtinId="21" customBuiltin="1"/>
    <cellStyle name="Output 10" xfId="11274" xr:uid="{00000000-0005-0000-0000-0000B7880000}"/>
    <cellStyle name="Output 11" xfId="11291" xr:uid="{00000000-0005-0000-0000-0000B8880000}"/>
    <cellStyle name="Output 12" xfId="11323" xr:uid="{00000000-0005-0000-0000-0000B9880000}"/>
    <cellStyle name="Output 13" xfId="11457" xr:uid="{00000000-0005-0000-0000-0000BA880000}"/>
    <cellStyle name="Output 14" xfId="11342" xr:uid="{00000000-0005-0000-0000-0000BB880000}"/>
    <cellStyle name="Output 15" xfId="11498" xr:uid="{00000000-0005-0000-0000-0000BC880000}"/>
    <cellStyle name="Output 16" xfId="11515" xr:uid="{00000000-0005-0000-0000-0000BD880000}"/>
    <cellStyle name="Output 17" xfId="11530" xr:uid="{00000000-0005-0000-0000-0000BE880000}"/>
    <cellStyle name="Output 18" xfId="11547" xr:uid="{00000000-0005-0000-0000-0000BF880000}"/>
    <cellStyle name="Output 19" xfId="11563" xr:uid="{00000000-0005-0000-0000-0000C0880000}"/>
    <cellStyle name="Output 2" xfId="347" xr:uid="{00000000-0005-0000-0000-0000C1880000}"/>
    <cellStyle name="Output 2 2" xfId="348" xr:uid="{00000000-0005-0000-0000-0000C2880000}"/>
    <cellStyle name="Output 2 2 2" xfId="1651" xr:uid="{00000000-0005-0000-0000-0000C3880000}"/>
    <cellStyle name="Output 2 2 2 2" xfId="1694" xr:uid="{00000000-0005-0000-0000-0000C4880000}"/>
    <cellStyle name="Output 2 2 2 3" xfId="1713" xr:uid="{00000000-0005-0000-0000-0000C5880000}"/>
    <cellStyle name="Output 2 2 3" xfId="11129" xr:uid="{00000000-0005-0000-0000-0000C6880000}"/>
    <cellStyle name="Output 2 2 4" xfId="36241" xr:uid="{00000000-0005-0000-0000-0000C7880000}"/>
    <cellStyle name="Output 2 2 5" xfId="36223" xr:uid="{00000000-0005-0000-0000-0000C8880000}"/>
    <cellStyle name="Output 2 3" xfId="1645" xr:uid="{00000000-0005-0000-0000-0000C9880000}"/>
    <cellStyle name="Output 2 3 2" xfId="1688" xr:uid="{00000000-0005-0000-0000-0000CA880000}"/>
    <cellStyle name="Output 2 3 3" xfId="1707" xr:uid="{00000000-0005-0000-0000-0000CB880000}"/>
    <cellStyle name="Output 2 4" xfId="1668" xr:uid="{00000000-0005-0000-0000-0000CC880000}"/>
    <cellStyle name="Output 2 5" xfId="11128" xr:uid="{00000000-0005-0000-0000-0000CD880000}"/>
    <cellStyle name="Output 2 6" xfId="36240" xr:uid="{00000000-0005-0000-0000-0000CE880000}"/>
    <cellStyle name="Output 2 7" xfId="36224" xr:uid="{00000000-0005-0000-0000-0000CF880000}"/>
    <cellStyle name="Output 20" xfId="11579" xr:uid="{00000000-0005-0000-0000-0000D0880000}"/>
    <cellStyle name="Output 21" xfId="11595" xr:uid="{00000000-0005-0000-0000-0000D1880000}"/>
    <cellStyle name="Output 22" xfId="11611" xr:uid="{00000000-0005-0000-0000-0000D2880000}"/>
    <cellStyle name="Output 23" xfId="11626" xr:uid="{00000000-0005-0000-0000-0000D3880000}"/>
    <cellStyle name="Output 24" xfId="11643" xr:uid="{00000000-0005-0000-0000-0000D4880000}"/>
    <cellStyle name="Output 25" xfId="11658" xr:uid="{00000000-0005-0000-0000-0000D5880000}"/>
    <cellStyle name="Output 26" xfId="11674" xr:uid="{00000000-0005-0000-0000-0000D6880000}"/>
    <cellStyle name="Output 27" xfId="11688" xr:uid="{00000000-0005-0000-0000-0000D7880000}"/>
    <cellStyle name="Output 28" xfId="11703" xr:uid="{00000000-0005-0000-0000-0000D8880000}"/>
    <cellStyle name="Output 29" xfId="11718" xr:uid="{00000000-0005-0000-0000-0000D9880000}"/>
    <cellStyle name="Output 3" xfId="1219" xr:uid="{00000000-0005-0000-0000-0000DA880000}"/>
    <cellStyle name="Output 3 2" xfId="1658" xr:uid="{00000000-0005-0000-0000-0000DB880000}"/>
    <cellStyle name="Output 3 2 2" xfId="1700" xr:uid="{00000000-0005-0000-0000-0000DC880000}"/>
    <cellStyle name="Output 3 2 3" xfId="1719" xr:uid="{00000000-0005-0000-0000-0000DD880000}"/>
    <cellStyle name="Output 3 3" xfId="1683" xr:uid="{00000000-0005-0000-0000-0000DE880000}"/>
    <cellStyle name="Output 3 4" xfId="1678" xr:uid="{00000000-0005-0000-0000-0000DF880000}"/>
    <cellStyle name="Output 3 5" xfId="11146" xr:uid="{00000000-0005-0000-0000-0000E0880000}"/>
    <cellStyle name="Output 3 6" xfId="36217" xr:uid="{00000000-0005-0000-0000-0000E1880000}"/>
    <cellStyle name="Output 30" xfId="11733" xr:uid="{00000000-0005-0000-0000-0000E2880000}"/>
    <cellStyle name="Output 31" xfId="11748" xr:uid="{00000000-0005-0000-0000-0000E3880000}"/>
    <cellStyle name="Output 32" xfId="11763" xr:uid="{00000000-0005-0000-0000-0000E4880000}"/>
    <cellStyle name="Output 33" xfId="11780" xr:uid="{00000000-0005-0000-0000-0000E5880000}"/>
    <cellStyle name="Output 34" xfId="19657" xr:uid="{00000000-0005-0000-0000-0000E6880000}"/>
    <cellStyle name="Output 35" xfId="19674" xr:uid="{00000000-0005-0000-0000-0000E7880000}"/>
    <cellStyle name="Output 36" xfId="19689" xr:uid="{00000000-0005-0000-0000-0000E8880000}"/>
    <cellStyle name="Output 37" xfId="19707" xr:uid="{00000000-0005-0000-0000-0000E9880000}"/>
    <cellStyle name="Output 38" xfId="19731" xr:uid="{00000000-0005-0000-0000-0000EA880000}"/>
    <cellStyle name="Output 39" xfId="19747" xr:uid="{00000000-0005-0000-0000-0000EB880000}"/>
    <cellStyle name="Output 4" xfId="11162" xr:uid="{00000000-0005-0000-0000-0000EC880000}"/>
    <cellStyle name="Output 40" xfId="19715" xr:uid="{00000000-0005-0000-0000-0000ED880000}"/>
    <cellStyle name="Output 41" xfId="19769" xr:uid="{00000000-0005-0000-0000-0000EE880000}"/>
    <cellStyle name="Output 42" xfId="19786" xr:uid="{00000000-0005-0000-0000-0000EF880000}"/>
    <cellStyle name="Output 43" xfId="19805" xr:uid="{00000000-0005-0000-0000-0000F0880000}"/>
    <cellStyle name="Output 44" xfId="19930" xr:uid="{00000000-0005-0000-0000-0000F1880000}"/>
    <cellStyle name="Output 45" xfId="19820" xr:uid="{00000000-0005-0000-0000-0000F2880000}"/>
    <cellStyle name="Output 46" xfId="19968" xr:uid="{00000000-0005-0000-0000-0000F3880000}"/>
    <cellStyle name="Output 47" xfId="19984" xr:uid="{00000000-0005-0000-0000-0000F4880000}"/>
    <cellStyle name="Output 48" xfId="19999" xr:uid="{00000000-0005-0000-0000-0000F5880000}"/>
    <cellStyle name="Output 49" xfId="20015" xr:uid="{00000000-0005-0000-0000-0000F6880000}"/>
    <cellStyle name="Output 5" xfId="11188" xr:uid="{00000000-0005-0000-0000-0000F7880000}"/>
    <cellStyle name="Output 50" xfId="20030" xr:uid="{00000000-0005-0000-0000-0000F8880000}"/>
    <cellStyle name="Output 51" xfId="20046" xr:uid="{00000000-0005-0000-0000-0000F9880000}"/>
    <cellStyle name="Output 52" xfId="20061" xr:uid="{00000000-0005-0000-0000-0000FA880000}"/>
    <cellStyle name="Output 53" xfId="20076" xr:uid="{00000000-0005-0000-0000-0000FB880000}"/>
    <cellStyle name="Output 54" xfId="20090" xr:uid="{00000000-0005-0000-0000-0000FC880000}"/>
    <cellStyle name="Output 55" xfId="20106" xr:uid="{00000000-0005-0000-0000-0000FD880000}"/>
    <cellStyle name="Output 56" xfId="20120" xr:uid="{00000000-0005-0000-0000-0000FE880000}"/>
    <cellStyle name="Output 57" xfId="20135" xr:uid="{00000000-0005-0000-0000-0000FF880000}"/>
    <cellStyle name="Output 58" xfId="20148" xr:uid="{00000000-0005-0000-0000-000000890000}"/>
    <cellStyle name="Output 59" xfId="20162" xr:uid="{00000000-0005-0000-0000-000001890000}"/>
    <cellStyle name="Output 6" xfId="11207" xr:uid="{00000000-0005-0000-0000-000002890000}"/>
    <cellStyle name="Output 60" xfId="20177" xr:uid="{00000000-0005-0000-0000-000003890000}"/>
    <cellStyle name="Output 61" xfId="20192" xr:uid="{00000000-0005-0000-0000-000004890000}"/>
    <cellStyle name="Output 62" xfId="20208" xr:uid="{00000000-0005-0000-0000-000005890000}"/>
    <cellStyle name="Output 63" xfId="20223" xr:uid="{00000000-0005-0000-0000-000006890000}"/>
    <cellStyle name="Output 64" xfId="20240" xr:uid="{00000000-0005-0000-0000-000007890000}"/>
    <cellStyle name="Output 7" xfId="11236" xr:uid="{00000000-0005-0000-0000-000008890000}"/>
    <cellStyle name="Output 8" xfId="11252" xr:uid="{00000000-0005-0000-0000-000009890000}"/>
    <cellStyle name="Output 9" xfId="11215" xr:uid="{00000000-0005-0000-0000-00000A890000}"/>
    <cellStyle name="Page" xfId="1220" xr:uid="{00000000-0005-0000-0000-00000B890000}"/>
    <cellStyle name="Palatino" xfId="1221" xr:uid="{00000000-0005-0000-0000-00000C890000}"/>
    <cellStyle name="pe" xfId="1222" xr:uid="{00000000-0005-0000-0000-00000D890000}"/>
    <cellStyle name="PEG" xfId="1223" xr:uid="{00000000-0005-0000-0000-00000E890000}"/>
    <cellStyle name="Percent" xfId="3" builtinId="5"/>
    <cellStyle name="Percent % Long Underline" xfId="6642" xr:uid="{00000000-0005-0000-0000-000010890000}"/>
    <cellStyle name="Percent [0]" xfId="1224" xr:uid="{00000000-0005-0000-0000-000011890000}"/>
    <cellStyle name="Percent [1]" xfId="1225" xr:uid="{00000000-0005-0000-0000-000012890000}"/>
    <cellStyle name="Percent [1][]" xfId="1226" xr:uid="{00000000-0005-0000-0000-000013890000}"/>
    <cellStyle name="Percent [1]_LANCE_Model_v0.6.DCF.MASTER.Name" xfId="1227" xr:uid="{00000000-0005-0000-0000-000014890000}"/>
    <cellStyle name="Percent [2]" xfId="1228" xr:uid="{00000000-0005-0000-0000-000015890000}"/>
    <cellStyle name="Percent [2] 2" xfId="1954" xr:uid="{00000000-0005-0000-0000-000016890000}"/>
    <cellStyle name="Percent 0.00% Long Underline" xfId="6643" xr:uid="{00000000-0005-0000-0000-000017890000}"/>
    <cellStyle name="Percent 1" xfId="56" xr:uid="{00000000-0005-0000-0000-000018890000}"/>
    <cellStyle name="Percent 1 2" xfId="457" xr:uid="{00000000-0005-0000-0000-000019890000}"/>
    <cellStyle name="Percent 10" xfId="76" xr:uid="{00000000-0005-0000-0000-00001A890000}"/>
    <cellStyle name="Percent 10 2" xfId="386" xr:uid="{00000000-0005-0000-0000-00001B890000}"/>
    <cellStyle name="Percent 10 2 2" xfId="10375" xr:uid="{00000000-0005-0000-0000-00001C890000}"/>
    <cellStyle name="Percent 10 2 2 2" xfId="36122" xr:uid="{00000000-0005-0000-0000-00001D890000}"/>
    <cellStyle name="Percent 10 2 3" xfId="28075" xr:uid="{00000000-0005-0000-0000-00001E890000}"/>
    <cellStyle name="Percent 10 2 4" xfId="459" xr:uid="{00000000-0005-0000-0000-00001F890000}"/>
    <cellStyle name="Percent 10 3" xfId="460" xr:uid="{00000000-0005-0000-0000-000020890000}"/>
    <cellStyle name="Percent 10 3 2" xfId="32393" xr:uid="{00000000-0005-0000-0000-000021890000}"/>
    <cellStyle name="Percent 10 3 3" xfId="15827" xr:uid="{00000000-0005-0000-0000-000022890000}"/>
    <cellStyle name="Percent 10 4" xfId="1740" xr:uid="{00000000-0005-0000-0000-000023890000}"/>
    <cellStyle name="Percent 10 5" xfId="458" xr:uid="{00000000-0005-0000-0000-000024890000}"/>
    <cellStyle name="Percent 100" xfId="10676" xr:uid="{00000000-0005-0000-0000-000025890000}"/>
    <cellStyle name="Percent 101" xfId="10679" xr:uid="{00000000-0005-0000-0000-000026890000}"/>
    <cellStyle name="Percent 102" xfId="10682" xr:uid="{00000000-0005-0000-0000-000027890000}"/>
    <cellStyle name="Percent 103" xfId="10685" xr:uid="{00000000-0005-0000-0000-000028890000}"/>
    <cellStyle name="Percent 104" xfId="10688" xr:uid="{00000000-0005-0000-0000-000029890000}"/>
    <cellStyle name="Percent 105" xfId="10691" xr:uid="{00000000-0005-0000-0000-00002A890000}"/>
    <cellStyle name="Percent 106" xfId="10694" xr:uid="{00000000-0005-0000-0000-00002B890000}"/>
    <cellStyle name="Percent 107" xfId="10697" xr:uid="{00000000-0005-0000-0000-00002C890000}"/>
    <cellStyle name="Percent 108" xfId="10700" xr:uid="{00000000-0005-0000-0000-00002D890000}"/>
    <cellStyle name="Percent 109" xfId="10703" xr:uid="{00000000-0005-0000-0000-00002E890000}"/>
    <cellStyle name="Percent 11" xfId="461" xr:uid="{00000000-0005-0000-0000-00002F890000}"/>
    <cellStyle name="Percent 11 2" xfId="462" xr:uid="{00000000-0005-0000-0000-000030890000}"/>
    <cellStyle name="Percent 11 3" xfId="463" xr:uid="{00000000-0005-0000-0000-000031890000}"/>
    <cellStyle name="Percent 11 4" xfId="1779" xr:uid="{00000000-0005-0000-0000-000032890000}"/>
    <cellStyle name="Percent 110" xfId="10706" xr:uid="{00000000-0005-0000-0000-000033890000}"/>
    <cellStyle name="Percent 111" xfId="10709" xr:uid="{00000000-0005-0000-0000-000034890000}"/>
    <cellStyle name="Percent 112" xfId="10712" xr:uid="{00000000-0005-0000-0000-000035890000}"/>
    <cellStyle name="Percent 113" xfId="10715" xr:uid="{00000000-0005-0000-0000-000036890000}"/>
    <cellStyle name="Percent 114" xfId="10718" xr:uid="{00000000-0005-0000-0000-000037890000}"/>
    <cellStyle name="Percent 115" xfId="10721" xr:uid="{00000000-0005-0000-0000-000038890000}"/>
    <cellStyle name="Percent 116" xfId="10724" xr:uid="{00000000-0005-0000-0000-000039890000}"/>
    <cellStyle name="Percent 117" xfId="10727" xr:uid="{00000000-0005-0000-0000-00003A890000}"/>
    <cellStyle name="Percent 118" xfId="10730" xr:uid="{00000000-0005-0000-0000-00003B890000}"/>
    <cellStyle name="Percent 119" xfId="10733" xr:uid="{00000000-0005-0000-0000-00003C890000}"/>
    <cellStyle name="Percent 12" xfId="1636" xr:uid="{00000000-0005-0000-0000-00003D890000}"/>
    <cellStyle name="Percent 12 2" xfId="6582" xr:uid="{00000000-0005-0000-0000-00003E890000}"/>
    <cellStyle name="Percent 12 3" xfId="10376" xr:uid="{00000000-0005-0000-0000-00003F890000}"/>
    <cellStyle name="Percent 12 3 2" xfId="19546" xr:uid="{00000000-0005-0000-0000-000040890000}"/>
    <cellStyle name="Percent 12 3 2 2" xfId="36123" xr:uid="{00000000-0005-0000-0000-000041890000}"/>
    <cellStyle name="Percent 12 3 3" xfId="28076" xr:uid="{00000000-0005-0000-0000-000042890000}"/>
    <cellStyle name="Percent 120" xfId="10736" xr:uid="{00000000-0005-0000-0000-000043890000}"/>
    <cellStyle name="Percent 121" xfId="10739" xr:uid="{00000000-0005-0000-0000-000044890000}"/>
    <cellStyle name="Percent 122" xfId="10742" xr:uid="{00000000-0005-0000-0000-000045890000}"/>
    <cellStyle name="Percent 123" xfId="10745" xr:uid="{00000000-0005-0000-0000-000046890000}"/>
    <cellStyle name="Percent 124" xfId="10748" xr:uid="{00000000-0005-0000-0000-000047890000}"/>
    <cellStyle name="Percent 125" xfId="10751" xr:uid="{00000000-0005-0000-0000-000048890000}"/>
    <cellStyle name="Percent 126" xfId="10754" xr:uid="{00000000-0005-0000-0000-000049890000}"/>
    <cellStyle name="Percent 127" xfId="10757" xr:uid="{00000000-0005-0000-0000-00004A890000}"/>
    <cellStyle name="Percent 128" xfId="10760" xr:uid="{00000000-0005-0000-0000-00004B890000}"/>
    <cellStyle name="Percent 129" xfId="10763" xr:uid="{00000000-0005-0000-0000-00004C890000}"/>
    <cellStyle name="Percent 13" xfId="1638" xr:uid="{00000000-0005-0000-0000-00004D890000}"/>
    <cellStyle name="Percent 130" xfId="10766" xr:uid="{00000000-0005-0000-0000-00004E890000}"/>
    <cellStyle name="Percent 131" xfId="10769" xr:uid="{00000000-0005-0000-0000-00004F890000}"/>
    <cellStyle name="Percent 132" xfId="10772" xr:uid="{00000000-0005-0000-0000-000050890000}"/>
    <cellStyle name="Percent 133" xfId="10775" xr:uid="{00000000-0005-0000-0000-000051890000}"/>
    <cellStyle name="Percent 134" xfId="10778" xr:uid="{00000000-0005-0000-0000-000052890000}"/>
    <cellStyle name="Percent 135" xfId="10781" xr:uid="{00000000-0005-0000-0000-000053890000}"/>
    <cellStyle name="Percent 136" xfId="10784" xr:uid="{00000000-0005-0000-0000-000054890000}"/>
    <cellStyle name="Percent 137" xfId="10787" xr:uid="{00000000-0005-0000-0000-000055890000}"/>
    <cellStyle name="Percent 138" xfId="10790" xr:uid="{00000000-0005-0000-0000-000056890000}"/>
    <cellStyle name="Percent 139" xfId="10793" xr:uid="{00000000-0005-0000-0000-000057890000}"/>
    <cellStyle name="Percent 14" xfId="1640" xr:uid="{00000000-0005-0000-0000-000058890000}"/>
    <cellStyle name="Percent 140" xfId="10796" xr:uid="{00000000-0005-0000-0000-000059890000}"/>
    <cellStyle name="Percent 141" xfId="10799" xr:uid="{00000000-0005-0000-0000-00005A890000}"/>
    <cellStyle name="Percent 142" xfId="10802" xr:uid="{00000000-0005-0000-0000-00005B890000}"/>
    <cellStyle name="Percent 143" xfId="10805" xr:uid="{00000000-0005-0000-0000-00005C890000}"/>
    <cellStyle name="Percent 144" xfId="10808" xr:uid="{00000000-0005-0000-0000-00005D890000}"/>
    <cellStyle name="Percent 145" xfId="10811" xr:uid="{00000000-0005-0000-0000-00005E890000}"/>
    <cellStyle name="Percent 146" xfId="10814" xr:uid="{00000000-0005-0000-0000-00005F890000}"/>
    <cellStyle name="Percent 147" xfId="10817" xr:uid="{00000000-0005-0000-0000-000060890000}"/>
    <cellStyle name="Percent 148" xfId="10820" xr:uid="{00000000-0005-0000-0000-000061890000}"/>
    <cellStyle name="Percent 149" xfId="10823" xr:uid="{00000000-0005-0000-0000-000062890000}"/>
    <cellStyle name="Percent 15" xfId="1778" xr:uid="{00000000-0005-0000-0000-000063890000}"/>
    <cellStyle name="Percent 15 2" xfId="6632" xr:uid="{00000000-0005-0000-0000-000064890000}"/>
    <cellStyle name="Percent 150" xfId="10826" xr:uid="{00000000-0005-0000-0000-000065890000}"/>
    <cellStyle name="Percent 151" xfId="10829" xr:uid="{00000000-0005-0000-0000-000066890000}"/>
    <cellStyle name="Percent 152" xfId="10832" xr:uid="{00000000-0005-0000-0000-000067890000}"/>
    <cellStyle name="Percent 153" xfId="10835" xr:uid="{00000000-0005-0000-0000-000068890000}"/>
    <cellStyle name="Percent 154" xfId="10838" xr:uid="{00000000-0005-0000-0000-000069890000}"/>
    <cellStyle name="Percent 155" xfId="10841" xr:uid="{00000000-0005-0000-0000-00006A890000}"/>
    <cellStyle name="Percent 156" xfId="10844" xr:uid="{00000000-0005-0000-0000-00006B890000}"/>
    <cellStyle name="Percent 157" xfId="10847" xr:uid="{00000000-0005-0000-0000-00006C890000}"/>
    <cellStyle name="Percent 158" xfId="10850" xr:uid="{00000000-0005-0000-0000-00006D890000}"/>
    <cellStyle name="Percent 159" xfId="10853" xr:uid="{00000000-0005-0000-0000-00006E890000}"/>
    <cellStyle name="Percent 16" xfId="1786" xr:uid="{00000000-0005-0000-0000-00006F890000}"/>
    <cellStyle name="Percent 16 2" xfId="2142" xr:uid="{00000000-0005-0000-0000-000070890000}"/>
    <cellStyle name="Percent 16 2 2" xfId="28272" xr:uid="{00000000-0005-0000-0000-000071890000}"/>
    <cellStyle name="Percent 16 3" xfId="20188" xr:uid="{00000000-0005-0000-0000-000072890000}"/>
    <cellStyle name="Percent 160" xfId="10856" xr:uid="{00000000-0005-0000-0000-000073890000}"/>
    <cellStyle name="Percent 161" xfId="10859" xr:uid="{00000000-0005-0000-0000-000074890000}"/>
    <cellStyle name="Percent 162" xfId="10862" xr:uid="{00000000-0005-0000-0000-000075890000}"/>
    <cellStyle name="Percent 163" xfId="10865" xr:uid="{00000000-0005-0000-0000-000076890000}"/>
    <cellStyle name="Percent 164" xfId="10868" xr:uid="{00000000-0005-0000-0000-000077890000}"/>
    <cellStyle name="Percent 165" xfId="10871" xr:uid="{00000000-0005-0000-0000-000078890000}"/>
    <cellStyle name="Percent 166" xfId="10874" xr:uid="{00000000-0005-0000-0000-000079890000}"/>
    <cellStyle name="Percent 167" xfId="10877" xr:uid="{00000000-0005-0000-0000-00007A890000}"/>
    <cellStyle name="Percent 168" xfId="10880" xr:uid="{00000000-0005-0000-0000-00007B890000}"/>
    <cellStyle name="Percent 169" xfId="10883" xr:uid="{00000000-0005-0000-0000-00007C890000}"/>
    <cellStyle name="Percent 17" xfId="1737" xr:uid="{00000000-0005-0000-0000-00007D890000}"/>
    <cellStyle name="Percent 17 2" xfId="10427" xr:uid="{00000000-0005-0000-0000-00007E890000}"/>
    <cellStyle name="Percent 17 3" xfId="19647" xr:uid="{00000000-0005-0000-0000-00007F890000}"/>
    <cellStyle name="Percent 170" xfId="10886" xr:uid="{00000000-0005-0000-0000-000080890000}"/>
    <cellStyle name="Percent 171" xfId="10889" xr:uid="{00000000-0005-0000-0000-000081890000}"/>
    <cellStyle name="Percent 172" xfId="10958" xr:uid="{00000000-0005-0000-0000-000082890000}"/>
    <cellStyle name="Percent 173" xfId="10961" xr:uid="{00000000-0005-0000-0000-000083890000}"/>
    <cellStyle name="Percent 174" xfId="10964" xr:uid="{00000000-0005-0000-0000-000084890000}"/>
    <cellStyle name="Percent 175" xfId="10967" xr:uid="{00000000-0005-0000-0000-000085890000}"/>
    <cellStyle name="Percent 176" xfId="10970" xr:uid="{00000000-0005-0000-0000-000086890000}"/>
    <cellStyle name="Percent 177" xfId="10973" xr:uid="{00000000-0005-0000-0000-000087890000}"/>
    <cellStyle name="Percent 178" xfId="10976" xr:uid="{00000000-0005-0000-0000-000088890000}"/>
    <cellStyle name="Percent 179" xfId="10979" xr:uid="{00000000-0005-0000-0000-000089890000}"/>
    <cellStyle name="Percent 18" xfId="1744" xr:uid="{00000000-0005-0000-0000-00008A890000}"/>
    <cellStyle name="Percent 18 2" xfId="10430" xr:uid="{00000000-0005-0000-0000-00008B890000}"/>
    <cellStyle name="Percent 180" xfId="10982" xr:uid="{00000000-0005-0000-0000-00008C890000}"/>
    <cellStyle name="Percent 181" xfId="10985" xr:uid="{00000000-0005-0000-0000-00008D890000}"/>
    <cellStyle name="Percent 182" xfId="10988" xr:uid="{00000000-0005-0000-0000-00008E890000}"/>
    <cellStyle name="Percent 183" xfId="10991" xr:uid="{00000000-0005-0000-0000-00008F890000}"/>
    <cellStyle name="Percent 184" xfId="10994" xr:uid="{00000000-0005-0000-0000-000090890000}"/>
    <cellStyle name="Percent 185" xfId="10997" xr:uid="{00000000-0005-0000-0000-000091890000}"/>
    <cellStyle name="Percent 186" xfId="11000" xr:uid="{00000000-0005-0000-0000-000092890000}"/>
    <cellStyle name="Percent 187" xfId="11003" xr:uid="{00000000-0005-0000-0000-000093890000}"/>
    <cellStyle name="Percent 188" xfId="11006" xr:uid="{00000000-0005-0000-0000-000094890000}"/>
    <cellStyle name="Percent 189" xfId="11009" xr:uid="{00000000-0005-0000-0000-000095890000}"/>
    <cellStyle name="Percent 19" xfId="1790" xr:uid="{00000000-0005-0000-0000-000096890000}"/>
    <cellStyle name="Percent 19 2" xfId="10433" xr:uid="{00000000-0005-0000-0000-000097890000}"/>
    <cellStyle name="Percent 190" xfId="11012" xr:uid="{00000000-0005-0000-0000-000098890000}"/>
    <cellStyle name="Percent 191" xfId="11015" xr:uid="{00000000-0005-0000-0000-000099890000}"/>
    <cellStyle name="Percent 192" xfId="11018" xr:uid="{00000000-0005-0000-0000-00009A890000}"/>
    <cellStyle name="Percent 193" xfId="11021" xr:uid="{00000000-0005-0000-0000-00009B890000}"/>
    <cellStyle name="Percent 194" xfId="11024" xr:uid="{00000000-0005-0000-0000-00009C890000}"/>
    <cellStyle name="Percent 195" xfId="11027" xr:uid="{00000000-0005-0000-0000-00009D890000}"/>
    <cellStyle name="Percent 196" xfId="11030" xr:uid="{00000000-0005-0000-0000-00009E890000}"/>
    <cellStyle name="Percent 197" xfId="11033" xr:uid="{00000000-0005-0000-0000-00009F890000}"/>
    <cellStyle name="Percent 198" xfId="11036" xr:uid="{00000000-0005-0000-0000-0000A0890000}"/>
    <cellStyle name="Percent 199" xfId="11039" xr:uid="{00000000-0005-0000-0000-0000A1890000}"/>
    <cellStyle name="Percent 2" xfId="12" xr:uid="{00000000-0005-0000-0000-0000A2890000}"/>
    <cellStyle name="Percent 2 2" xfId="57" xr:uid="{00000000-0005-0000-0000-0000A3890000}"/>
    <cellStyle name="Percent 2 2 2" xfId="74" xr:uid="{00000000-0005-0000-0000-0000A4890000}"/>
    <cellStyle name="Percent 2 2 2 2" xfId="349" xr:uid="{00000000-0005-0000-0000-0000A5890000}"/>
    <cellStyle name="Percent 2 2 2 2 2" xfId="10377" xr:uid="{00000000-0005-0000-0000-0000A6890000}"/>
    <cellStyle name="Percent 2 2 3" xfId="350" xr:uid="{00000000-0005-0000-0000-0000A7890000}"/>
    <cellStyle name="Percent 2 2 3 2" xfId="6584" xr:uid="{00000000-0005-0000-0000-0000A8890000}"/>
    <cellStyle name="Percent 2 3" xfId="351" xr:uid="{00000000-0005-0000-0000-0000A9890000}"/>
    <cellStyle name="Percent 2 3 2" xfId="352" xr:uid="{00000000-0005-0000-0000-0000AA890000}"/>
    <cellStyle name="Percent 2 3 2 2" xfId="6585" xr:uid="{00000000-0005-0000-0000-0000AB890000}"/>
    <cellStyle name="Percent 2 3 2 2 2" xfId="32394" xr:uid="{00000000-0005-0000-0000-0000AC890000}"/>
    <cellStyle name="Percent 2 3 2 3" xfId="24347" xr:uid="{00000000-0005-0000-0000-0000AD890000}"/>
    <cellStyle name="Percent 2 3 3" xfId="387" xr:uid="{00000000-0005-0000-0000-0000AE890000}"/>
    <cellStyle name="Percent 2 4" xfId="353" xr:uid="{00000000-0005-0000-0000-0000AF890000}"/>
    <cellStyle name="Percent 2 4 2" xfId="6586" xr:uid="{00000000-0005-0000-0000-0000B0890000}"/>
    <cellStyle name="Percent 2 5" xfId="383" xr:uid="{00000000-0005-0000-0000-0000B1890000}"/>
    <cellStyle name="Percent 2 6" xfId="6583" xr:uid="{00000000-0005-0000-0000-0000B2890000}"/>
    <cellStyle name="Percent 2 7" xfId="2149" xr:uid="{00000000-0005-0000-0000-0000B3890000}"/>
    <cellStyle name="Percent 2 7 2" xfId="11758" xr:uid="{00000000-0005-0000-0000-0000B4890000}"/>
    <cellStyle name="Percent 2 7 2 2" xfId="28278" xr:uid="{00000000-0005-0000-0000-0000B5890000}"/>
    <cellStyle name="Percent 2 7 3" xfId="20218" xr:uid="{00000000-0005-0000-0000-0000B6890000}"/>
    <cellStyle name="Percent 2 8" xfId="10917" xr:uid="{00000000-0005-0000-0000-0000B7890000}"/>
    <cellStyle name="Percent 2 9" xfId="1796" xr:uid="{00000000-0005-0000-0000-0000B8890000}"/>
    <cellStyle name="Percent 20" xfId="10436" xr:uid="{00000000-0005-0000-0000-0000B9890000}"/>
    <cellStyle name="Percent 200" xfId="11042" xr:uid="{00000000-0005-0000-0000-0000BA890000}"/>
    <cellStyle name="Percent 201" xfId="11045" xr:uid="{00000000-0005-0000-0000-0000BB890000}"/>
    <cellStyle name="Percent 202" xfId="11048" xr:uid="{00000000-0005-0000-0000-0000BC890000}"/>
    <cellStyle name="Percent 203" xfId="11051" xr:uid="{00000000-0005-0000-0000-0000BD890000}"/>
    <cellStyle name="Percent 204" xfId="11054" xr:uid="{00000000-0005-0000-0000-0000BE890000}"/>
    <cellStyle name="Percent 205" xfId="11057" xr:uid="{00000000-0005-0000-0000-0000BF890000}"/>
    <cellStyle name="Percent 206" xfId="11060" xr:uid="{00000000-0005-0000-0000-0000C0890000}"/>
    <cellStyle name="Percent 207" xfId="1794" xr:uid="{00000000-0005-0000-0000-0000C1890000}"/>
    <cellStyle name="Percent 208" xfId="10952" xr:uid="{00000000-0005-0000-0000-0000C2890000}"/>
    <cellStyle name="Percent 209" xfId="11092" xr:uid="{00000000-0005-0000-0000-0000C3890000}"/>
    <cellStyle name="Percent 21" xfId="10439" xr:uid="{00000000-0005-0000-0000-0000C4890000}"/>
    <cellStyle name="Percent 210" xfId="11117" xr:uid="{00000000-0005-0000-0000-0000C5890000}"/>
    <cellStyle name="Percent 211" xfId="36207" xr:uid="{00000000-0005-0000-0000-0000C6890000}"/>
    <cellStyle name="Percent 22" xfId="10442" xr:uid="{00000000-0005-0000-0000-0000C7890000}"/>
    <cellStyle name="Percent 23" xfId="10445" xr:uid="{00000000-0005-0000-0000-0000C8890000}"/>
    <cellStyle name="Percent 24" xfId="10448" xr:uid="{00000000-0005-0000-0000-0000C9890000}"/>
    <cellStyle name="Percent 25" xfId="10451" xr:uid="{00000000-0005-0000-0000-0000CA890000}"/>
    <cellStyle name="Percent 26" xfId="10454" xr:uid="{00000000-0005-0000-0000-0000CB890000}"/>
    <cellStyle name="Percent 27" xfId="10457" xr:uid="{00000000-0005-0000-0000-0000CC890000}"/>
    <cellStyle name="Percent 28" xfId="10460" xr:uid="{00000000-0005-0000-0000-0000CD890000}"/>
    <cellStyle name="Percent 29" xfId="10463" xr:uid="{00000000-0005-0000-0000-0000CE890000}"/>
    <cellStyle name="Percent 3" xfId="58" xr:uid="{00000000-0005-0000-0000-0000CF890000}"/>
    <cellStyle name="Percent 3 2" xfId="354" xr:uid="{00000000-0005-0000-0000-0000D0890000}"/>
    <cellStyle name="Percent 3 2 2" xfId="355" xr:uid="{00000000-0005-0000-0000-0000D1890000}"/>
    <cellStyle name="Percent 3 2 3" xfId="6588" xr:uid="{00000000-0005-0000-0000-0000D2890000}"/>
    <cellStyle name="Percent 3 3" xfId="356" xr:uid="{00000000-0005-0000-0000-0000D3890000}"/>
    <cellStyle name="Percent 3 3 2" xfId="6587" xr:uid="{00000000-0005-0000-0000-0000D4890000}"/>
    <cellStyle name="Percent 3 4" xfId="10378" xr:uid="{00000000-0005-0000-0000-0000D5890000}"/>
    <cellStyle name="Percent 3 5" xfId="10918" xr:uid="{00000000-0005-0000-0000-0000D6890000}"/>
    <cellStyle name="Percent 3 6" xfId="2168" xr:uid="{00000000-0005-0000-0000-0000D7890000}"/>
    <cellStyle name="Percent 30" xfId="10466" xr:uid="{00000000-0005-0000-0000-0000D8890000}"/>
    <cellStyle name="Percent 31" xfId="10469" xr:uid="{00000000-0005-0000-0000-0000D9890000}"/>
    <cellStyle name="Percent 32" xfId="10472" xr:uid="{00000000-0005-0000-0000-0000DA890000}"/>
    <cellStyle name="Percent 33" xfId="10475" xr:uid="{00000000-0005-0000-0000-0000DB890000}"/>
    <cellStyle name="Percent 34" xfId="10478" xr:uid="{00000000-0005-0000-0000-0000DC890000}"/>
    <cellStyle name="Percent 35" xfId="10481" xr:uid="{00000000-0005-0000-0000-0000DD890000}"/>
    <cellStyle name="Percent 36" xfId="10484" xr:uid="{00000000-0005-0000-0000-0000DE890000}"/>
    <cellStyle name="Percent 37" xfId="10487" xr:uid="{00000000-0005-0000-0000-0000DF890000}"/>
    <cellStyle name="Percent 38" xfId="10490" xr:uid="{00000000-0005-0000-0000-0000E0890000}"/>
    <cellStyle name="Percent 39" xfId="10493" xr:uid="{00000000-0005-0000-0000-0000E1890000}"/>
    <cellStyle name="Percent 4" xfId="59" xr:uid="{00000000-0005-0000-0000-0000E2890000}"/>
    <cellStyle name="Percent 4 2" xfId="357" xr:uid="{00000000-0005-0000-0000-0000E3890000}"/>
    <cellStyle name="Percent 4 2 2" xfId="6590" xr:uid="{00000000-0005-0000-0000-0000E4890000}"/>
    <cellStyle name="Percent 4 2 2 2" xfId="6591" xr:uid="{00000000-0005-0000-0000-0000E5890000}"/>
    <cellStyle name="Percent 4 2 2 2 2" xfId="10379" xr:uid="{00000000-0005-0000-0000-0000E6890000}"/>
    <cellStyle name="Percent 4 2 2 2 2 2" xfId="19547" xr:uid="{00000000-0005-0000-0000-0000E7890000}"/>
    <cellStyle name="Percent 4 2 2 2 2 2 2" xfId="36124" xr:uid="{00000000-0005-0000-0000-0000E8890000}"/>
    <cellStyle name="Percent 4 2 2 2 2 3" xfId="28077" xr:uid="{00000000-0005-0000-0000-0000E9890000}"/>
    <cellStyle name="Percent 4 2 2 2 3" xfId="15829" xr:uid="{00000000-0005-0000-0000-0000EA890000}"/>
    <cellStyle name="Percent 4 2 2 2 3 2" xfId="32397" xr:uid="{00000000-0005-0000-0000-0000EB890000}"/>
    <cellStyle name="Percent 4 2 2 2 4" xfId="24350" xr:uid="{00000000-0005-0000-0000-0000EC890000}"/>
    <cellStyle name="Percent 4 2 2 3" xfId="10380" xr:uid="{00000000-0005-0000-0000-0000ED890000}"/>
    <cellStyle name="Percent 4 2 2 3 2" xfId="19548" xr:uid="{00000000-0005-0000-0000-0000EE890000}"/>
    <cellStyle name="Percent 4 2 2 3 2 2" xfId="36125" xr:uid="{00000000-0005-0000-0000-0000EF890000}"/>
    <cellStyle name="Percent 4 2 2 3 3" xfId="28078" xr:uid="{00000000-0005-0000-0000-0000F0890000}"/>
    <cellStyle name="Percent 4 2 2 4" xfId="15828" xr:uid="{00000000-0005-0000-0000-0000F1890000}"/>
    <cellStyle name="Percent 4 2 2 4 2" xfId="32396" xr:uid="{00000000-0005-0000-0000-0000F2890000}"/>
    <cellStyle name="Percent 4 2 2 5" xfId="24349" xr:uid="{00000000-0005-0000-0000-0000F3890000}"/>
    <cellStyle name="Percent 4 2 3" xfId="6592" xr:uid="{00000000-0005-0000-0000-0000F4890000}"/>
    <cellStyle name="Percent 4 2 3 2" xfId="10381" xr:uid="{00000000-0005-0000-0000-0000F5890000}"/>
    <cellStyle name="Percent 4 2 3 2 2" xfId="19549" xr:uid="{00000000-0005-0000-0000-0000F6890000}"/>
    <cellStyle name="Percent 4 2 3 2 2 2" xfId="36126" xr:uid="{00000000-0005-0000-0000-0000F7890000}"/>
    <cellStyle name="Percent 4 2 3 2 3" xfId="28079" xr:uid="{00000000-0005-0000-0000-0000F8890000}"/>
    <cellStyle name="Percent 4 2 3 3" xfId="15830" xr:uid="{00000000-0005-0000-0000-0000F9890000}"/>
    <cellStyle name="Percent 4 2 3 3 2" xfId="32398" xr:uid="{00000000-0005-0000-0000-0000FA890000}"/>
    <cellStyle name="Percent 4 2 3 4" xfId="24351" xr:uid="{00000000-0005-0000-0000-0000FB890000}"/>
    <cellStyle name="Percent 4 2 4" xfId="10382" xr:uid="{00000000-0005-0000-0000-0000FC890000}"/>
    <cellStyle name="Percent 4 2 4 2" xfId="19550" xr:uid="{00000000-0005-0000-0000-0000FD890000}"/>
    <cellStyle name="Percent 4 2 4 2 2" xfId="36127" xr:uid="{00000000-0005-0000-0000-0000FE890000}"/>
    <cellStyle name="Percent 4 2 4 3" xfId="28080" xr:uid="{00000000-0005-0000-0000-0000FF890000}"/>
    <cellStyle name="Percent 4 2 5" xfId="6589" xr:uid="{00000000-0005-0000-0000-0000008A0000}"/>
    <cellStyle name="Percent 4 2 5 2" xfId="32395" xr:uid="{00000000-0005-0000-0000-0000018A0000}"/>
    <cellStyle name="Percent 4 2 6" xfId="24348" xr:uid="{00000000-0005-0000-0000-0000028A0000}"/>
    <cellStyle name="Percent 4 3" xfId="6593" xr:uid="{00000000-0005-0000-0000-0000038A0000}"/>
    <cellStyle name="Percent 4 3 2" xfId="6594" xr:uid="{00000000-0005-0000-0000-0000048A0000}"/>
    <cellStyle name="Percent 4 3 2 2" xfId="10383" xr:uid="{00000000-0005-0000-0000-0000058A0000}"/>
    <cellStyle name="Percent 4 3 2 2 2" xfId="19551" xr:uid="{00000000-0005-0000-0000-0000068A0000}"/>
    <cellStyle name="Percent 4 3 2 2 2 2" xfId="36128" xr:uid="{00000000-0005-0000-0000-0000078A0000}"/>
    <cellStyle name="Percent 4 3 2 2 3" xfId="28081" xr:uid="{00000000-0005-0000-0000-0000088A0000}"/>
    <cellStyle name="Percent 4 3 2 3" xfId="15832" xr:uid="{00000000-0005-0000-0000-0000098A0000}"/>
    <cellStyle name="Percent 4 3 2 3 2" xfId="32400" xr:uid="{00000000-0005-0000-0000-00000A8A0000}"/>
    <cellStyle name="Percent 4 3 2 4" xfId="24353" xr:uid="{00000000-0005-0000-0000-00000B8A0000}"/>
    <cellStyle name="Percent 4 3 3" xfId="10384" xr:uid="{00000000-0005-0000-0000-00000C8A0000}"/>
    <cellStyle name="Percent 4 3 3 2" xfId="19552" xr:uid="{00000000-0005-0000-0000-00000D8A0000}"/>
    <cellStyle name="Percent 4 3 3 2 2" xfId="36129" xr:uid="{00000000-0005-0000-0000-00000E8A0000}"/>
    <cellStyle name="Percent 4 3 3 3" xfId="28082" xr:uid="{00000000-0005-0000-0000-00000F8A0000}"/>
    <cellStyle name="Percent 4 3 4" xfId="15831" xr:uid="{00000000-0005-0000-0000-0000108A0000}"/>
    <cellStyle name="Percent 4 3 4 2" xfId="32399" xr:uid="{00000000-0005-0000-0000-0000118A0000}"/>
    <cellStyle name="Percent 4 3 5" xfId="24352" xr:uid="{00000000-0005-0000-0000-0000128A0000}"/>
    <cellStyle name="Percent 4 4" xfId="6595" xr:uid="{00000000-0005-0000-0000-0000138A0000}"/>
    <cellStyle name="Percent 4 4 2" xfId="10385" xr:uid="{00000000-0005-0000-0000-0000148A0000}"/>
    <cellStyle name="Percent 4 4 2 2" xfId="19553" xr:uid="{00000000-0005-0000-0000-0000158A0000}"/>
    <cellStyle name="Percent 4 4 2 2 2" xfId="36130" xr:uid="{00000000-0005-0000-0000-0000168A0000}"/>
    <cellStyle name="Percent 4 4 2 3" xfId="28083" xr:uid="{00000000-0005-0000-0000-0000178A0000}"/>
    <cellStyle name="Percent 4 4 3" xfId="15833" xr:uid="{00000000-0005-0000-0000-0000188A0000}"/>
    <cellStyle name="Percent 4 4 3 2" xfId="32401" xr:uid="{00000000-0005-0000-0000-0000198A0000}"/>
    <cellStyle name="Percent 4 4 4" xfId="24354" xr:uid="{00000000-0005-0000-0000-00001A8A0000}"/>
    <cellStyle name="Percent 4 5" xfId="6596" xr:uid="{00000000-0005-0000-0000-00001B8A0000}"/>
    <cellStyle name="Percent 4 5 2" xfId="15834" xr:uid="{00000000-0005-0000-0000-00001C8A0000}"/>
    <cellStyle name="Percent 4 5 2 2" xfId="32402" xr:uid="{00000000-0005-0000-0000-00001D8A0000}"/>
    <cellStyle name="Percent 4 5 3" xfId="24355" xr:uid="{00000000-0005-0000-0000-00001E8A0000}"/>
    <cellStyle name="Percent 4 6" xfId="10386" xr:uid="{00000000-0005-0000-0000-00001F8A0000}"/>
    <cellStyle name="Percent 4 6 2" xfId="19554" xr:uid="{00000000-0005-0000-0000-0000208A0000}"/>
    <cellStyle name="Percent 4 6 2 2" xfId="36131" xr:uid="{00000000-0005-0000-0000-0000218A0000}"/>
    <cellStyle name="Percent 4 6 3" xfId="28084" xr:uid="{00000000-0005-0000-0000-0000228A0000}"/>
    <cellStyle name="Percent 4 7" xfId="10919" xr:uid="{00000000-0005-0000-0000-0000238A0000}"/>
    <cellStyle name="Percent 40" xfId="10496" xr:uid="{00000000-0005-0000-0000-0000248A0000}"/>
    <cellStyle name="Percent 41" xfId="10499" xr:uid="{00000000-0005-0000-0000-0000258A0000}"/>
    <cellStyle name="Percent 42" xfId="10502" xr:uid="{00000000-0005-0000-0000-0000268A0000}"/>
    <cellStyle name="Percent 43" xfId="10505" xr:uid="{00000000-0005-0000-0000-0000278A0000}"/>
    <cellStyle name="Percent 44" xfId="10508" xr:uid="{00000000-0005-0000-0000-0000288A0000}"/>
    <cellStyle name="Percent 45" xfId="10511" xr:uid="{00000000-0005-0000-0000-0000298A0000}"/>
    <cellStyle name="Percent 46" xfId="10514" xr:uid="{00000000-0005-0000-0000-00002A8A0000}"/>
    <cellStyle name="Percent 47" xfId="10517" xr:uid="{00000000-0005-0000-0000-00002B8A0000}"/>
    <cellStyle name="Percent 48" xfId="10520" xr:uid="{00000000-0005-0000-0000-00002C8A0000}"/>
    <cellStyle name="Percent 49" xfId="10523" xr:uid="{00000000-0005-0000-0000-00002D8A0000}"/>
    <cellStyle name="Percent 5" xfId="60" xr:uid="{00000000-0005-0000-0000-00002E8A0000}"/>
    <cellStyle name="Percent 5 2" xfId="1780" xr:uid="{00000000-0005-0000-0000-00002F8A0000}"/>
    <cellStyle name="Percent 5 2 2" xfId="6597" xr:uid="{00000000-0005-0000-0000-0000308A0000}"/>
    <cellStyle name="Percent 5 2 2 2" xfId="6598" xr:uid="{00000000-0005-0000-0000-0000318A0000}"/>
    <cellStyle name="Percent 5 2 2 2 2" xfId="10387" xr:uid="{00000000-0005-0000-0000-0000328A0000}"/>
    <cellStyle name="Percent 5 2 2 2 2 2" xfId="19555" xr:uid="{00000000-0005-0000-0000-0000338A0000}"/>
    <cellStyle name="Percent 5 2 2 2 2 2 2" xfId="36132" xr:uid="{00000000-0005-0000-0000-0000348A0000}"/>
    <cellStyle name="Percent 5 2 2 2 2 3" xfId="28085" xr:uid="{00000000-0005-0000-0000-0000358A0000}"/>
    <cellStyle name="Percent 5 2 2 2 3" xfId="15836" xr:uid="{00000000-0005-0000-0000-0000368A0000}"/>
    <cellStyle name="Percent 5 2 2 2 3 2" xfId="32404" xr:uid="{00000000-0005-0000-0000-0000378A0000}"/>
    <cellStyle name="Percent 5 2 2 2 4" xfId="24357" xr:uid="{00000000-0005-0000-0000-0000388A0000}"/>
    <cellStyle name="Percent 5 2 2 3" xfId="10388" xr:uid="{00000000-0005-0000-0000-0000398A0000}"/>
    <cellStyle name="Percent 5 2 2 3 2" xfId="19556" xr:uid="{00000000-0005-0000-0000-00003A8A0000}"/>
    <cellStyle name="Percent 5 2 2 3 2 2" xfId="36133" xr:uid="{00000000-0005-0000-0000-00003B8A0000}"/>
    <cellStyle name="Percent 5 2 2 3 3" xfId="28086" xr:uid="{00000000-0005-0000-0000-00003C8A0000}"/>
    <cellStyle name="Percent 5 2 2 4" xfId="15835" xr:uid="{00000000-0005-0000-0000-00003D8A0000}"/>
    <cellStyle name="Percent 5 2 2 4 2" xfId="32403" xr:uid="{00000000-0005-0000-0000-00003E8A0000}"/>
    <cellStyle name="Percent 5 2 2 5" xfId="24356" xr:uid="{00000000-0005-0000-0000-00003F8A0000}"/>
    <cellStyle name="Percent 5 2 3" xfId="6599" xr:uid="{00000000-0005-0000-0000-0000408A0000}"/>
    <cellStyle name="Percent 5 2 3 2" xfId="10389" xr:uid="{00000000-0005-0000-0000-0000418A0000}"/>
    <cellStyle name="Percent 5 2 3 2 2" xfId="19557" xr:uid="{00000000-0005-0000-0000-0000428A0000}"/>
    <cellStyle name="Percent 5 2 3 2 2 2" xfId="36134" xr:uid="{00000000-0005-0000-0000-0000438A0000}"/>
    <cellStyle name="Percent 5 2 3 2 3" xfId="28087" xr:uid="{00000000-0005-0000-0000-0000448A0000}"/>
    <cellStyle name="Percent 5 2 3 3" xfId="15837" xr:uid="{00000000-0005-0000-0000-0000458A0000}"/>
    <cellStyle name="Percent 5 2 3 3 2" xfId="32405" xr:uid="{00000000-0005-0000-0000-0000468A0000}"/>
    <cellStyle name="Percent 5 2 3 4" xfId="24358" xr:uid="{00000000-0005-0000-0000-0000478A0000}"/>
    <cellStyle name="Percent 5 2 4" xfId="6600" xr:uid="{00000000-0005-0000-0000-0000488A0000}"/>
    <cellStyle name="Percent 5 2 4 2" xfId="15838" xr:uid="{00000000-0005-0000-0000-0000498A0000}"/>
    <cellStyle name="Percent 5 2 4 2 2" xfId="32406" xr:uid="{00000000-0005-0000-0000-00004A8A0000}"/>
    <cellStyle name="Percent 5 2 4 3" xfId="24359" xr:uid="{00000000-0005-0000-0000-00004B8A0000}"/>
    <cellStyle name="Percent 5 3" xfId="6601" xr:uid="{00000000-0005-0000-0000-00004C8A0000}"/>
    <cellStyle name="Percent 5 3 2" xfId="6602" xr:uid="{00000000-0005-0000-0000-00004D8A0000}"/>
    <cellStyle name="Percent 5 3 2 2" xfId="10390" xr:uid="{00000000-0005-0000-0000-00004E8A0000}"/>
    <cellStyle name="Percent 5 3 2 2 2" xfId="19558" xr:uid="{00000000-0005-0000-0000-00004F8A0000}"/>
    <cellStyle name="Percent 5 3 2 2 2 2" xfId="36135" xr:uid="{00000000-0005-0000-0000-0000508A0000}"/>
    <cellStyle name="Percent 5 3 2 2 3" xfId="28088" xr:uid="{00000000-0005-0000-0000-0000518A0000}"/>
    <cellStyle name="Percent 5 3 2 3" xfId="15840" xr:uid="{00000000-0005-0000-0000-0000528A0000}"/>
    <cellStyle name="Percent 5 3 2 3 2" xfId="32408" xr:uid="{00000000-0005-0000-0000-0000538A0000}"/>
    <cellStyle name="Percent 5 3 2 4" xfId="24361" xr:uid="{00000000-0005-0000-0000-0000548A0000}"/>
    <cellStyle name="Percent 5 3 3" xfId="10391" xr:uid="{00000000-0005-0000-0000-0000558A0000}"/>
    <cellStyle name="Percent 5 3 3 2" xfId="19559" xr:uid="{00000000-0005-0000-0000-0000568A0000}"/>
    <cellStyle name="Percent 5 3 3 2 2" xfId="36136" xr:uid="{00000000-0005-0000-0000-0000578A0000}"/>
    <cellStyle name="Percent 5 3 3 3" xfId="28089" xr:uid="{00000000-0005-0000-0000-0000588A0000}"/>
    <cellStyle name="Percent 5 3 4" xfId="15839" xr:uid="{00000000-0005-0000-0000-0000598A0000}"/>
    <cellStyle name="Percent 5 3 4 2" xfId="32407" xr:uid="{00000000-0005-0000-0000-00005A8A0000}"/>
    <cellStyle name="Percent 5 3 5" xfId="24360" xr:uid="{00000000-0005-0000-0000-00005B8A0000}"/>
    <cellStyle name="Percent 5 4" xfId="6603" xr:uid="{00000000-0005-0000-0000-00005C8A0000}"/>
    <cellStyle name="Percent 5 4 2" xfId="10392" xr:uid="{00000000-0005-0000-0000-00005D8A0000}"/>
    <cellStyle name="Percent 5 4 2 2" xfId="19560" xr:uid="{00000000-0005-0000-0000-00005E8A0000}"/>
    <cellStyle name="Percent 5 4 2 2 2" xfId="36137" xr:uid="{00000000-0005-0000-0000-00005F8A0000}"/>
    <cellStyle name="Percent 5 4 2 3" xfId="28090" xr:uid="{00000000-0005-0000-0000-0000608A0000}"/>
    <cellStyle name="Percent 5 4 3" xfId="15841" xr:uid="{00000000-0005-0000-0000-0000618A0000}"/>
    <cellStyle name="Percent 5 4 3 2" xfId="32409" xr:uid="{00000000-0005-0000-0000-0000628A0000}"/>
    <cellStyle name="Percent 5 4 4" xfId="24362" xr:uid="{00000000-0005-0000-0000-0000638A0000}"/>
    <cellStyle name="Percent 5 5" xfId="6604" xr:uid="{00000000-0005-0000-0000-0000648A0000}"/>
    <cellStyle name="Percent 5 5 2" xfId="15842" xr:uid="{00000000-0005-0000-0000-0000658A0000}"/>
    <cellStyle name="Percent 5 5 2 2" xfId="32410" xr:uid="{00000000-0005-0000-0000-0000668A0000}"/>
    <cellStyle name="Percent 5 5 3" xfId="24363" xr:uid="{00000000-0005-0000-0000-0000678A0000}"/>
    <cellStyle name="Percent 50" xfId="10526" xr:uid="{00000000-0005-0000-0000-0000688A0000}"/>
    <cellStyle name="Percent 51" xfId="10529" xr:uid="{00000000-0005-0000-0000-0000698A0000}"/>
    <cellStyle name="Percent 52" xfId="10532" xr:uid="{00000000-0005-0000-0000-00006A8A0000}"/>
    <cellStyle name="Percent 53" xfId="10535" xr:uid="{00000000-0005-0000-0000-00006B8A0000}"/>
    <cellStyle name="Percent 54" xfId="10538" xr:uid="{00000000-0005-0000-0000-00006C8A0000}"/>
    <cellStyle name="Percent 55" xfId="10541" xr:uid="{00000000-0005-0000-0000-00006D8A0000}"/>
    <cellStyle name="Percent 56" xfId="10544" xr:uid="{00000000-0005-0000-0000-00006E8A0000}"/>
    <cellStyle name="Percent 57" xfId="10547" xr:uid="{00000000-0005-0000-0000-00006F8A0000}"/>
    <cellStyle name="Percent 58" xfId="10550" xr:uid="{00000000-0005-0000-0000-0000708A0000}"/>
    <cellStyle name="Percent 59" xfId="10553" xr:uid="{00000000-0005-0000-0000-0000718A0000}"/>
    <cellStyle name="Percent 6" xfId="61" xr:uid="{00000000-0005-0000-0000-0000728A0000}"/>
    <cellStyle name="Percent 6 2" xfId="1781" xr:uid="{00000000-0005-0000-0000-0000738A0000}"/>
    <cellStyle name="Percent 6 2 2" xfId="6607" xr:uid="{00000000-0005-0000-0000-0000748A0000}"/>
    <cellStyle name="Percent 6 2 2 2" xfId="6608" xr:uid="{00000000-0005-0000-0000-0000758A0000}"/>
    <cellStyle name="Percent 6 2 2 2 2" xfId="10393" xr:uid="{00000000-0005-0000-0000-0000768A0000}"/>
    <cellStyle name="Percent 6 2 2 2 2 2" xfId="19561" xr:uid="{00000000-0005-0000-0000-0000778A0000}"/>
    <cellStyle name="Percent 6 2 2 2 2 2 2" xfId="36138" xr:uid="{00000000-0005-0000-0000-0000788A0000}"/>
    <cellStyle name="Percent 6 2 2 2 2 3" xfId="28091" xr:uid="{00000000-0005-0000-0000-0000798A0000}"/>
    <cellStyle name="Percent 6 2 2 2 3" xfId="15844" xr:uid="{00000000-0005-0000-0000-00007A8A0000}"/>
    <cellStyle name="Percent 6 2 2 2 3 2" xfId="32414" xr:uid="{00000000-0005-0000-0000-00007B8A0000}"/>
    <cellStyle name="Percent 6 2 2 2 4" xfId="24367" xr:uid="{00000000-0005-0000-0000-00007C8A0000}"/>
    <cellStyle name="Percent 6 2 2 3" xfId="10394" xr:uid="{00000000-0005-0000-0000-00007D8A0000}"/>
    <cellStyle name="Percent 6 2 2 3 2" xfId="19562" xr:uid="{00000000-0005-0000-0000-00007E8A0000}"/>
    <cellStyle name="Percent 6 2 2 3 2 2" xfId="36139" xr:uid="{00000000-0005-0000-0000-00007F8A0000}"/>
    <cellStyle name="Percent 6 2 2 3 3" xfId="28092" xr:uid="{00000000-0005-0000-0000-0000808A0000}"/>
    <cellStyle name="Percent 6 2 2 4" xfId="15843" xr:uid="{00000000-0005-0000-0000-0000818A0000}"/>
    <cellStyle name="Percent 6 2 2 4 2" xfId="32413" xr:uid="{00000000-0005-0000-0000-0000828A0000}"/>
    <cellStyle name="Percent 6 2 2 5" xfId="24366" xr:uid="{00000000-0005-0000-0000-0000838A0000}"/>
    <cellStyle name="Percent 6 2 3" xfId="6609" xr:uid="{00000000-0005-0000-0000-0000848A0000}"/>
    <cellStyle name="Percent 6 2 3 2" xfId="10395" xr:uid="{00000000-0005-0000-0000-0000858A0000}"/>
    <cellStyle name="Percent 6 2 3 2 2" xfId="19563" xr:uid="{00000000-0005-0000-0000-0000868A0000}"/>
    <cellStyle name="Percent 6 2 3 2 2 2" xfId="36140" xr:uid="{00000000-0005-0000-0000-0000878A0000}"/>
    <cellStyle name="Percent 6 2 3 2 3" xfId="28093" xr:uid="{00000000-0005-0000-0000-0000888A0000}"/>
    <cellStyle name="Percent 6 2 3 3" xfId="15845" xr:uid="{00000000-0005-0000-0000-0000898A0000}"/>
    <cellStyle name="Percent 6 2 3 3 2" xfId="32415" xr:uid="{00000000-0005-0000-0000-00008A8A0000}"/>
    <cellStyle name="Percent 6 2 3 4" xfId="24368" xr:uid="{00000000-0005-0000-0000-00008B8A0000}"/>
    <cellStyle name="Percent 6 2 4" xfId="10396" xr:uid="{00000000-0005-0000-0000-00008C8A0000}"/>
    <cellStyle name="Percent 6 2 4 2" xfId="19564" xr:uid="{00000000-0005-0000-0000-00008D8A0000}"/>
    <cellStyle name="Percent 6 2 4 2 2" xfId="36141" xr:uid="{00000000-0005-0000-0000-00008E8A0000}"/>
    <cellStyle name="Percent 6 2 4 3" xfId="28094" xr:uid="{00000000-0005-0000-0000-00008F8A0000}"/>
    <cellStyle name="Percent 6 2 5" xfId="6606" xr:uid="{00000000-0005-0000-0000-0000908A0000}"/>
    <cellStyle name="Percent 6 2 5 2" xfId="32412" xr:uid="{00000000-0005-0000-0000-0000918A0000}"/>
    <cellStyle name="Percent 6 2 6" xfId="24365" xr:uid="{00000000-0005-0000-0000-0000928A0000}"/>
    <cellStyle name="Percent 6 3" xfId="6610" xr:uid="{00000000-0005-0000-0000-0000938A0000}"/>
    <cellStyle name="Percent 6 3 2" xfId="6611" xr:uid="{00000000-0005-0000-0000-0000948A0000}"/>
    <cellStyle name="Percent 6 3 2 2" xfId="10397" xr:uid="{00000000-0005-0000-0000-0000958A0000}"/>
    <cellStyle name="Percent 6 3 2 2 2" xfId="19565" xr:uid="{00000000-0005-0000-0000-0000968A0000}"/>
    <cellStyle name="Percent 6 3 2 2 2 2" xfId="36142" xr:uid="{00000000-0005-0000-0000-0000978A0000}"/>
    <cellStyle name="Percent 6 3 2 2 3" xfId="28095" xr:uid="{00000000-0005-0000-0000-0000988A0000}"/>
    <cellStyle name="Percent 6 3 2 3" xfId="15847" xr:uid="{00000000-0005-0000-0000-0000998A0000}"/>
    <cellStyle name="Percent 6 3 2 3 2" xfId="32417" xr:uid="{00000000-0005-0000-0000-00009A8A0000}"/>
    <cellStyle name="Percent 6 3 2 4" xfId="24370" xr:uid="{00000000-0005-0000-0000-00009B8A0000}"/>
    <cellStyle name="Percent 6 3 3" xfId="10398" xr:uid="{00000000-0005-0000-0000-00009C8A0000}"/>
    <cellStyle name="Percent 6 3 3 2" xfId="19566" xr:uid="{00000000-0005-0000-0000-00009D8A0000}"/>
    <cellStyle name="Percent 6 3 3 2 2" xfId="36143" xr:uid="{00000000-0005-0000-0000-00009E8A0000}"/>
    <cellStyle name="Percent 6 3 3 3" xfId="28096" xr:uid="{00000000-0005-0000-0000-00009F8A0000}"/>
    <cellStyle name="Percent 6 3 4" xfId="15846" xr:uid="{00000000-0005-0000-0000-0000A08A0000}"/>
    <cellStyle name="Percent 6 3 4 2" xfId="32416" xr:uid="{00000000-0005-0000-0000-0000A18A0000}"/>
    <cellStyle name="Percent 6 3 5" xfId="24369" xr:uid="{00000000-0005-0000-0000-0000A28A0000}"/>
    <cellStyle name="Percent 6 4" xfId="6612" xr:uid="{00000000-0005-0000-0000-0000A38A0000}"/>
    <cellStyle name="Percent 6 4 2" xfId="10399" xr:uid="{00000000-0005-0000-0000-0000A48A0000}"/>
    <cellStyle name="Percent 6 4 2 2" xfId="19567" xr:uid="{00000000-0005-0000-0000-0000A58A0000}"/>
    <cellStyle name="Percent 6 4 2 2 2" xfId="36144" xr:uid="{00000000-0005-0000-0000-0000A68A0000}"/>
    <cellStyle name="Percent 6 4 2 3" xfId="28097" xr:uid="{00000000-0005-0000-0000-0000A78A0000}"/>
    <cellStyle name="Percent 6 4 3" xfId="15848" xr:uid="{00000000-0005-0000-0000-0000A88A0000}"/>
    <cellStyle name="Percent 6 4 3 2" xfId="32418" xr:uid="{00000000-0005-0000-0000-0000A98A0000}"/>
    <cellStyle name="Percent 6 4 4" xfId="24371" xr:uid="{00000000-0005-0000-0000-0000AA8A0000}"/>
    <cellStyle name="Percent 6 5" xfId="10400" xr:uid="{00000000-0005-0000-0000-0000AB8A0000}"/>
    <cellStyle name="Percent 6 5 2" xfId="19568" xr:uid="{00000000-0005-0000-0000-0000AC8A0000}"/>
    <cellStyle name="Percent 6 5 2 2" xfId="36145" xr:uid="{00000000-0005-0000-0000-0000AD8A0000}"/>
    <cellStyle name="Percent 6 5 3" xfId="28098" xr:uid="{00000000-0005-0000-0000-0000AE8A0000}"/>
    <cellStyle name="Percent 6 6" xfId="6605" xr:uid="{00000000-0005-0000-0000-0000AF8A0000}"/>
    <cellStyle name="Percent 6 6 2" xfId="32411" xr:uid="{00000000-0005-0000-0000-0000B08A0000}"/>
    <cellStyle name="Percent 6 7" xfId="24364" xr:uid="{00000000-0005-0000-0000-0000B18A0000}"/>
    <cellStyle name="Percent 60" xfId="10556" xr:uid="{00000000-0005-0000-0000-0000B28A0000}"/>
    <cellStyle name="Percent 61" xfId="10559" xr:uid="{00000000-0005-0000-0000-0000B38A0000}"/>
    <cellStyle name="Percent 62" xfId="10562" xr:uid="{00000000-0005-0000-0000-0000B48A0000}"/>
    <cellStyle name="Percent 63" xfId="10565" xr:uid="{00000000-0005-0000-0000-0000B58A0000}"/>
    <cellStyle name="Percent 64" xfId="10568" xr:uid="{00000000-0005-0000-0000-0000B68A0000}"/>
    <cellStyle name="Percent 65" xfId="10571" xr:uid="{00000000-0005-0000-0000-0000B78A0000}"/>
    <cellStyle name="Percent 66" xfId="10574" xr:uid="{00000000-0005-0000-0000-0000B88A0000}"/>
    <cellStyle name="Percent 67" xfId="10577" xr:uid="{00000000-0005-0000-0000-0000B98A0000}"/>
    <cellStyle name="Percent 68" xfId="10580" xr:uid="{00000000-0005-0000-0000-0000BA8A0000}"/>
    <cellStyle name="Percent 69" xfId="10583" xr:uid="{00000000-0005-0000-0000-0000BB8A0000}"/>
    <cellStyle name="Percent 7" xfId="62" xr:uid="{00000000-0005-0000-0000-0000BC8A0000}"/>
    <cellStyle name="Percent 7 2" xfId="1782" xr:uid="{00000000-0005-0000-0000-0000BD8A0000}"/>
    <cellStyle name="Percent 7 2 2" xfId="6615" xr:uid="{00000000-0005-0000-0000-0000BE8A0000}"/>
    <cellStyle name="Percent 7 2 2 2" xfId="6616" xr:uid="{00000000-0005-0000-0000-0000BF8A0000}"/>
    <cellStyle name="Percent 7 2 2 2 2" xfId="10401" xr:uid="{00000000-0005-0000-0000-0000C08A0000}"/>
    <cellStyle name="Percent 7 2 2 2 2 2" xfId="19569" xr:uid="{00000000-0005-0000-0000-0000C18A0000}"/>
    <cellStyle name="Percent 7 2 2 2 2 2 2" xfId="36146" xr:uid="{00000000-0005-0000-0000-0000C28A0000}"/>
    <cellStyle name="Percent 7 2 2 2 2 3" xfId="28099" xr:uid="{00000000-0005-0000-0000-0000C38A0000}"/>
    <cellStyle name="Percent 7 2 2 2 3" xfId="15850" xr:uid="{00000000-0005-0000-0000-0000C48A0000}"/>
    <cellStyle name="Percent 7 2 2 2 3 2" xfId="32422" xr:uid="{00000000-0005-0000-0000-0000C58A0000}"/>
    <cellStyle name="Percent 7 2 2 2 4" xfId="24375" xr:uid="{00000000-0005-0000-0000-0000C68A0000}"/>
    <cellStyle name="Percent 7 2 2 3" xfId="10402" xr:uid="{00000000-0005-0000-0000-0000C78A0000}"/>
    <cellStyle name="Percent 7 2 2 3 2" xfId="19570" xr:uid="{00000000-0005-0000-0000-0000C88A0000}"/>
    <cellStyle name="Percent 7 2 2 3 2 2" xfId="36147" xr:uid="{00000000-0005-0000-0000-0000C98A0000}"/>
    <cellStyle name="Percent 7 2 2 3 3" xfId="28100" xr:uid="{00000000-0005-0000-0000-0000CA8A0000}"/>
    <cellStyle name="Percent 7 2 2 4" xfId="15849" xr:uid="{00000000-0005-0000-0000-0000CB8A0000}"/>
    <cellStyle name="Percent 7 2 2 4 2" xfId="32421" xr:uid="{00000000-0005-0000-0000-0000CC8A0000}"/>
    <cellStyle name="Percent 7 2 2 5" xfId="24374" xr:uid="{00000000-0005-0000-0000-0000CD8A0000}"/>
    <cellStyle name="Percent 7 2 3" xfId="6617" xr:uid="{00000000-0005-0000-0000-0000CE8A0000}"/>
    <cellStyle name="Percent 7 2 3 2" xfId="10403" xr:uid="{00000000-0005-0000-0000-0000CF8A0000}"/>
    <cellStyle name="Percent 7 2 3 2 2" xfId="19571" xr:uid="{00000000-0005-0000-0000-0000D08A0000}"/>
    <cellStyle name="Percent 7 2 3 2 2 2" xfId="36148" xr:uid="{00000000-0005-0000-0000-0000D18A0000}"/>
    <cellStyle name="Percent 7 2 3 2 3" xfId="28101" xr:uid="{00000000-0005-0000-0000-0000D28A0000}"/>
    <cellStyle name="Percent 7 2 3 3" xfId="15851" xr:uid="{00000000-0005-0000-0000-0000D38A0000}"/>
    <cellStyle name="Percent 7 2 3 3 2" xfId="32423" xr:uid="{00000000-0005-0000-0000-0000D48A0000}"/>
    <cellStyle name="Percent 7 2 3 4" xfId="24376" xr:uid="{00000000-0005-0000-0000-0000D58A0000}"/>
    <cellStyle name="Percent 7 2 4" xfId="10404" xr:uid="{00000000-0005-0000-0000-0000D68A0000}"/>
    <cellStyle name="Percent 7 2 4 2" xfId="19572" xr:uid="{00000000-0005-0000-0000-0000D78A0000}"/>
    <cellStyle name="Percent 7 2 4 2 2" xfId="36149" xr:uid="{00000000-0005-0000-0000-0000D88A0000}"/>
    <cellStyle name="Percent 7 2 4 3" xfId="28102" xr:uid="{00000000-0005-0000-0000-0000D98A0000}"/>
    <cellStyle name="Percent 7 2 5" xfId="6614" xr:uid="{00000000-0005-0000-0000-0000DA8A0000}"/>
    <cellStyle name="Percent 7 2 5 2" xfId="32420" xr:uid="{00000000-0005-0000-0000-0000DB8A0000}"/>
    <cellStyle name="Percent 7 2 6" xfId="24373" xr:uid="{00000000-0005-0000-0000-0000DC8A0000}"/>
    <cellStyle name="Percent 7 3" xfId="6618" xr:uid="{00000000-0005-0000-0000-0000DD8A0000}"/>
    <cellStyle name="Percent 7 3 2" xfId="6619" xr:uid="{00000000-0005-0000-0000-0000DE8A0000}"/>
    <cellStyle name="Percent 7 3 2 2" xfId="10405" xr:uid="{00000000-0005-0000-0000-0000DF8A0000}"/>
    <cellStyle name="Percent 7 3 2 2 2" xfId="19573" xr:uid="{00000000-0005-0000-0000-0000E08A0000}"/>
    <cellStyle name="Percent 7 3 2 2 2 2" xfId="36150" xr:uid="{00000000-0005-0000-0000-0000E18A0000}"/>
    <cellStyle name="Percent 7 3 2 2 3" xfId="28103" xr:uid="{00000000-0005-0000-0000-0000E28A0000}"/>
    <cellStyle name="Percent 7 3 2 3" xfId="15853" xr:uid="{00000000-0005-0000-0000-0000E38A0000}"/>
    <cellStyle name="Percent 7 3 2 3 2" xfId="32425" xr:uid="{00000000-0005-0000-0000-0000E48A0000}"/>
    <cellStyle name="Percent 7 3 2 4" xfId="24378" xr:uid="{00000000-0005-0000-0000-0000E58A0000}"/>
    <cellStyle name="Percent 7 3 3" xfId="10406" xr:uid="{00000000-0005-0000-0000-0000E68A0000}"/>
    <cellStyle name="Percent 7 3 3 2" xfId="19574" xr:uid="{00000000-0005-0000-0000-0000E78A0000}"/>
    <cellStyle name="Percent 7 3 3 2 2" xfId="36151" xr:uid="{00000000-0005-0000-0000-0000E88A0000}"/>
    <cellStyle name="Percent 7 3 3 3" xfId="28104" xr:uid="{00000000-0005-0000-0000-0000E98A0000}"/>
    <cellStyle name="Percent 7 3 4" xfId="15852" xr:uid="{00000000-0005-0000-0000-0000EA8A0000}"/>
    <cellStyle name="Percent 7 3 4 2" xfId="32424" xr:uid="{00000000-0005-0000-0000-0000EB8A0000}"/>
    <cellStyle name="Percent 7 3 5" xfId="24377" xr:uid="{00000000-0005-0000-0000-0000EC8A0000}"/>
    <cellStyle name="Percent 7 4" xfId="6620" xr:uid="{00000000-0005-0000-0000-0000ED8A0000}"/>
    <cellStyle name="Percent 7 4 2" xfId="10407" xr:uid="{00000000-0005-0000-0000-0000EE8A0000}"/>
    <cellStyle name="Percent 7 4 2 2" xfId="19575" xr:uid="{00000000-0005-0000-0000-0000EF8A0000}"/>
    <cellStyle name="Percent 7 4 2 2 2" xfId="36152" xr:uid="{00000000-0005-0000-0000-0000F08A0000}"/>
    <cellStyle name="Percent 7 4 2 3" xfId="28105" xr:uid="{00000000-0005-0000-0000-0000F18A0000}"/>
    <cellStyle name="Percent 7 4 3" xfId="15854" xr:uid="{00000000-0005-0000-0000-0000F28A0000}"/>
    <cellStyle name="Percent 7 4 3 2" xfId="32426" xr:uid="{00000000-0005-0000-0000-0000F38A0000}"/>
    <cellStyle name="Percent 7 4 4" xfId="24379" xr:uid="{00000000-0005-0000-0000-0000F48A0000}"/>
    <cellStyle name="Percent 7 5" xfId="10408" xr:uid="{00000000-0005-0000-0000-0000F58A0000}"/>
    <cellStyle name="Percent 7 5 2" xfId="19576" xr:uid="{00000000-0005-0000-0000-0000F68A0000}"/>
    <cellStyle name="Percent 7 5 2 2" xfId="36153" xr:uid="{00000000-0005-0000-0000-0000F78A0000}"/>
    <cellStyle name="Percent 7 5 3" xfId="28106" xr:uid="{00000000-0005-0000-0000-0000F88A0000}"/>
    <cellStyle name="Percent 7 6" xfId="6613" xr:uid="{00000000-0005-0000-0000-0000F98A0000}"/>
    <cellStyle name="Percent 7 6 2" xfId="32419" xr:uid="{00000000-0005-0000-0000-0000FA8A0000}"/>
    <cellStyle name="Percent 7 7" xfId="24372" xr:uid="{00000000-0005-0000-0000-0000FB8A0000}"/>
    <cellStyle name="Percent 70" xfId="10586" xr:uid="{00000000-0005-0000-0000-0000FC8A0000}"/>
    <cellStyle name="Percent 71" xfId="10589" xr:uid="{00000000-0005-0000-0000-0000FD8A0000}"/>
    <cellStyle name="Percent 72" xfId="10592" xr:uid="{00000000-0005-0000-0000-0000FE8A0000}"/>
    <cellStyle name="Percent 73" xfId="10595" xr:uid="{00000000-0005-0000-0000-0000FF8A0000}"/>
    <cellStyle name="Percent 74" xfId="10598" xr:uid="{00000000-0005-0000-0000-0000008B0000}"/>
    <cellStyle name="Percent 75" xfId="10601" xr:uid="{00000000-0005-0000-0000-0000018B0000}"/>
    <cellStyle name="Percent 76" xfId="10604" xr:uid="{00000000-0005-0000-0000-0000028B0000}"/>
    <cellStyle name="Percent 77" xfId="10607" xr:uid="{00000000-0005-0000-0000-0000038B0000}"/>
    <cellStyle name="Percent 78" xfId="10610" xr:uid="{00000000-0005-0000-0000-0000048B0000}"/>
    <cellStyle name="Percent 79" xfId="10613" xr:uid="{00000000-0005-0000-0000-0000058B0000}"/>
    <cellStyle name="Percent 8" xfId="63" xr:uid="{00000000-0005-0000-0000-0000068B0000}"/>
    <cellStyle name="Percent 8 2" xfId="1783" xr:uid="{00000000-0005-0000-0000-0000078B0000}"/>
    <cellStyle name="Percent 80" xfId="10616" xr:uid="{00000000-0005-0000-0000-0000088B0000}"/>
    <cellStyle name="Percent 81" xfId="10619" xr:uid="{00000000-0005-0000-0000-0000098B0000}"/>
    <cellStyle name="Percent 82" xfId="10622" xr:uid="{00000000-0005-0000-0000-00000A8B0000}"/>
    <cellStyle name="Percent 83" xfId="10625" xr:uid="{00000000-0005-0000-0000-00000B8B0000}"/>
    <cellStyle name="Percent 84" xfId="10628" xr:uid="{00000000-0005-0000-0000-00000C8B0000}"/>
    <cellStyle name="Percent 85" xfId="10631" xr:uid="{00000000-0005-0000-0000-00000D8B0000}"/>
    <cellStyle name="Percent 86" xfId="10634" xr:uid="{00000000-0005-0000-0000-00000E8B0000}"/>
    <cellStyle name="Percent 87" xfId="10637" xr:uid="{00000000-0005-0000-0000-00000F8B0000}"/>
    <cellStyle name="Percent 88" xfId="10640" xr:uid="{00000000-0005-0000-0000-0000108B0000}"/>
    <cellStyle name="Percent 89" xfId="10643" xr:uid="{00000000-0005-0000-0000-0000118B0000}"/>
    <cellStyle name="Percent 9" xfId="64" xr:uid="{00000000-0005-0000-0000-0000128B0000}"/>
    <cellStyle name="Percent 9 2" xfId="1784" xr:uid="{00000000-0005-0000-0000-0000138B0000}"/>
    <cellStyle name="Percent 9 2 2" xfId="10409" xr:uid="{00000000-0005-0000-0000-0000148B0000}"/>
    <cellStyle name="Percent 9 3" xfId="6621" xr:uid="{00000000-0005-0000-0000-0000158B0000}"/>
    <cellStyle name="Percent 90" xfId="10646" xr:uid="{00000000-0005-0000-0000-0000168B0000}"/>
    <cellStyle name="Percent 91" xfId="10649" xr:uid="{00000000-0005-0000-0000-0000178B0000}"/>
    <cellStyle name="Percent 92" xfId="10652" xr:uid="{00000000-0005-0000-0000-0000188B0000}"/>
    <cellStyle name="Percent 93" xfId="10655" xr:uid="{00000000-0005-0000-0000-0000198B0000}"/>
    <cellStyle name="Percent 94" xfId="10658" xr:uid="{00000000-0005-0000-0000-00001A8B0000}"/>
    <cellStyle name="Percent 95" xfId="10661" xr:uid="{00000000-0005-0000-0000-00001B8B0000}"/>
    <cellStyle name="Percent 96" xfId="10664" xr:uid="{00000000-0005-0000-0000-00001C8B0000}"/>
    <cellStyle name="Percent 97" xfId="10667" xr:uid="{00000000-0005-0000-0000-00001D8B0000}"/>
    <cellStyle name="Percent 98" xfId="10670" xr:uid="{00000000-0005-0000-0000-00001E8B0000}"/>
    <cellStyle name="Percent 99" xfId="10673" xr:uid="{00000000-0005-0000-0000-00001F8B0000}"/>
    <cellStyle name="Percent Comma" xfId="1229" xr:uid="{00000000-0005-0000-0000-0000208B0000}"/>
    <cellStyle name="Percent1" xfId="1955" xr:uid="{00000000-0005-0000-0000-0000218B0000}"/>
    <cellStyle name="Percent2" xfId="1956" xr:uid="{00000000-0005-0000-0000-0000228B0000}"/>
    <cellStyle name="percentage" xfId="1957" xr:uid="{00000000-0005-0000-0000-0000238B0000}"/>
    <cellStyle name="PercentChange" xfId="1958" xr:uid="{00000000-0005-0000-0000-0000248B0000}"/>
    <cellStyle name="PO BORDER" xfId="358" xr:uid="{00000000-0005-0000-0000-0000258B0000}"/>
    <cellStyle name="PO BORDER 2" xfId="389" xr:uid="{00000000-0005-0000-0000-0000268B0000}"/>
    <cellStyle name="PO BORDER 2 2" xfId="1695" xr:uid="{00000000-0005-0000-0000-0000278B0000}"/>
    <cellStyle name="PO BORDER 2 3" xfId="1714" xr:uid="{00000000-0005-0000-0000-0000288B0000}"/>
    <cellStyle name="PO BORDER 2 4" xfId="1652" xr:uid="{00000000-0005-0000-0000-0000298B0000}"/>
    <cellStyle name="PO BORDER 2 5" xfId="36249" xr:uid="{00000000-0005-0000-0000-00002A8B0000}"/>
    <cellStyle name="PO BORDER 3" xfId="1791" xr:uid="{00000000-0005-0000-0000-00002B8B0000}"/>
    <cellStyle name="PO BORDER 4" xfId="11130" xr:uid="{00000000-0005-0000-0000-00002C8B0000}"/>
    <cellStyle name="PO BORDER 5" xfId="36243" xr:uid="{00000000-0005-0000-0000-00002D8B0000}"/>
    <cellStyle name="PO BORDER 6" xfId="36222" xr:uid="{00000000-0005-0000-0000-00002E8B0000}"/>
    <cellStyle name="Porcentagem_Cenário Básico" xfId="1959" xr:uid="{00000000-0005-0000-0000-00002F8B0000}"/>
    <cellStyle name="Porcentual_mov_dolar" xfId="1960" xr:uid="{00000000-0005-0000-0000-0000308B0000}"/>
    <cellStyle name="price" xfId="1230" xr:uid="{00000000-0005-0000-0000-0000318B0000}"/>
    <cellStyle name="PSChar" xfId="359" xr:uid="{00000000-0005-0000-0000-0000328B0000}"/>
    <cellStyle name="PSChar 2" xfId="360" xr:uid="{00000000-0005-0000-0000-0000338B0000}"/>
    <cellStyle name="PSDate" xfId="361" xr:uid="{00000000-0005-0000-0000-0000348B0000}"/>
    <cellStyle name="PSDate 2" xfId="362" xr:uid="{00000000-0005-0000-0000-0000358B0000}"/>
    <cellStyle name="PSDec" xfId="363" xr:uid="{00000000-0005-0000-0000-0000368B0000}"/>
    <cellStyle name="PSDec 2" xfId="364" xr:uid="{00000000-0005-0000-0000-0000378B0000}"/>
    <cellStyle name="PSHeading" xfId="365" xr:uid="{00000000-0005-0000-0000-0000388B0000}"/>
    <cellStyle name="PSHeading 2" xfId="366" xr:uid="{00000000-0005-0000-0000-0000398B0000}"/>
    <cellStyle name="PSHeading 2 2" xfId="464" xr:uid="{00000000-0005-0000-0000-00003A8B0000}"/>
    <cellStyle name="PSHeading 2 2 2" xfId="1743" xr:uid="{00000000-0005-0000-0000-00003B8B0000}"/>
    <cellStyle name="PSHeading 2 3" xfId="1742" xr:uid="{00000000-0005-0000-0000-00003C8B0000}"/>
    <cellStyle name="PSHeading 2 4" xfId="431" xr:uid="{00000000-0005-0000-0000-00003D8B0000}"/>
    <cellStyle name="PSHeading 2 5" xfId="36220" xr:uid="{00000000-0005-0000-0000-00003E8B0000}"/>
    <cellStyle name="PSHeading 3" xfId="36221" xr:uid="{00000000-0005-0000-0000-00003F8B0000}"/>
    <cellStyle name="PSInt" xfId="367" xr:uid="{00000000-0005-0000-0000-0000408B0000}"/>
    <cellStyle name="PSInt 2" xfId="368" xr:uid="{00000000-0005-0000-0000-0000418B0000}"/>
    <cellStyle name="PSSpacer" xfId="369" xr:uid="{00000000-0005-0000-0000-0000428B0000}"/>
    <cellStyle name="PSSpacer 2" xfId="370" xr:uid="{00000000-0005-0000-0000-0000438B0000}"/>
    <cellStyle name="PutnamPh#" xfId="371" xr:uid="{00000000-0005-0000-0000-0000448B0000}"/>
    <cellStyle name="q" xfId="1231" xr:uid="{00000000-0005-0000-0000-0000458B0000}"/>
    <cellStyle name="q_1 FM_101_Examples_v7.31McIntire" xfId="1232" xr:uid="{00000000-0005-0000-0000-0000468B0000}"/>
    <cellStyle name="q_1 FM_101_Examples_v7.31McIntire_1 FM_101_Examples_TWO-Day_v7.31" xfId="1233" xr:uid="{00000000-0005-0000-0000-0000478B0000}"/>
    <cellStyle name="q_AVP" xfId="1234" xr:uid="{00000000-0005-0000-0000-0000488B0000}"/>
    <cellStyle name="q_AVP_1 FM_101_Examples_v7.31McIntire" xfId="1235" xr:uid="{00000000-0005-0000-0000-0000498B0000}"/>
    <cellStyle name="q_AVP_1 FM_101_Examples_v7.31McIntire_1 FM_101_Examples_TWO-Day_v7.31" xfId="1236" xr:uid="{00000000-0005-0000-0000-00004A8B0000}"/>
    <cellStyle name="q_AVP_Graphic Depiction - NO DEV" xfId="1237" xr:uid="{00000000-0005-0000-0000-00004B8B0000}"/>
    <cellStyle name="q_AVP_Graphic Depiction - NO DEV_1 FM_101_Examples_v7.31McIntire" xfId="1238" xr:uid="{00000000-0005-0000-0000-00004C8B0000}"/>
    <cellStyle name="q_AVP_Graphic Depiction - NO DEV_1 FM_101_Examples_v7.31McIntire_1 FM_101_Examples_TWO-Day_v7.31" xfId="1239" xr:uid="{00000000-0005-0000-0000-00004D8B0000}"/>
    <cellStyle name="q_AVP_Graphic Depiction - NO DEV_Val_1_Book_Lecture_Notes_v3.06" xfId="1240" xr:uid="{00000000-0005-0000-0000-00004E8B0000}"/>
    <cellStyle name="q_AVP_THEsumPage (2)" xfId="1241" xr:uid="{00000000-0005-0000-0000-00004F8B0000}"/>
    <cellStyle name="q_AVP_THEsumPage (2)_1 FM_101_Examples_v7.31McIntire" xfId="1242" xr:uid="{00000000-0005-0000-0000-0000508B0000}"/>
    <cellStyle name="q_AVP_THEsumPage (2)_1 FM_101_Examples_v7.31McIntire_1 FM_101_Examples_TWO-Day_v7.31" xfId="1243" xr:uid="{00000000-0005-0000-0000-0000518B0000}"/>
    <cellStyle name="q_AVP_THEsumPage (2)_Val_1_Book_Lecture_Notes_v3.06" xfId="1244" xr:uid="{00000000-0005-0000-0000-0000528B0000}"/>
    <cellStyle name="q_AVP_Val_1_Book_Lecture_Notes_v3.06" xfId="1245" xr:uid="{00000000-0005-0000-0000-0000538B0000}"/>
    <cellStyle name="q_AVP_Valuation Summary Graphics" xfId="1246" xr:uid="{00000000-0005-0000-0000-0000548B0000}"/>
    <cellStyle name="q_AVP_Valuation Summary Graphics_1 FM_101_Examples_v7.31McIntire" xfId="1247" xr:uid="{00000000-0005-0000-0000-0000558B0000}"/>
    <cellStyle name="q_AVP_Valuation Summary Graphics_1 FM_101_Examples_v7.31McIntire_1 FM_101_Examples_TWO-Day_v7.31" xfId="1248" xr:uid="{00000000-0005-0000-0000-0000568B0000}"/>
    <cellStyle name="q_AVP_Valuation Summary Graphics_Val_1_Book_Lecture_Notes_v3.06" xfId="1249" xr:uid="{00000000-0005-0000-0000-0000578B0000}"/>
    <cellStyle name="q_CompSheet" xfId="1250" xr:uid="{00000000-0005-0000-0000-0000588B0000}"/>
    <cellStyle name="q_CompSheet_Val_1_Book_Lecture_Notes_v3.06" xfId="1251" xr:uid="{00000000-0005-0000-0000-0000598B0000}"/>
    <cellStyle name="q_Disc Analysis" xfId="1252" xr:uid="{00000000-0005-0000-0000-00005A8B0000}"/>
    <cellStyle name="q_Disc Analysis_1 FM_101_Examples_v7.31McIntire" xfId="1253" xr:uid="{00000000-0005-0000-0000-00005B8B0000}"/>
    <cellStyle name="q_Disc Analysis_1 FM_101_Examples_v7.31McIntire_1 FM_101_Examples_TWO-Day_v7.31" xfId="1254" xr:uid="{00000000-0005-0000-0000-00005C8B0000}"/>
    <cellStyle name="q_Disc Analysis_CompSheet" xfId="1255" xr:uid="{00000000-0005-0000-0000-00005D8B0000}"/>
    <cellStyle name="q_Disc Analysis_CompSheet_1 FM_101_Examples_v7.31McIntire" xfId="1256" xr:uid="{00000000-0005-0000-0000-00005E8B0000}"/>
    <cellStyle name="q_Disc Analysis_CompSheet_1 FM_101_Examples_v7.31McIntire_1 FM_101_Examples_TWO-Day_v7.31" xfId="1257" xr:uid="{00000000-0005-0000-0000-00005F8B0000}"/>
    <cellStyle name="q_Disc Analysis_CompSheet_Val_1_Book_Lecture_Notes_v3.06" xfId="1258" xr:uid="{00000000-0005-0000-0000-0000608B0000}"/>
    <cellStyle name="q_Disc Analysis_Fairness Opinion Valuation 4-23a.xls Chart 1" xfId="1259" xr:uid="{00000000-0005-0000-0000-0000618B0000}"/>
    <cellStyle name="q_Disc Analysis_Fairness Opinion Valuation 4-23a.xls Chart 1_1 FM_101_Examples_v7.31McIntire" xfId="1260" xr:uid="{00000000-0005-0000-0000-0000628B0000}"/>
    <cellStyle name="q_Disc Analysis_Fairness Opinion Valuation 4-23a.xls Chart 1_1 FM_101_Examples_v7.31McIntire_1 FM_101_Examples_TWO-Day_v7.31" xfId="1261" xr:uid="{00000000-0005-0000-0000-0000638B0000}"/>
    <cellStyle name="q_Disc Analysis_Fairness Opinion Valuation 4-23a.xls Chart 1_Val_1_Book_Lecture_Notes_v3.06" xfId="1262" xr:uid="{00000000-0005-0000-0000-0000648B0000}"/>
    <cellStyle name="q_Disc Analysis_PowerValuation.xls Chart 21" xfId="1263" xr:uid="{00000000-0005-0000-0000-0000658B0000}"/>
    <cellStyle name="q_Disc Analysis_PowerValuation.xls Chart 21_1 FM_101_Examples_v7.31McIntire" xfId="1264" xr:uid="{00000000-0005-0000-0000-0000668B0000}"/>
    <cellStyle name="q_Disc Analysis_PowerValuation.xls Chart 21_1 FM_101_Examples_v7.31McIntire_1 FM_101_Examples_TWO-Day_v7.31" xfId="1265" xr:uid="{00000000-0005-0000-0000-0000678B0000}"/>
    <cellStyle name="q_Disc Analysis_PowerValuation.xls Chart 21_Val_1_Book_Lecture_Notes_v3.06" xfId="1266" xr:uid="{00000000-0005-0000-0000-0000688B0000}"/>
    <cellStyle name="q_Disc Analysis_PowerValuation.xls Chart 28" xfId="1267" xr:uid="{00000000-0005-0000-0000-0000698B0000}"/>
    <cellStyle name="q_Disc Analysis_PowerValuation.xls Chart 28_1 FM_101_Examples_v7.31McIntire" xfId="1268" xr:uid="{00000000-0005-0000-0000-00006A8B0000}"/>
    <cellStyle name="q_Disc Analysis_PowerValuation.xls Chart 28_1 FM_101_Examples_v7.31McIntire_1 FM_101_Examples_TWO-Day_v7.31" xfId="1269" xr:uid="{00000000-0005-0000-0000-00006B8B0000}"/>
    <cellStyle name="q_Disc Analysis_PowerValuation.xls Chart 28_Val_1_Book_Lecture_Notes_v3.06" xfId="1270" xr:uid="{00000000-0005-0000-0000-00006C8B0000}"/>
    <cellStyle name="q_Disc Analysis_THEsumPage (2)" xfId="1271" xr:uid="{00000000-0005-0000-0000-00006D8B0000}"/>
    <cellStyle name="q_Disc Analysis_THEsumPage (2)_1 FM_101_Examples_v7.31McIntire" xfId="1272" xr:uid="{00000000-0005-0000-0000-00006E8B0000}"/>
    <cellStyle name="q_Disc Analysis_THEsumPage (2)_1 FM_101_Examples_v7.31McIntire_1 FM_101_Examples_TWO-Day_v7.31" xfId="1273" xr:uid="{00000000-0005-0000-0000-00006F8B0000}"/>
    <cellStyle name="q_Disc Analysis_THEsumPage (2)_Val_1_Book_Lecture_Notes_v3.06" xfId="1274" xr:uid="{00000000-0005-0000-0000-0000708B0000}"/>
    <cellStyle name="q_Disc Analysis_Val_1_Book_Lecture_Notes_v3.06" xfId="1275" xr:uid="{00000000-0005-0000-0000-0000718B0000}"/>
    <cellStyle name="q_Disc Analysis_Valuation summaries" xfId="1276" xr:uid="{00000000-0005-0000-0000-0000728B0000}"/>
    <cellStyle name="q_Disc Analysis_Valuation summaries_1 FM_101_Examples_v7.31McIntire" xfId="1277" xr:uid="{00000000-0005-0000-0000-0000738B0000}"/>
    <cellStyle name="q_Disc Analysis_Valuation summaries_1 FM_101_Examples_v7.31McIntire_1 FM_101_Examples_TWO-Day_v7.31" xfId="1278" xr:uid="{00000000-0005-0000-0000-0000748B0000}"/>
    <cellStyle name="q_Disc Analysis_Valuation summaries_Val_1_Book_Lecture_Notes_v3.06" xfId="1279" xr:uid="{00000000-0005-0000-0000-0000758B0000}"/>
    <cellStyle name="q_Fairness Opinion Valuation 4-23a.xls Chart 1" xfId="1280" xr:uid="{00000000-0005-0000-0000-0000768B0000}"/>
    <cellStyle name="q_Fairness Opinion Valuation 4-23a.xls Chart 1_Val_1_Book_Lecture_Notes_v3.06" xfId="1281" xr:uid="{00000000-0005-0000-0000-0000778B0000}"/>
    <cellStyle name="q_Merg Cons" xfId="1282" xr:uid="{00000000-0005-0000-0000-0000788B0000}"/>
    <cellStyle name="q_Merg Cons_1 FM_101_Examples_v7.31McIntire" xfId="1283" xr:uid="{00000000-0005-0000-0000-0000798B0000}"/>
    <cellStyle name="q_Merg Cons_1 FM_101_Examples_v7.31McIntire_1 FM_101_Examples_TWO-Day_v7.31" xfId="1284" xr:uid="{00000000-0005-0000-0000-00007A8B0000}"/>
    <cellStyle name="q_Merg Cons_CompSheet" xfId="1285" xr:uid="{00000000-0005-0000-0000-00007B8B0000}"/>
    <cellStyle name="q_Merg Cons_CompSheet_1 FM_101_Examples_v7.31McIntire" xfId="1286" xr:uid="{00000000-0005-0000-0000-00007C8B0000}"/>
    <cellStyle name="q_Merg Cons_CompSheet_1 FM_101_Examples_v7.31McIntire_1 FM_101_Examples_TWO-Day_v7.31" xfId="1287" xr:uid="{00000000-0005-0000-0000-00007D8B0000}"/>
    <cellStyle name="q_Merg Cons_CompSheet_Val_1_Book_Lecture_Notes_v3.06" xfId="1288" xr:uid="{00000000-0005-0000-0000-00007E8B0000}"/>
    <cellStyle name="q_Merg Cons_Fairness Opinion Valuation 4-23a.xls Chart 1" xfId="1289" xr:uid="{00000000-0005-0000-0000-00007F8B0000}"/>
    <cellStyle name="q_Merg Cons_Fairness Opinion Valuation 4-23a.xls Chart 1_1 FM_101_Examples_v7.31McIntire" xfId="1290" xr:uid="{00000000-0005-0000-0000-0000808B0000}"/>
    <cellStyle name="q_Merg Cons_Fairness Opinion Valuation 4-23a.xls Chart 1_1 FM_101_Examples_v7.31McIntire_1 FM_101_Examples_TWO-Day_v7.31" xfId="1291" xr:uid="{00000000-0005-0000-0000-0000818B0000}"/>
    <cellStyle name="q_Merg Cons_Fairness Opinion Valuation 4-23a.xls Chart 1_Val_1_Book_Lecture_Notes_v3.06" xfId="1292" xr:uid="{00000000-0005-0000-0000-0000828B0000}"/>
    <cellStyle name="q_Merg Cons_PowerValuation.xls Chart 21" xfId="1293" xr:uid="{00000000-0005-0000-0000-0000838B0000}"/>
    <cellStyle name="q_Merg Cons_PowerValuation.xls Chart 21_1 FM_101_Examples_v7.31McIntire" xfId="1294" xr:uid="{00000000-0005-0000-0000-0000848B0000}"/>
    <cellStyle name="q_Merg Cons_PowerValuation.xls Chart 21_1 FM_101_Examples_v7.31McIntire_1 FM_101_Examples_TWO-Day_v7.31" xfId="1295" xr:uid="{00000000-0005-0000-0000-0000858B0000}"/>
    <cellStyle name="q_Merg Cons_PowerValuation.xls Chart 21_Val_1_Book_Lecture_Notes_v3.06" xfId="1296" xr:uid="{00000000-0005-0000-0000-0000868B0000}"/>
    <cellStyle name="q_Merg Cons_PowerValuation.xls Chart 28" xfId="1297" xr:uid="{00000000-0005-0000-0000-0000878B0000}"/>
    <cellStyle name="q_Merg Cons_PowerValuation.xls Chart 28_1 FM_101_Examples_v7.31McIntire" xfId="1298" xr:uid="{00000000-0005-0000-0000-0000888B0000}"/>
    <cellStyle name="q_Merg Cons_PowerValuation.xls Chart 28_1 FM_101_Examples_v7.31McIntire_1 FM_101_Examples_TWO-Day_v7.31" xfId="1299" xr:uid="{00000000-0005-0000-0000-0000898B0000}"/>
    <cellStyle name="q_Merg Cons_PowerValuation.xls Chart 28_Val_1_Book_Lecture_Notes_v3.06" xfId="1300" xr:uid="{00000000-0005-0000-0000-00008A8B0000}"/>
    <cellStyle name="q_Merg Cons_THEsumPage (2)" xfId="1301" xr:uid="{00000000-0005-0000-0000-00008B8B0000}"/>
    <cellStyle name="q_Merg Cons_THEsumPage (2)_1 FM_101_Examples_v7.31McIntire" xfId="1302" xr:uid="{00000000-0005-0000-0000-00008C8B0000}"/>
    <cellStyle name="q_Merg Cons_THEsumPage (2)_1 FM_101_Examples_v7.31McIntire_1 FM_101_Examples_TWO-Day_v7.31" xfId="1303" xr:uid="{00000000-0005-0000-0000-00008D8B0000}"/>
    <cellStyle name="q_Merg Cons_THEsumPage (2)_Val_1_Book_Lecture_Notes_v3.06" xfId="1304" xr:uid="{00000000-0005-0000-0000-00008E8B0000}"/>
    <cellStyle name="q_Merg Cons_Val_1_Book_Lecture_Notes_v3.06" xfId="1305" xr:uid="{00000000-0005-0000-0000-00008F8B0000}"/>
    <cellStyle name="q_Merg Cons_Valuation summaries" xfId="1306" xr:uid="{00000000-0005-0000-0000-0000908B0000}"/>
    <cellStyle name="q_Merg Cons_Valuation summaries_1 FM_101_Examples_v7.31McIntire" xfId="1307" xr:uid="{00000000-0005-0000-0000-0000918B0000}"/>
    <cellStyle name="q_Merg Cons_Valuation summaries_1 FM_101_Examples_v7.31McIntire_1 FM_101_Examples_TWO-Day_v7.31" xfId="1308" xr:uid="{00000000-0005-0000-0000-0000928B0000}"/>
    <cellStyle name="q_Merg Cons_Valuation summaries_Val_1_Book_Lecture_Notes_v3.06" xfId="1309" xr:uid="{00000000-0005-0000-0000-0000938B0000}"/>
    <cellStyle name="q_PowerValuation.xls Chart 21" xfId="1310" xr:uid="{00000000-0005-0000-0000-0000948B0000}"/>
    <cellStyle name="q_PowerValuation.xls Chart 21_Val_1_Book_Lecture_Notes_v3.06" xfId="1311" xr:uid="{00000000-0005-0000-0000-0000958B0000}"/>
    <cellStyle name="q_PowerValuation.xls Chart 28" xfId="1312" xr:uid="{00000000-0005-0000-0000-0000968B0000}"/>
    <cellStyle name="q_PowerValuation.xls Chart 28_Val_1_Book_Lecture_Notes_v3.06" xfId="1313" xr:uid="{00000000-0005-0000-0000-0000978B0000}"/>
    <cellStyle name="q_Proj10" xfId="1314" xr:uid="{00000000-0005-0000-0000-0000988B0000}"/>
    <cellStyle name="q_Proj10_1 FM_101_Examples_v7.31McIntire" xfId="1315" xr:uid="{00000000-0005-0000-0000-0000998B0000}"/>
    <cellStyle name="q_Proj10_1 FM_101_Examples_v7.31McIntire_1 FM_101_Examples_TWO-Day_v7.31" xfId="1316" xr:uid="{00000000-0005-0000-0000-00009A8B0000}"/>
    <cellStyle name="q_Proj10_AVP" xfId="1317" xr:uid="{00000000-0005-0000-0000-00009B8B0000}"/>
    <cellStyle name="q_Proj10_AVP_1 FM_101_Examples_v7.31McIntire" xfId="1318" xr:uid="{00000000-0005-0000-0000-00009C8B0000}"/>
    <cellStyle name="q_Proj10_AVP_1 FM_101_Examples_v7.31McIntire_1 FM_101_Examples_TWO-Day_v7.31" xfId="1319" xr:uid="{00000000-0005-0000-0000-00009D8B0000}"/>
    <cellStyle name="q_Proj10_AVP_Graphic Depiction - NO DEV" xfId="1320" xr:uid="{00000000-0005-0000-0000-00009E8B0000}"/>
    <cellStyle name="q_Proj10_AVP_Graphic Depiction - NO DEV_1 FM_101_Examples_v7.31McIntire" xfId="1321" xr:uid="{00000000-0005-0000-0000-00009F8B0000}"/>
    <cellStyle name="q_Proj10_AVP_Graphic Depiction - NO DEV_1 FM_101_Examples_v7.31McIntire_1 FM_101_Examples_TWO-Day_v7.31" xfId="1322" xr:uid="{00000000-0005-0000-0000-0000A08B0000}"/>
    <cellStyle name="q_Proj10_AVP_Graphic Depiction - NO DEV_Val_1_Book_Lecture_Notes_v3.06" xfId="1323" xr:uid="{00000000-0005-0000-0000-0000A18B0000}"/>
    <cellStyle name="q_Proj10_AVP_THEsumPage (2)" xfId="1324" xr:uid="{00000000-0005-0000-0000-0000A28B0000}"/>
    <cellStyle name="q_Proj10_AVP_THEsumPage (2)_1 FM_101_Examples_v7.31McIntire" xfId="1325" xr:uid="{00000000-0005-0000-0000-0000A38B0000}"/>
    <cellStyle name="q_Proj10_AVP_THEsumPage (2)_1 FM_101_Examples_v7.31McIntire_1 FM_101_Examples_TWO-Day_v7.31" xfId="1326" xr:uid="{00000000-0005-0000-0000-0000A48B0000}"/>
    <cellStyle name="q_Proj10_AVP_THEsumPage (2)_Val_1_Book_Lecture_Notes_v3.06" xfId="1327" xr:uid="{00000000-0005-0000-0000-0000A58B0000}"/>
    <cellStyle name="q_Proj10_AVP_Val_1_Book_Lecture_Notes_v3.06" xfId="1328" xr:uid="{00000000-0005-0000-0000-0000A68B0000}"/>
    <cellStyle name="q_Proj10_AVP_Valuation Summary Graphics" xfId="1329" xr:uid="{00000000-0005-0000-0000-0000A78B0000}"/>
    <cellStyle name="q_Proj10_AVP_Valuation Summary Graphics_1 FM_101_Examples_v7.31McIntire" xfId="1330" xr:uid="{00000000-0005-0000-0000-0000A88B0000}"/>
    <cellStyle name="q_Proj10_AVP_Valuation Summary Graphics_1 FM_101_Examples_v7.31McIntire_1 FM_101_Examples_TWO-Day_v7.31" xfId="1331" xr:uid="{00000000-0005-0000-0000-0000A98B0000}"/>
    <cellStyle name="q_Proj10_AVP_Valuation Summary Graphics_Val_1_Book_Lecture_Notes_v3.06" xfId="1332" xr:uid="{00000000-0005-0000-0000-0000AA8B0000}"/>
    <cellStyle name="q_Proj10_CompSheet" xfId="1333" xr:uid="{00000000-0005-0000-0000-0000AB8B0000}"/>
    <cellStyle name="q_Proj10_CompSheet_Val_1_Book_Lecture_Notes_v3.06" xfId="1334" xr:uid="{00000000-0005-0000-0000-0000AC8B0000}"/>
    <cellStyle name="q_Proj10_Disc Analysis" xfId="1335" xr:uid="{00000000-0005-0000-0000-0000AD8B0000}"/>
    <cellStyle name="q_Proj10_Disc Analysis_1 FM_101_Examples_v7.31McIntire" xfId="1336" xr:uid="{00000000-0005-0000-0000-0000AE8B0000}"/>
    <cellStyle name="q_Proj10_Disc Analysis_1 FM_101_Examples_v7.31McIntire_1 FM_101_Examples_TWO-Day_v7.31" xfId="1337" xr:uid="{00000000-0005-0000-0000-0000AF8B0000}"/>
    <cellStyle name="q_Proj10_Disc Analysis_CompSheet" xfId="1338" xr:uid="{00000000-0005-0000-0000-0000B08B0000}"/>
    <cellStyle name="q_Proj10_Disc Analysis_CompSheet_1 FM_101_Examples_v7.31McIntire" xfId="1339" xr:uid="{00000000-0005-0000-0000-0000B18B0000}"/>
    <cellStyle name="q_Proj10_Disc Analysis_CompSheet_1 FM_101_Examples_v7.31McIntire_1 FM_101_Examples_TWO-Day_v7.31" xfId="1340" xr:uid="{00000000-0005-0000-0000-0000B28B0000}"/>
    <cellStyle name="q_Proj10_Disc Analysis_CompSheet_Val_1_Book_Lecture_Notes_v3.06" xfId="1341" xr:uid="{00000000-0005-0000-0000-0000B38B0000}"/>
    <cellStyle name="q_Proj10_Disc Analysis_Fairness Opinion Valuation 4-23a.xls Chart 1" xfId="1342" xr:uid="{00000000-0005-0000-0000-0000B48B0000}"/>
    <cellStyle name="q_Proj10_Disc Analysis_Fairness Opinion Valuation 4-23a.xls Chart 1_1 FM_101_Examples_v7.31McIntire" xfId="1343" xr:uid="{00000000-0005-0000-0000-0000B58B0000}"/>
    <cellStyle name="q_Proj10_Disc Analysis_Fairness Opinion Valuation 4-23a.xls Chart 1_1 FM_101_Examples_v7.31McIntire_1 FM_101_Examples_TWO-Day_v7.31" xfId="1344" xr:uid="{00000000-0005-0000-0000-0000B68B0000}"/>
    <cellStyle name="q_Proj10_Disc Analysis_Fairness Opinion Valuation 4-23a.xls Chart 1_Val_1_Book_Lecture_Notes_v3.06" xfId="1345" xr:uid="{00000000-0005-0000-0000-0000B78B0000}"/>
    <cellStyle name="q_Proj10_Disc Analysis_PowerValuation.xls Chart 21" xfId="1346" xr:uid="{00000000-0005-0000-0000-0000B88B0000}"/>
    <cellStyle name="q_Proj10_Disc Analysis_PowerValuation.xls Chart 21_1 FM_101_Examples_v7.31McIntire" xfId="1347" xr:uid="{00000000-0005-0000-0000-0000B98B0000}"/>
    <cellStyle name="q_Proj10_Disc Analysis_PowerValuation.xls Chart 21_1 FM_101_Examples_v7.31McIntire_1 FM_101_Examples_TWO-Day_v7.31" xfId="1348" xr:uid="{00000000-0005-0000-0000-0000BA8B0000}"/>
    <cellStyle name="q_Proj10_Disc Analysis_PowerValuation.xls Chart 21_Val_1_Book_Lecture_Notes_v3.06" xfId="1349" xr:uid="{00000000-0005-0000-0000-0000BB8B0000}"/>
    <cellStyle name="q_Proj10_Disc Analysis_PowerValuation.xls Chart 28" xfId="1350" xr:uid="{00000000-0005-0000-0000-0000BC8B0000}"/>
    <cellStyle name="q_Proj10_Disc Analysis_PowerValuation.xls Chart 28_1 FM_101_Examples_v7.31McIntire" xfId="1351" xr:uid="{00000000-0005-0000-0000-0000BD8B0000}"/>
    <cellStyle name="q_Proj10_Disc Analysis_PowerValuation.xls Chart 28_1 FM_101_Examples_v7.31McIntire_1 FM_101_Examples_TWO-Day_v7.31" xfId="1352" xr:uid="{00000000-0005-0000-0000-0000BE8B0000}"/>
    <cellStyle name="q_Proj10_Disc Analysis_PowerValuation.xls Chart 28_Val_1_Book_Lecture_Notes_v3.06" xfId="1353" xr:uid="{00000000-0005-0000-0000-0000BF8B0000}"/>
    <cellStyle name="q_Proj10_Disc Analysis_THEsumPage (2)" xfId="1354" xr:uid="{00000000-0005-0000-0000-0000C08B0000}"/>
    <cellStyle name="q_Proj10_Disc Analysis_THEsumPage (2)_1 FM_101_Examples_v7.31McIntire" xfId="1355" xr:uid="{00000000-0005-0000-0000-0000C18B0000}"/>
    <cellStyle name="q_Proj10_Disc Analysis_THEsumPage (2)_1 FM_101_Examples_v7.31McIntire_1 FM_101_Examples_TWO-Day_v7.31" xfId="1356" xr:uid="{00000000-0005-0000-0000-0000C28B0000}"/>
    <cellStyle name="q_Proj10_Disc Analysis_THEsumPage (2)_Val_1_Book_Lecture_Notes_v3.06" xfId="1357" xr:uid="{00000000-0005-0000-0000-0000C38B0000}"/>
    <cellStyle name="q_Proj10_Disc Analysis_Val_1_Book_Lecture_Notes_v3.06" xfId="1358" xr:uid="{00000000-0005-0000-0000-0000C48B0000}"/>
    <cellStyle name="q_Proj10_Disc Analysis_Valuation summaries" xfId="1359" xr:uid="{00000000-0005-0000-0000-0000C58B0000}"/>
    <cellStyle name="q_Proj10_Disc Analysis_Valuation summaries_1 FM_101_Examples_v7.31McIntire" xfId="1360" xr:uid="{00000000-0005-0000-0000-0000C68B0000}"/>
    <cellStyle name="q_Proj10_Disc Analysis_Valuation summaries_1 FM_101_Examples_v7.31McIntire_1 FM_101_Examples_TWO-Day_v7.31" xfId="1361" xr:uid="{00000000-0005-0000-0000-0000C78B0000}"/>
    <cellStyle name="q_Proj10_Disc Analysis_Valuation summaries_Val_1_Book_Lecture_Notes_v3.06" xfId="1362" xr:uid="{00000000-0005-0000-0000-0000C88B0000}"/>
    <cellStyle name="q_Proj10_Fairness Opinion Valuation 4-23a.xls Chart 1" xfId="1363" xr:uid="{00000000-0005-0000-0000-0000C98B0000}"/>
    <cellStyle name="q_Proj10_Fairness Opinion Valuation 4-23a.xls Chart 1_Val_1_Book_Lecture_Notes_v3.06" xfId="1364" xr:uid="{00000000-0005-0000-0000-0000CA8B0000}"/>
    <cellStyle name="q_Proj10_Merg Cons" xfId="1365" xr:uid="{00000000-0005-0000-0000-0000CB8B0000}"/>
    <cellStyle name="q_Proj10_Merg Cons_1 FM_101_Examples_v7.31McIntire" xfId="1366" xr:uid="{00000000-0005-0000-0000-0000CC8B0000}"/>
    <cellStyle name="q_Proj10_Merg Cons_1 FM_101_Examples_v7.31McIntire_1 FM_101_Examples_TWO-Day_v7.31" xfId="1367" xr:uid="{00000000-0005-0000-0000-0000CD8B0000}"/>
    <cellStyle name="q_Proj10_Merg Cons_CompSheet" xfId="1368" xr:uid="{00000000-0005-0000-0000-0000CE8B0000}"/>
    <cellStyle name="q_Proj10_Merg Cons_CompSheet_1 FM_101_Examples_v7.31McIntire" xfId="1369" xr:uid="{00000000-0005-0000-0000-0000CF8B0000}"/>
    <cellStyle name="q_Proj10_Merg Cons_CompSheet_1 FM_101_Examples_v7.31McIntire_1 FM_101_Examples_TWO-Day_v7.31" xfId="1370" xr:uid="{00000000-0005-0000-0000-0000D08B0000}"/>
    <cellStyle name="q_Proj10_Merg Cons_CompSheet_Val_1_Book_Lecture_Notes_v3.06" xfId="1371" xr:uid="{00000000-0005-0000-0000-0000D18B0000}"/>
    <cellStyle name="q_Proj10_Merg Cons_Fairness Opinion Valuation 4-23a.xls Chart 1" xfId="1372" xr:uid="{00000000-0005-0000-0000-0000D28B0000}"/>
    <cellStyle name="q_Proj10_Merg Cons_Fairness Opinion Valuation 4-23a.xls Chart 1_1 FM_101_Examples_v7.31McIntire" xfId="1373" xr:uid="{00000000-0005-0000-0000-0000D38B0000}"/>
    <cellStyle name="q_Proj10_Merg Cons_Fairness Opinion Valuation 4-23a.xls Chart 1_1 FM_101_Examples_v7.31McIntire_1 FM_101_Examples_TWO-Day_v7.31" xfId="1374" xr:uid="{00000000-0005-0000-0000-0000D48B0000}"/>
    <cellStyle name="q_Proj10_Merg Cons_Fairness Opinion Valuation 4-23a.xls Chart 1_Val_1_Book_Lecture_Notes_v3.06" xfId="1375" xr:uid="{00000000-0005-0000-0000-0000D58B0000}"/>
    <cellStyle name="q_Proj10_Merg Cons_PowerValuation.xls Chart 21" xfId="1376" xr:uid="{00000000-0005-0000-0000-0000D68B0000}"/>
    <cellStyle name="q_Proj10_Merg Cons_PowerValuation.xls Chart 21_1 FM_101_Examples_v7.31McIntire" xfId="1377" xr:uid="{00000000-0005-0000-0000-0000D78B0000}"/>
    <cellStyle name="q_Proj10_Merg Cons_PowerValuation.xls Chart 21_1 FM_101_Examples_v7.31McIntire_1 FM_101_Examples_TWO-Day_v7.31" xfId="1378" xr:uid="{00000000-0005-0000-0000-0000D88B0000}"/>
    <cellStyle name="q_Proj10_Merg Cons_PowerValuation.xls Chart 21_Val_1_Book_Lecture_Notes_v3.06" xfId="1379" xr:uid="{00000000-0005-0000-0000-0000D98B0000}"/>
    <cellStyle name="q_Proj10_Merg Cons_PowerValuation.xls Chart 28" xfId="1380" xr:uid="{00000000-0005-0000-0000-0000DA8B0000}"/>
    <cellStyle name="q_Proj10_Merg Cons_PowerValuation.xls Chart 28_1 FM_101_Examples_v7.31McIntire" xfId="1381" xr:uid="{00000000-0005-0000-0000-0000DB8B0000}"/>
    <cellStyle name="q_Proj10_Merg Cons_PowerValuation.xls Chart 28_1 FM_101_Examples_v7.31McIntire_1 FM_101_Examples_TWO-Day_v7.31" xfId="1382" xr:uid="{00000000-0005-0000-0000-0000DC8B0000}"/>
    <cellStyle name="q_Proj10_Merg Cons_PowerValuation.xls Chart 28_Val_1_Book_Lecture_Notes_v3.06" xfId="1383" xr:uid="{00000000-0005-0000-0000-0000DD8B0000}"/>
    <cellStyle name="q_Proj10_Merg Cons_THEsumPage (2)" xfId="1384" xr:uid="{00000000-0005-0000-0000-0000DE8B0000}"/>
    <cellStyle name="q_Proj10_Merg Cons_THEsumPage (2)_1 FM_101_Examples_v7.31McIntire" xfId="1385" xr:uid="{00000000-0005-0000-0000-0000DF8B0000}"/>
    <cellStyle name="q_Proj10_Merg Cons_THEsumPage (2)_1 FM_101_Examples_v7.31McIntire_1 FM_101_Examples_TWO-Day_v7.31" xfId="1386" xr:uid="{00000000-0005-0000-0000-0000E08B0000}"/>
    <cellStyle name="q_Proj10_Merg Cons_THEsumPage (2)_Val_1_Book_Lecture_Notes_v3.06" xfId="1387" xr:uid="{00000000-0005-0000-0000-0000E18B0000}"/>
    <cellStyle name="q_Proj10_Merg Cons_Val_1_Book_Lecture_Notes_v3.06" xfId="1388" xr:uid="{00000000-0005-0000-0000-0000E28B0000}"/>
    <cellStyle name="q_Proj10_Merg Cons_Valuation summaries" xfId="1389" xr:uid="{00000000-0005-0000-0000-0000E38B0000}"/>
    <cellStyle name="q_Proj10_Merg Cons_Valuation summaries_1 FM_101_Examples_v7.31McIntire" xfId="1390" xr:uid="{00000000-0005-0000-0000-0000E48B0000}"/>
    <cellStyle name="q_Proj10_Merg Cons_Valuation summaries_1 FM_101_Examples_v7.31McIntire_1 FM_101_Examples_TWO-Day_v7.31" xfId="1391" xr:uid="{00000000-0005-0000-0000-0000E58B0000}"/>
    <cellStyle name="q_Proj10_Merg Cons_Valuation summaries_Val_1_Book_Lecture_Notes_v3.06" xfId="1392" xr:uid="{00000000-0005-0000-0000-0000E68B0000}"/>
    <cellStyle name="q_Proj10_PowerValuation.xls Chart 21" xfId="1393" xr:uid="{00000000-0005-0000-0000-0000E78B0000}"/>
    <cellStyle name="q_Proj10_PowerValuation.xls Chart 21_Val_1_Book_Lecture_Notes_v3.06" xfId="1394" xr:uid="{00000000-0005-0000-0000-0000E88B0000}"/>
    <cellStyle name="q_Proj10_PowerValuation.xls Chart 28" xfId="1395" xr:uid="{00000000-0005-0000-0000-0000E98B0000}"/>
    <cellStyle name="q_Proj10_PowerValuation.xls Chart 28_Val_1_Book_Lecture_Notes_v3.06" xfId="1396" xr:uid="{00000000-0005-0000-0000-0000EA8B0000}"/>
    <cellStyle name="q_Proj10_Sensitivity" xfId="1397" xr:uid="{00000000-0005-0000-0000-0000EB8B0000}"/>
    <cellStyle name="q_Proj10_Sensitivity_1 FM_101_Examples_v7.31McIntire" xfId="1398" xr:uid="{00000000-0005-0000-0000-0000EC8B0000}"/>
    <cellStyle name="q_Proj10_Sensitivity_1 FM_101_Examples_v7.31McIntire_1 FM_101_Examples_TWO-Day_v7.31" xfId="1399" xr:uid="{00000000-0005-0000-0000-0000ED8B0000}"/>
    <cellStyle name="q_Proj10_Sensitivity_CompSheet" xfId="1400" xr:uid="{00000000-0005-0000-0000-0000EE8B0000}"/>
    <cellStyle name="q_Proj10_Sensitivity_CompSheet_1 FM_101_Examples_v7.31McIntire" xfId="1401" xr:uid="{00000000-0005-0000-0000-0000EF8B0000}"/>
    <cellStyle name="q_Proj10_Sensitivity_CompSheet_1 FM_101_Examples_v7.31McIntire_1 FM_101_Examples_TWO-Day_v7.31" xfId="1402" xr:uid="{00000000-0005-0000-0000-0000F08B0000}"/>
    <cellStyle name="q_Proj10_Sensitivity_CompSheet_Val_1_Book_Lecture_Notes_v3.06" xfId="1403" xr:uid="{00000000-0005-0000-0000-0000F18B0000}"/>
    <cellStyle name="q_Proj10_Sensitivity_Fairness Opinion Valuation 4-23a.xls Chart 1" xfId="1404" xr:uid="{00000000-0005-0000-0000-0000F28B0000}"/>
    <cellStyle name="q_Proj10_Sensitivity_Fairness Opinion Valuation 4-23a.xls Chart 1_1 FM_101_Examples_v7.31McIntire" xfId="1405" xr:uid="{00000000-0005-0000-0000-0000F38B0000}"/>
    <cellStyle name="q_Proj10_Sensitivity_Fairness Opinion Valuation 4-23a.xls Chart 1_1 FM_101_Examples_v7.31McIntire_1 FM_101_Examples_TWO-Day_v7.31" xfId="1406" xr:uid="{00000000-0005-0000-0000-0000F48B0000}"/>
    <cellStyle name="q_Proj10_Sensitivity_Fairness Opinion Valuation 4-23a.xls Chart 1_Val_1_Book_Lecture_Notes_v3.06" xfId="1407" xr:uid="{00000000-0005-0000-0000-0000F58B0000}"/>
    <cellStyle name="q_Proj10_Sensitivity_PowerValuation.xls Chart 21" xfId="1408" xr:uid="{00000000-0005-0000-0000-0000F68B0000}"/>
    <cellStyle name="q_Proj10_Sensitivity_PowerValuation.xls Chart 21_1 FM_101_Examples_v7.31McIntire" xfId="1409" xr:uid="{00000000-0005-0000-0000-0000F78B0000}"/>
    <cellStyle name="q_Proj10_Sensitivity_PowerValuation.xls Chart 21_1 FM_101_Examples_v7.31McIntire_1 FM_101_Examples_TWO-Day_v7.31" xfId="1410" xr:uid="{00000000-0005-0000-0000-0000F88B0000}"/>
    <cellStyle name="q_Proj10_Sensitivity_PowerValuation.xls Chart 21_Val_1_Book_Lecture_Notes_v3.06" xfId="1411" xr:uid="{00000000-0005-0000-0000-0000F98B0000}"/>
    <cellStyle name="q_Proj10_Sensitivity_PowerValuation.xls Chart 28" xfId="1412" xr:uid="{00000000-0005-0000-0000-0000FA8B0000}"/>
    <cellStyle name="q_Proj10_Sensitivity_PowerValuation.xls Chart 28_1 FM_101_Examples_v7.31McIntire" xfId="1413" xr:uid="{00000000-0005-0000-0000-0000FB8B0000}"/>
    <cellStyle name="q_Proj10_Sensitivity_PowerValuation.xls Chart 28_1 FM_101_Examples_v7.31McIntire_1 FM_101_Examples_TWO-Day_v7.31" xfId="1414" xr:uid="{00000000-0005-0000-0000-0000FC8B0000}"/>
    <cellStyle name="q_Proj10_Sensitivity_PowerValuation.xls Chart 28_Val_1_Book_Lecture_Notes_v3.06" xfId="1415" xr:uid="{00000000-0005-0000-0000-0000FD8B0000}"/>
    <cellStyle name="q_Proj10_Sensitivity_THEsumPage (2)" xfId="1416" xr:uid="{00000000-0005-0000-0000-0000FE8B0000}"/>
    <cellStyle name="q_Proj10_Sensitivity_THEsumPage (2)_1 FM_101_Examples_v7.31McIntire" xfId="1417" xr:uid="{00000000-0005-0000-0000-0000FF8B0000}"/>
    <cellStyle name="q_Proj10_Sensitivity_THEsumPage (2)_1 FM_101_Examples_v7.31McIntire_1 FM_101_Examples_TWO-Day_v7.31" xfId="1418" xr:uid="{00000000-0005-0000-0000-0000008C0000}"/>
    <cellStyle name="q_Proj10_Sensitivity_THEsumPage (2)_Val_1_Book_Lecture_Notes_v3.06" xfId="1419" xr:uid="{00000000-0005-0000-0000-0000018C0000}"/>
    <cellStyle name="q_Proj10_Sensitivity_Val_1_Book_Lecture_Notes_v3.06" xfId="1420" xr:uid="{00000000-0005-0000-0000-0000028C0000}"/>
    <cellStyle name="q_Proj10_Sensitivity_Valuation summaries" xfId="1421" xr:uid="{00000000-0005-0000-0000-0000038C0000}"/>
    <cellStyle name="q_Proj10_Sensitivity_Valuation summaries_1 FM_101_Examples_v7.31McIntire" xfId="1422" xr:uid="{00000000-0005-0000-0000-0000048C0000}"/>
    <cellStyle name="q_Proj10_Sensitivity_Valuation summaries_1 FM_101_Examples_v7.31McIntire_1 FM_101_Examples_TWO-Day_v7.31" xfId="1423" xr:uid="{00000000-0005-0000-0000-0000058C0000}"/>
    <cellStyle name="q_Proj10_Sensitivity_Valuation summaries_Val_1_Book_Lecture_Notes_v3.06" xfId="1424" xr:uid="{00000000-0005-0000-0000-0000068C0000}"/>
    <cellStyle name="q_Proj10_show-hold" xfId="1425" xr:uid="{00000000-0005-0000-0000-0000078C0000}"/>
    <cellStyle name="q_Proj10_show-hold_1 FM_101_Examples_v7.31McIntire" xfId="1426" xr:uid="{00000000-0005-0000-0000-0000088C0000}"/>
    <cellStyle name="q_Proj10_show-hold_1 FM_101_Examples_v7.31McIntire_1 FM_101_Examples_TWO-Day_v7.31" xfId="1427" xr:uid="{00000000-0005-0000-0000-0000098C0000}"/>
    <cellStyle name="q_Proj10_show-hold_Graphic Depiction - NO DEV" xfId="1428" xr:uid="{00000000-0005-0000-0000-00000A8C0000}"/>
    <cellStyle name="q_Proj10_show-hold_Graphic Depiction - NO DEV_1 FM_101_Examples_v7.31McIntire" xfId="1429" xr:uid="{00000000-0005-0000-0000-00000B8C0000}"/>
    <cellStyle name="q_Proj10_show-hold_Graphic Depiction - NO DEV_1 FM_101_Examples_v7.31McIntire_1 FM_101_Examples_TWO-Day_v7.31" xfId="1430" xr:uid="{00000000-0005-0000-0000-00000C8C0000}"/>
    <cellStyle name="q_Proj10_show-hold_Graphic Depiction - NO DEV_Val_1_Book_Lecture_Notes_v3.06" xfId="1431" xr:uid="{00000000-0005-0000-0000-00000D8C0000}"/>
    <cellStyle name="q_Proj10_show-hold_THEsumPage (2)" xfId="1432" xr:uid="{00000000-0005-0000-0000-00000E8C0000}"/>
    <cellStyle name="q_Proj10_show-hold_THEsumPage (2)_1 FM_101_Examples_v7.31McIntire" xfId="1433" xr:uid="{00000000-0005-0000-0000-00000F8C0000}"/>
    <cellStyle name="q_Proj10_show-hold_THEsumPage (2)_1 FM_101_Examples_v7.31McIntire_1 FM_101_Examples_TWO-Day_v7.31" xfId="1434" xr:uid="{00000000-0005-0000-0000-0000108C0000}"/>
    <cellStyle name="q_Proj10_show-hold_THEsumPage (2)_Val_1_Book_Lecture_Notes_v3.06" xfId="1435" xr:uid="{00000000-0005-0000-0000-0000118C0000}"/>
    <cellStyle name="q_Proj10_show-hold_Val_1_Book_Lecture_Notes_v3.06" xfId="1436" xr:uid="{00000000-0005-0000-0000-0000128C0000}"/>
    <cellStyle name="q_Proj10_show-hold_Valuation Summary Graphics" xfId="1437" xr:uid="{00000000-0005-0000-0000-0000138C0000}"/>
    <cellStyle name="q_Proj10_show-hold_Valuation Summary Graphics_1 FM_101_Examples_v7.31McIntire" xfId="1438" xr:uid="{00000000-0005-0000-0000-0000148C0000}"/>
    <cellStyle name="q_Proj10_show-hold_Valuation Summary Graphics_1 FM_101_Examples_v7.31McIntire_1 FM_101_Examples_TWO-Day_v7.31" xfId="1439" xr:uid="{00000000-0005-0000-0000-0000158C0000}"/>
    <cellStyle name="q_Proj10_show-hold_Valuation Summary Graphics_Val_1_Book_Lecture_Notes_v3.06" xfId="1440" xr:uid="{00000000-0005-0000-0000-0000168C0000}"/>
    <cellStyle name="q_Proj10_THEsumPage (2)" xfId="1441" xr:uid="{00000000-0005-0000-0000-0000178C0000}"/>
    <cellStyle name="q_Proj10_THEsumPage (2)_Val_1_Book_Lecture_Notes_v3.06" xfId="1442" xr:uid="{00000000-0005-0000-0000-0000188C0000}"/>
    <cellStyle name="q_Proj10_Val_1_Book_Lecture_Notes_v3.06" xfId="1443" xr:uid="{00000000-0005-0000-0000-0000198C0000}"/>
    <cellStyle name="q_Proj10_Valuation summaries" xfId="1444" xr:uid="{00000000-0005-0000-0000-00001A8C0000}"/>
    <cellStyle name="q_Proj10_Valuation summaries_Val_1_Book_Lecture_Notes_v3.06" xfId="1445" xr:uid="{00000000-0005-0000-0000-00001B8C0000}"/>
    <cellStyle name="q_Proj10_WACC-CableCar" xfId="1446" xr:uid="{00000000-0005-0000-0000-00001C8C0000}"/>
    <cellStyle name="q_Proj10_WACC-CableCar_LANCE_Model_v0.6.DCF.MASTER.Name" xfId="1447" xr:uid="{00000000-0005-0000-0000-00001D8C0000}"/>
    <cellStyle name="q_Proj10_WACC-CableCar_LANCE_Model_v0.6.DCF.MASTER.Name_Campbell_MBA_HALF_v2.2" xfId="1448" xr:uid="{00000000-0005-0000-0000-00001E8C0000}"/>
    <cellStyle name="q_Proj10_WACC-CableCar_LANCE_Model_v0.6.DCF.MASTER.Name_Key Info_WACC" xfId="1449" xr:uid="{00000000-0005-0000-0000-00001F8C0000}"/>
    <cellStyle name="q_Proj10_WACC-CableCar_LANCE_Model_v0.6.DCF.MASTER.Name_Tootsie_TWO_DAY_TTS_Solution_v1.34" xfId="1450" xr:uid="{00000000-0005-0000-0000-0000208C0000}"/>
    <cellStyle name="q_Proj10_WACC-CableCar_LANCE_Model_v0.6.DCF.MASTER.Name_Val_1_Book_Lecture_Notes_v3.06" xfId="1451" xr:uid="{00000000-0005-0000-0000-0000218C0000}"/>
    <cellStyle name="q_Proj10_WACC-CableCar_THEsumPage (2)" xfId="1452" xr:uid="{00000000-0005-0000-0000-0000228C0000}"/>
    <cellStyle name="q_Proj10_WACC-CableCar_THEsumPage (2)_LANCE_Model_v0.6.DCF.MASTER.Name" xfId="1453" xr:uid="{00000000-0005-0000-0000-0000238C0000}"/>
    <cellStyle name="q_Proj10_WACC-CableCar_THEsumPage (2)_LANCE_Model_v0.6.DCF.MASTER.Name_Campbell_MBA_HALF_v2.2" xfId="1454" xr:uid="{00000000-0005-0000-0000-0000248C0000}"/>
    <cellStyle name="q_Proj10_WACC-CableCar_THEsumPage (2)_LANCE_Model_v0.6.DCF.MASTER.Name_Key Info_WACC" xfId="1455" xr:uid="{00000000-0005-0000-0000-0000258C0000}"/>
    <cellStyle name="q_Proj10_WACC-CableCar_THEsumPage (2)_LANCE_Model_v0.6.DCF.MASTER.Name_Tootsie_TWO_DAY_TTS_Solution_v1.34" xfId="1456" xr:uid="{00000000-0005-0000-0000-0000268C0000}"/>
    <cellStyle name="q_Proj10_WACC-CableCar_THEsumPage (2)_LANCE_Model_v0.6.DCF.MASTER.Name_Val_1_Book_Lecture_Notes_v3.06" xfId="1457" xr:uid="{00000000-0005-0000-0000-0000278C0000}"/>
    <cellStyle name="q_Proj10_WACC-CableCar_THEsumPage (2)_Val_1_Book_Lecture_Notes_v3.06" xfId="1458" xr:uid="{00000000-0005-0000-0000-0000288C0000}"/>
    <cellStyle name="q_Proj10_WACC-CableCar_Val_1_Book_Lecture_Notes_v3.06" xfId="1459" xr:uid="{00000000-0005-0000-0000-0000298C0000}"/>
    <cellStyle name="q_Sensitivity" xfId="1460" xr:uid="{00000000-0005-0000-0000-00002A8C0000}"/>
    <cellStyle name="q_Sensitivity_1 FM_101_Examples_v7.31McIntire" xfId="1461" xr:uid="{00000000-0005-0000-0000-00002B8C0000}"/>
    <cellStyle name="q_Sensitivity_1 FM_101_Examples_v7.31McIntire_1 FM_101_Examples_TWO-Day_v7.31" xfId="1462" xr:uid="{00000000-0005-0000-0000-00002C8C0000}"/>
    <cellStyle name="q_Sensitivity_CompSheet" xfId="1463" xr:uid="{00000000-0005-0000-0000-00002D8C0000}"/>
    <cellStyle name="q_Sensitivity_CompSheet_1 FM_101_Examples_v7.31McIntire" xfId="1464" xr:uid="{00000000-0005-0000-0000-00002E8C0000}"/>
    <cellStyle name="q_Sensitivity_CompSheet_1 FM_101_Examples_v7.31McIntire_1 FM_101_Examples_TWO-Day_v7.31" xfId="1465" xr:uid="{00000000-0005-0000-0000-00002F8C0000}"/>
    <cellStyle name="q_Sensitivity_CompSheet_Val_1_Book_Lecture_Notes_v3.06" xfId="1466" xr:uid="{00000000-0005-0000-0000-0000308C0000}"/>
    <cellStyle name="q_Sensitivity_Fairness Opinion Valuation 4-23a.xls Chart 1" xfId="1467" xr:uid="{00000000-0005-0000-0000-0000318C0000}"/>
    <cellStyle name="q_Sensitivity_Fairness Opinion Valuation 4-23a.xls Chart 1_1 FM_101_Examples_v7.31McIntire" xfId="1468" xr:uid="{00000000-0005-0000-0000-0000328C0000}"/>
    <cellStyle name="q_Sensitivity_Fairness Opinion Valuation 4-23a.xls Chart 1_1 FM_101_Examples_v7.31McIntire_1 FM_101_Examples_TWO-Day_v7.31" xfId="1469" xr:uid="{00000000-0005-0000-0000-0000338C0000}"/>
    <cellStyle name="q_Sensitivity_Fairness Opinion Valuation 4-23a.xls Chart 1_Val_1_Book_Lecture_Notes_v3.06" xfId="1470" xr:uid="{00000000-0005-0000-0000-0000348C0000}"/>
    <cellStyle name="q_Sensitivity_PowerValuation.xls Chart 21" xfId="1471" xr:uid="{00000000-0005-0000-0000-0000358C0000}"/>
    <cellStyle name="q_Sensitivity_PowerValuation.xls Chart 21_1 FM_101_Examples_v7.31McIntire" xfId="1472" xr:uid="{00000000-0005-0000-0000-0000368C0000}"/>
    <cellStyle name="q_Sensitivity_PowerValuation.xls Chart 21_1 FM_101_Examples_v7.31McIntire_1 FM_101_Examples_TWO-Day_v7.31" xfId="1473" xr:uid="{00000000-0005-0000-0000-0000378C0000}"/>
    <cellStyle name="q_Sensitivity_PowerValuation.xls Chart 21_Val_1_Book_Lecture_Notes_v3.06" xfId="1474" xr:uid="{00000000-0005-0000-0000-0000388C0000}"/>
    <cellStyle name="q_Sensitivity_PowerValuation.xls Chart 28" xfId="1475" xr:uid="{00000000-0005-0000-0000-0000398C0000}"/>
    <cellStyle name="q_Sensitivity_PowerValuation.xls Chart 28_1 FM_101_Examples_v7.31McIntire" xfId="1476" xr:uid="{00000000-0005-0000-0000-00003A8C0000}"/>
    <cellStyle name="q_Sensitivity_PowerValuation.xls Chart 28_1 FM_101_Examples_v7.31McIntire_1 FM_101_Examples_TWO-Day_v7.31" xfId="1477" xr:uid="{00000000-0005-0000-0000-00003B8C0000}"/>
    <cellStyle name="q_Sensitivity_PowerValuation.xls Chart 28_Val_1_Book_Lecture_Notes_v3.06" xfId="1478" xr:uid="{00000000-0005-0000-0000-00003C8C0000}"/>
    <cellStyle name="q_Sensitivity_THEsumPage (2)" xfId="1479" xr:uid="{00000000-0005-0000-0000-00003D8C0000}"/>
    <cellStyle name="q_Sensitivity_THEsumPage (2)_1 FM_101_Examples_v7.31McIntire" xfId="1480" xr:uid="{00000000-0005-0000-0000-00003E8C0000}"/>
    <cellStyle name="q_Sensitivity_THEsumPage (2)_1 FM_101_Examples_v7.31McIntire_1 FM_101_Examples_TWO-Day_v7.31" xfId="1481" xr:uid="{00000000-0005-0000-0000-00003F8C0000}"/>
    <cellStyle name="q_Sensitivity_THEsumPage (2)_Val_1_Book_Lecture_Notes_v3.06" xfId="1482" xr:uid="{00000000-0005-0000-0000-0000408C0000}"/>
    <cellStyle name="q_Sensitivity_Val_1_Book_Lecture_Notes_v3.06" xfId="1483" xr:uid="{00000000-0005-0000-0000-0000418C0000}"/>
    <cellStyle name="q_Sensitivity_Valuation summaries" xfId="1484" xr:uid="{00000000-0005-0000-0000-0000428C0000}"/>
    <cellStyle name="q_Sensitivity_Valuation summaries_1 FM_101_Examples_v7.31McIntire" xfId="1485" xr:uid="{00000000-0005-0000-0000-0000438C0000}"/>
    <cellStyle name="q_Sensitivity_Valuation summaries_1 FM_101_Examples_v7.31McIntire_1 FM_101_Examples_TWO-Day_v7.31" xfId="1486" xr:uid="{00000000-0005-0000-0000-0000448C0000}"/>
    <cellStyle name="q_Sensitivity_Valuation summaries_Val_1_Book_Lecture_Notes_v3.06" xfId="1487" xr:uid="{00000000-0005-0000-0000-0000458C0000}"/>
    <cellStyle name="q_show-hold" xfId="1488" xr:uid="{00000000-0005-0000-0000-0000468C0000}"/>
    <cellStyle name="q_show-hold_1 FM_101_Examples_v7.31McIntire" xfId="1489" xr:uid="{00000000-0005-0000-0000-0000478C0000}"/>
    <cellStyle name="q_show-hold_1 FM_101_Examples_v7.31McIntire_1 FM_101_Examples_TWO-Day_v7.31" xfId="1490" xr:uid="{00000000-0005-0000-0000-0000488C0000}"/>
    <cellStyle name="q_show-hold_CompSheet" xfId="1491" xr:uid="{00000000-0005-0000-0000-0000498C0000}"/>
    <cellStyle name="q_show-hold_CompSheet_1 FM_101_Examples_v7.31McIntire" xfId="1492" xr:uid="{00000000-0005-0000-0000-00004A8C0000}"/>
    <cellStyle name="q_show-hold_CompSheet_1 FM_101_Examples_v7.31McIntire_1 FM_101_Examples_TWO-Day_v7.31" xfId="1493" xr:uid="{00000000-0005-0000-0000-00004B8C0000}"/>
    <cellStyle name="q_show-hold_CompSheet_Val_1_Book_Lecture_Notes_v3.06" xfId="1494" xr:uid="{00000000-0005-0000-0000-00004C8C0000}"/>
    <cellStyle name="q_show-hold_Fairness Opinion Valuation 4-23a.xls Chart 1" xfId="1495" xr:uid="{00000000-0005-0000-0000-00004D8C0000}"/>
    <cellStyle name="q_show-hold_Fairness Opinion Valuation 4-23a.xls Chart 1_1 FM_101_Examples_v7.31McIntire" xfId="1496" xr:uid="{00000000-0005-0000-0000-00004E8C0000}"/>
    <cellStyle name="q_show-hold_Fairness Opinion Valuation 4-23a.xls Chart 1_1 FM_101_Examples_v7.31McIntire_1 FM_101_Examples_TWO-Day_v7.31" xfId="1497" xr:uid="{00000000-0005-0000-0000-00004F8C0000}"/>
    <cellStyle name="q_show-hold_Fairness Opinion Valuation 4-23a.xls Chart 1_Val_1_Book_Lecture_Notes_v3.06" xfId="1498" xr:uid="{00000000-0005-0000-0000-0000508C0000}"/>
    <cellStyle name="q_show-hold_PowerValuation.xls Chart 21" xfId="1499" xr:uid="{00000000-0005-0000-0000-0000518C0000}"/>
    <cellStyle name="q_show-hold_PowerValuation.xls Chart 21_1 FM_101_Examples_v7.31McIntire" xfId="1500" xr:uid="{00000000-0005-0000-0000-0000528C0000}"/>
    <cellStyle name="q_show-hold_PowerValuation.xls Chart 21_1 FM_101_Examples_v7.31McIntire_1 FM_101_Examples_TWO-Day_v7.31" xfId="1501" xr:uid="{00000000-0005-0000-0000-0000538C0000}"/>
    <cellStyle name="q_show-hold_PowerValuation.xls Chart 21_Val_1_Book_Lecture_Notes_v3.06" xfId="1502" xr:uid="{00000000-0005-0000-0000-0000548C0000}"/>
    <cellStyle name="q_show-hold_PowerValuation.xls Chart 28" xfId="1503" xr:uid="{00000000-0005-0000-0000-0000558C0000}"/>
    <cellStyle name="q_show-hold_PowerValuation.xls Chart 28_1 FM_101_Examples_v7.31McIntire" xfId="1504" xr:uid="{00000000-0005-0000-0000-0000568C0000}"/>
    <cellStyle name="q_show-hold_PowerValuation.xls Chart 28_1 FM_101_Examples_v7.31McIntire_1 FM_101_Examples_TWO-Day_v7.31" xfId="1505" xr:uid="{00000000-0005-0000-0000-0000578C0000}"/>
    <cellStyle name="q_show-hold_PowerValuation.xls Chart 28_Val_1_Book_Lecture_Notes_v3.06" xfId="1506" xr:uid="{00000000-0005-0000-0000-0000588C0000}"/>
    <cellStyle name="q_show-hold_THEsumPage (2)" xfId="1507" xr:uid="{00000000-0005-0000-0000-0000598C0000}"/>
    <cellStyle name="q_show-hold_THEsumPage (2)_1 FM_101_Examples_v7.31McIntire" xfId="1508" xr:uid="{00000000-0005-0000-0000-00005A8C0000}"/>
    <cellStyle name="q_show-hold_THEsumPage (2)_1 FM_101_Examples_v7.31McIntire_1 FM_101_Examples_TWO-Day_v7.31" xfId="1509" xr:uid="{00000000-0005-0000-0000-00005B8C0000}"/>
    <cellStyle name="q_show-hold_THEsumPage (2)_Val_1_Book_Lecture_Notes_v3.06" xfId="1510" xr:uid="{00000000-0005-0000-0000-00005C8C0000}"/>
    <cellStyle name="q_show-hold_Val_1_Book_Lecture_Notes_v3.06" xfId="1511" xr:uid="{00000000-0005-0000-0000-00005D8C0000}"/>
    <cellStyle name="q_show-hold_Valuation summaries" xfId="1512" xr:uid="{00000000-0005-0000-0000-00005E8C0000}"/>
    <cellStyle name="q_show-hold_Valuation summaries_1 FM_101_Examples_v7.31McIntire" xfId="1513" xr:uid="{00000000-0005-0000-0000-00005F8C0000}"/>
    <cellStyle name="q_show-hold_Valuation summaries_1 FM_101_Examples_v7.31McIntire_1 FM_101_Examples_TWO-Day_v7.31" xfId="1514" xr:uid="{00000000-0005-0000-0000-0000608C0000}"/>
    <cellStyle name="q_show-hold_Valuation summaries_Val_1_Book_Lecture_Notes_v3.06" xfId="1515" xr:uid="{00000000-0005-0000-0000-0000618C0000}"/>
    <cellStyle name="q_THEsumPage (2)" xfId="1516" xr:uid="{00000000-0005-0000-0000-0000628C0000}"/>
    <cellStyle name="q_THEsumPage (2)_Val_1_Book_Lecture_Notes_v3.06" xfId="1517" xr:uid="{00000000-0005-0000-0000-0000638C0000}"/>
    <cellStyle name="q_Val_1_Book_Lecture_Notes_v3.06" xfId="1518" xr:uid="{00000000-0005-0000-0000-0000648C0000}"/>
    <cellStyle name="q_Valuation summaries" xfId="1519" xr:uid="{00000000-0005-0000-0000-0000658C0000}"/>
    <cellStyle name="q_Valuation summaries_Val_1_Book_Lecture_Notes_v3.06" xfId="1520" xr:uid="{00000000-0005-0000-0000-0000668C0000}"/>
    <cellStyle name="q_WACC-CableCar" xfId="1521" xr:uid="{00000000-0005-0000-0000-0000678C0000}"/>
    <cellStyle name="q_WACC-CableCar_LANCE_Model_v0.6.DCF.MASTER.Name" xfId="1522" xr:uid="{00000000-0005-0000-0000-0000688C0000}"/>
    <cellStyle name="q_WACC-CableCar_LANCE_Model_v0.6.DCF.MASTER.Name_Campbell_MBA_HALF_v2.2" xfId="1523" xr:uid="{00000000-0005-0000-0000-0000698C0000}"/>
    <cellStyle name="q_WACC-CableCar_LANCE_Model_v0.6.DCF.MASTER.Name_Key Info_WACC" xfId="1524" xr:uid="{00000000-0005-0000-0000-00006A8C0000}"/>
    <cellStyle name="q_WACC-CableCar_LANCE_Model_v0.6.DCF.MASTER.Name_Tootsie_TWO_DAY_TTS_Solution_v1.34" xfId="1525" xr:uid="{00000000-0005-0000-0000-00006B8C0000}"/>
    <cellStyle name="q_WACC-CableCar_LANCE_Model_v0.6.DCF.MASTER.Name_Val_1_Book_Lecture_Notes_v3.06" xfId="1526" xr:uid="{00000000-0005-0000-0000-00006C8C0000}"/>
    <cellStyle name="q_WACC-CableCar_THEsumPage (2)" xfId="1527" xr:uid="{00000000-0005-0000-0000-00006D8C0000}"/>
    <cellStyle name="q_WACC-CableCar_THEsumPage (2)_LANCE_Model_v0.6.DCF.MASTER.Name" xfId="1528" xr:uid="{00000000-0005-0000-0000-00006E8C0000}"/>
    <cellStyle name="q_WACC-CableCar_THEsumPage (2)_LANCE_Model_v0.6.DCF.MASTER.Name_Campbell_MBA_HALF_v2.2" xfId="1529" xr:uid="{00000000-0005-0000-0000-00006F8C0000}"/>
    <cellStyle name="q_WACC-CableCar_THEsumPage (2)_LANCE_Model_v0.6.DCF.MASTER.Name_Key Info_WACC" xfId="1530" xr:uid="{00000000-0005-0000-0000-0000708C0000}"/>
    <cellStyle name="q_WACC-CableCar_THEsumPage (2)_LANCE_Model_v0.6.DCF.MASTER.Name_Tootsie_TWO_DAY_TTS_Solution_v1.34" xfId="1531" xr:uid="{00000000-0005-0000-0000-0000718C0000}"/>
    <cellStyle name="q_WACC-CableCar_THEsumPage (2)_LANCE_Model_v0.6.DCF.MASTER.Name_Val_1_Book_Lecture_Notes_v3.06" xfId="1532" xr:uid="{00000000-0005-0000-0000-0000728C0000}"/>
    <cellStyle name="q_WACC-CableCar_THEsumPage (2)_Val_1_Book_Lecture_Notes_v3.06" xfId="1533" xr:uid="{00000000-0005-0000-0000-0000738C0000}"/>
    <cellStyle name="q_WACC-CableCar_Val_1_Book_Lecture_Notes_v3.06" xfId="1534" xr:uid="{00000000-0005-0000-0000-0000748C0000}"/>
    <cellStyle name="QEPS-h" xfId="1535" xr:uid="{00000000-0005-0000-0000-0000758C0000}"/>
    <cellStyle name="QEPS-H1" xfId="1536" xr:uid="{00000000-0005-0000-0000-0000768C0000}"/>
    <cellStyle name="qRange" xfId="1537" xr:uid="{00000000-0005-0000-0000-0000778C0000}"/>
    <cellStyle name="r" xfId="1538" xr:uid="{00000000-0005-0000-0000-0000788C0000}"/>
    <cellStyle name="range" xfId="1539" xr:uid="{00000000-0005-0000-0000-0000798C0000}"/>
    <cellStyle name="rate" xfId="1540" xr:uid="{00000000-0005-0000-0000-00007A8C0000}"/>
    <cellStyle name="Ratio" xfId="1541" xr:uid="{00000000-0005-0000-0000-00007B8C0000}"/>
    <cellStyle name="Ratio 2" xfId="1961" xr:uid="{00000000-0005-0000-0000-00007C8C0000}"/>
    <cellStyle name="Ratio Comma" xfId="1542" xr:uid="{00000000-0005-0000-0000-00007D8C0000}"/>
    <cellStyle name="Ratio_1 FM_101_Examples_v7.3 McIntire" xfId="1543" xr:uid="{00000000-0005-0000-0000-00007E8C0000}"/>
    <cellStyle name="RatioX" xfId="1962" xr:uid="{00000000-0005-0000-0000-00007F8C0000}"/>
    <cellStyle name="Red" xfId="372" xr:uid="{00000000-0005-0000-0000-0000808C0000}"/>
    <cellStyle name="Red Text" xfId="1963" xr:uid="{00000000-0005-0000-0000-0000818C0000}"/>
    <cellStyle name="rh" xfId="10410" xr:uid="{00000000-0005-0000-0000-0000828C0000}"/>
    <cellStyle name="s_HardInc " xfId="1544" xr:uid="{00000000-0005-0000-0000-0000838C0000}"/>
    <cellStyle name="s_HardInc _1 Cadbury_&amp;_Kraft_Model_v11.0" xfId="1545" xr:uid="{00000000-0005-0000-0000-0000848C0000}"/>
    <cellStyle name="s_HardInc _2 HNZ_CPB_v11.0" xfId="1546" xr:uid="{00000000-0005-0000-0000-0000858C0000}"/>
    <cellStyle name="s_HardInc _2 HNZ_CPB_v11.0.2" xfId="1547" xr:uid="{00000000-0005-0000-0000-0000868C0000}"/>
    <cellStyle name="s_HardInc _Book2" xfId="1548" xr:uid="{00000000-0005-0000-0000-0000878C0000}"/>
    <cellStyle name="s_HardInc _CBRY_Case_v2.0 DRAFT4.0_AL" xfId="1549" xr:uid="{00000000-0005-0000-0000-0000888C0000}"/>
    <cellStyle name="s_HardInc _CBRY_Case_v2.0 DRAFT4.0_AL_MBA_Val_101_CAD_2009_BACKUP_v1.0_Draft_10" xfId="1550" xr:uid="{00000000-0005-0000-0000-0000898C0000}"/>
    <cellStyle name="s_HardInc _CBRY_Case_v2.0 DRAFT4.0_AL_MBA_Val_101_CAD_2009_BACKUP_v1.0_Draft_15" xfId="1551" xr:uid="{00000000-0005-0000-0000-00008A8C0000}"/>
    <cellStyle name="s_HardInc _COH_Merger_Model_Analysts_SOLUTION_v1.88" xfId="1552" xr:uid="{00000000-0005-0000-0000-00008B8C0000}"/>
    <cellStyle name="s_HardInc _Copy of COH_2008_FM_SOLUTION_DCF_v1.05" xfId="1553" xr:uid="{00000000-0005-0000-0000-00008C8C0000}"/>
    <cellStyle name="s_HardInc _MBA_Val_CAD_DCFv2.0" xfId="1554" xr:uid="{00000000-0005-0000-0000-00008D8C0000}"/>
    <cellStyle name="s_HardInc _MBA_Val_CAD_DCFv2.0_MBA_Val_101_CAD_2009_BACKUP_v1.0_Draft_10" xfId="1555" xr:uid="{00000000-0005-0000-0000-00008E8C0000}"/>
    <cellStyle name="s_HardInc _MBA_Val_CAD_DCFv2.0_MBA_Val_101_CAD_2009_BACKUP_v1.0_Draft_15" xfId="1556" xr:uid="{00000000-0005-0000-0000-00008F8C0000}"/>
    <cellStyle name="s_HardInc _MBA_Val_CAD_DCFv2.0_MBA_Val_101_CAD_2009_BACKUP_v1.0_Draft_9" xfId="1557" xr:uid="{00000000-0005-0000-0000-0000908C0000}"/>
    <cellStyle name="s_Valuation " xfId="1558" xr:uid="{00000000-0005-0000-0000-0000918C0000}"/>
    <cellStyle name="s_Valuation _Book2" xfId="1559" xr:uid="{00000000-0005-0000-0000-0000928C0000}"/>
    <cellStyle name="s_Valuation _MBA_Val_CAD_DCFv2.0" xfId="1560" xr:uid="{00000000-0005-0000-0000-0000938C0000}"/>
    <cellStyle name="s_Valuation _TTS" xfId="1561" xr:uid="{00000000-0005-0000-0000-0000948C0000}"/>
    <cellStyle name="s_Valuation _TTS_Worksheet_2010-5-5" xfId="1562" xr:uid="{00000000-0005-0000-0000-0000958C0000}"/>
    <cellStyle name="s_Valuation _TTS_Worksheet_2010-5-6" xfId="1563" xr:uid="{00000000-0005-0000-0000-0000968C0000}"/>
    <cellStyle name="s_Valuation _TTS_Worksheet_v3.00" xfId="1564" xr:uid="{00000000-0005-0000-0000-0000978C0000}"/>
    <cellStyle name="s_Valuation _TTS-LBO_TEMPLATE_v1.0d" xfId="1565" xr:uid="{00000000-0005-0000-0000-0000988C0000}"/>
    <cellStyle name="Saída" xfId="1964" xr:uid="{00000000-0005-0000-0000-0000998C0000}"/>
    <cellStyle name="Saída 2" xfId="11104" xr:uid="{00000000-0005-0000-0000-00009A8C0000}"/>
    <cellStyle name="Salida" xfId="1965" xr:uid="{00000000-0005-0000-0000-00009B8C0000}"/>
    <cellStyle name="Salida 2" xfId="11105" xr:uid="{00000000-0005-0000-0000-00009C8C0000}"/>
    <cellStyle name="ScripFactor" xfId="1966" xr:uid="{00000000-0005-0000-0000-00009D8C0000}"/>
    <cellStyle name="Section" xfId="1566" xr:uid="{00000000-0005-0000-0000-00009E8C0000}"/>
    <cellStyle name="SectionHeaderNormal" xfId="65" xr:uid="{00000000-0005-0000-0000-00009F8C0000}"/>
    <cellStyle name="SectionHeaderNormal 2" xfId="1567" xr:uid="{00000000-0005-0000-0000-0000A08C0000}"/>
    <cellStyle name="SectionHeading" xfId="1967" xr:uid="{00000000-0005-0000-0000-0000A18C0000}"/>
    <cellStyle name="Sep. milhar [0]" xfId="1968" xr:uid="{00000000-0005-0000-0000-0000A28C0000}"/>
    <cellStyle name="Separador de milhares [0]_ANALISE_backup 14_08_1345" xfId="1969" xr:uid="{00000000-0005-0000-0000-0000A38C0000}"/>
    <cellStyle name="Separador de milhares_ANALISE_backup 14_08_1345" xfId="1970" xr:uid="{00000000-0005-0000-0000-0000A48C0000}"/>
    <cellStyle name="Shading" xfId="1971" xr:uid="{00000000-0005-0000-0000-0000A58C0000}"/>
    <cellStyle name="srh" xfId="10411" xr:uid="{00000000-0005-0000-0000-0000A68C0000}"/>
    <cellStyle name="ssp " xfId="1568" xr:uid="{00000000-0005-0000-0000-0000A78C0000}"/>
    <cellStyle name="Standard" xfId="1972" xr:uid="{00000000-0005-0000-0000-0000A88C0000}"/>
    <cellStyle name="Stock Comma" xfId="1569" xr:uid="{00000000-0005-0000-0000-0000A98C0000}"/>
    <cellStyle name="Stock Price" xfId="1570" xr:uid="{00000000-0005-0000-0000-0000AA8C0000}"/>
    <cellStyle name="Style 1" xfId="77" xr:uid="{00000000-0005-0000-0000-0000AB8C0000}"/>
    <cellStyle name="Style 1 2" xfId="1571" xr:uid="{00000000-0005-0000-0000-0000AC8C0000}"/>
    <cellStyle name="Style 21" xfId="1572" xr:uid="{00000000-0005-0000-0000-0000AD8C0000}"/>
    <cellStyle name="Style 22" xfId="1573" xr:uid="{00000000-0005-0000-0000-0000AE8C0000}"/>
    <cellStyle name="Style 23" xfId="1574" xr:uid="{00000000-0005-0000-0000-0000AF8C0000}"/>
    <cellStyle name="Style 24" xfId="1575" xr:uid="{00000000-0005-0000-0000-0000B08C0000}"/>
    <cellStyle name="Style 25" xfId="1576" xr:uid="{00000000-0005-0000-0000-0000B18C0000}"/>
    <cellStyle name="Style 26" xfId="1577" xr:uid="{00000000-0005-0000-0000-0000B28C0000}"/>
    <cellStyle name="Style 27" xfId="1578" xr:uid="{00000000-0005-0000-0000-0000B38C0000}"/>
    <cellStyle name="Style 28" xfId="1579" xr:uid="{00000000-0005-0000-0000-0000B48C0000}"/>
    <cellStyle name="Style 29" xfId="1580" xr:uid="{00000000-0005-0000-0000-0000B58C0000}"/>
    <cellStyle name="Style 30" xfId="1581" xr:uid="{00000000-0005-0000-0000-0000B68C0000}"/>
    <cellStyle name="Style 31" xfId="1582" xr:uid="{00000000-0005-0000-0000-0000B78C0000}"/>
    <cellStyle name="Style 32" xfId="1583" xr:uid="{00000000-0005-0000-0000-0000B88C0000}"/>
    <cellStyle name="Style 33" xfId="1584" xr:uid="{00000000-0005-0000-0000-0000B98C0000}"/>
    <cellStyle name="Style 34" xfId="1585" xr:uid="{00000000-0005-0000-0000-0000BA8C0000}"/>
    <cellStyle name="Style 35" xfId="1586" xr:uid="{00000000-0005-0000-0000-0000BB8C0000}"/>
    <cellStyle name="Style 36" xfId="1587" xr:uid="{00000000-0005-0000-0000-0000BC8C0000}"/>
    <cellStyle name="Style 37" xfId="1588" xr:uid="{00000000-0005-0000-0000-0000BD8C0000}"/>
    <cellStyle name="Style 38" xfId="1589" xr:uid="{00000000-0005-0000-0000-0000BE8C0000}"/>
    <cellStyle name="Style 39" xfId="1590" xr:uid="{00000000-0005-0000-0000-0000BF8C0000}"/>
    <cellStyle name="Style 40" xfId="1591" xr:uid="{00000000-0005-0000-0000-0000C08C0000}"/>
    <cellStyle name="Style 41" xfId="1592" xr:uid="{00000000-0005-0000-0000-0000C18C0000}"/>
    <cellStyle name="Style 42" xfId="1593" xr:uid="{00000000-0005-0000-0000-0000C28C0000}"/>
    <cellStyle name="Style 43" xfId="1594" xr:uid="{00000000-0005-0000-0000-0000C38C0000}"/>
    <cellStyle name="Style 44" xfId="1595" xr:uid="{00000000-0005-0000-0000-0000C48C0000}"/>
    <cellStyle name="Style 45" xfId="1596" xr:uid="{00000000-0005-0000-0000-0000C58C0000}"/>
    <cellStyle name="Style 46" xfId="1597" xr:uid="{00000000-0005-0000-0000-0000C68C0000}"/>
    <cellStyle name="Style 47" xfId="1598" xr:uid="{00000000-0005-0000-0000-0000C78C0000}"/>
    <cellStyle name="Style 48" xfId="1599" xr:uid="{00000000-0005-0000-0000-0000C88C0000}"/>
    <cellStyle name="Style 67" xfId="1600" xr:uid="{00000000-0005-0000-0000-0000C98C0000}"/>
    <cellStyle name="Style 74" xfId="1601" xr:uid="{00000000-0005-0000-0000-0000CA8C0000}"/>
    <cellStyle name="Style 79" xfId="1602" xr:uid="{00000000-0005-0000-0000-0000CB8C0000}"/>
    <cellStyle name="Style 83" xfId="1603" xr:uid="{00000000-0005-0000-0000-0000CC8C0000}"/>
    <cellStyle name="STYLE2" xfId="11135" xr:uid="{00000000-0005-0000-0000-0000CD8C0000}"/>
    <cellStyle name="SubScript" xfId="66" xr:uid="{00000000-0005-0000-0000-0000CE8C0000}"/>
    <cellStyle name="SubScript 2" xfId="1604" xr:uid="{00000000-0005-0000-0000-0000CF8C0000}"/>
    <cellStyle name="Sum" xfId="1605" xr:uid="{00000000-0005-0000-0000-0000D08C0000}"/>
    <cellStyle name="SuperScript" xfId="67" xr:uid="{00000000-0005-0000-0000-0000D18C0000}"/>
    <cellStyle name="SuperScript 2" xfId="1606" xr:uid="{00000000-0005-0000-0000-0000D28C0000}"/>
    <cellStyle name="Table_Header" xfId="1607" xr:uid="{00000000-0005-0000-0000-0000D38C0000}"/>
    <cellStyle name="TableName" xfId="1973" xr:uid="{00000000-0005-0000-0000-0000D48C0000}"/>
    <cellStyle name="tcn" xfId="1608" xr:uid="{00000000-0005-0000-0000-0000D58C0000}"/>
    <cellStyle name="Test" xfId="1609" xr:uid="{00000000-0005-0000-0000-0000D68C0000}"/>
    <cellStyle name="Text Wrap" xfId="1974" xr:uid="{00000000-0005-0000-0000-0000D78C0000}"/>
    <cellStyle name="Text Wrap 2" xfId="1998" xr:uid="{00000000-0005-0000-0000-0000D88C0000}"/>
    <cellStyle name="Text Wrap 2 2" xfId="11191" xr:uid="{00000000-0005-0000-0000-0000D98C0000}"/>
    <cellStyle name="Text Wrap 3" xfId="2081" xr:uid="{00000000-0005-0000-0000-0000DA8C0000}"/>
    <cellStyle name="Text Wrap 3 2" xfId="11460" xr:uid="{00000000-0005-0000-0000-0000DB8C0000}"/>
    <cellStyle name="TextBold" xfId="68" xr:uid="{00000000-0005-0000-0000-0000DC8C0000}"/>
    <cellStyle name="TextBold 2" xfId="1610" xr:uid="{00000000-0005-0000-0000-0000DD8C0000}"/>
    <cellStyle name="TextItalic" xfId="69" xr:uid="{00000000-0005-0000-0000-0000DE8C0000}"/>
    <cellStyle name="TextItalic 2" xfId="465" xr:uid="{00000000-0005-0000-0000-0000DF8C0000}"/>
    <cellStyle name="TextItalic 3" xfId="1611" xr:uid="{00000000-0005-0000-0000-0000E08C0000}"/>
    <cellStyle name="TextNormal" xfId="70" xr:uid="{00000000-0005-0000-0000-0000E18C0000}"/>
    <cellStyle name="TextNormal 2" xfId="1612" xr:uid="{00000000-0005-0000-0000-0000E28C0000}"/>
    <cellStyle name="Texto de advertencia" xfId="1975" xr:uid="{00000000-0005-0000-0000-0000E38C0000}"/>
    <cellStyle name="Texto de Aviso" xfId="1976" xr:uid="{00000000-0005-0000-0000-0000E48C0000}"/>
    <cellStyle name="Texto explicativo" xfId="1977" xr:uid="{00000000-0005-0000-0000-0000E58C0000}"/>
    <cellStyle name="Time" xfId="1613" xr:uid="{00000000-0005-0000-0000-0000E68C0000}"/>
    <cellStyle name="Tina" xfId="1614" xr:uid="{00000000-0005-0000-0000-0000E78C0000}"/>
    <cellStyle name="Title 2" xfId="373" xr:uid="{00000000-0005-0000-0000-0000E88C0000}"/>
    <cellStyle name="Title 2 2" xfId="374" xr:uid="{00000000-0005-0000-0000-0000E98C0000}"/>
    <cellStyle name="Title 2 3" xfId="2264" xr:uid="{00000000-0005-0000-0000-0000EA8C0000}"/>
    <cellStyle name="Title1" xfId="1616" xr:uid="{00000000-0005-0000-0000-0000EB8C0000}"/>
    <cellStyle name="Title2" xfId="1617" xr:uid="{00000000-0005-0000-0000-0000EC8C0000}"/>
    <cellStyle name="TitleNormal" xfId="71" xr:uid="{00000000-0005-0000-0000-0000ED8C0000}"/>
    <cellStyle name="TitleNormal 2" xfId="1618" xr:uid="{00000000-0005-0000-0000-0000EE8C0000}"/>
    <cellStyle name="Titles" xfId="1978" xr:uid="{00000000-0005-0000-0000-0000EF8C0000}"/>
    <cellStyle name="Título" xfId="1979" xr:uid="{00000000-0005-0000-0000-0000F08C0000}"/>
    <cellStyle name="Título 1" xfId="1980" xr:uid="{00000000-0005-0000-0000-0000F18C0000}"/>
    <cellStyle name="Título 2" xfId="1981" xr:uid="{00000000-0005-0000-0000-0000F28C0000}"/>
    <cellStyle name="Título 3" xfId="1982" xr:uid="{00000000-0005-0000-0000-0000F38C0000}"/>
    <cellStyle name="Título 4" xfId="1983" xr:uid="{00000000-0005-0000-0000-0000F48C0000}"/>
    <cellStyle name="tn" xfId="1619" xr:uid="{00000000-0005-0000-0000-0000F58C0000}"/>
    <cellStyle name="Top Edge" xfId="1620" xr:uid="{00000000-0005-0000-0000-0000F68C0000}"/>
    <cellStyle name="Total" xfId="405" builtinId="25" customBuiltin="1"/>
    <cellStyle name="Total 10" xfId="11267" xr:uid="{00000000-0005-0000-0000-0000F88C0000}"/>
    <cellStyle name="Total 11" xfId="11298" xr:uid="{00000000-0005-0000-0000-0000F98C0000}"/>
    <cellStyle name="Total 12" xfId="11330" xr:uid="{00000000-0005-0000-0000-0000FA8C0000}"/>
    <cellStyle name="Total 13" xfId="11450" xr:uid="{00000000-0005-0000-0000-0000FB8C0000}"/>
    <cellStyle name="Total 14" xfId="11346" xr:uid="{00000000-0005-0000-0000-0000FC8C0000}"/>
    <cellStyle name="Total 15" xfId="11491" xr:uid="{00000000-0005-0000-0000-0000FD8C0000}"/>
    <cellStyle name="Total 16" xfId="11353" xr:uid="{00000000-0005-0000-0000-0000FE8C0000}"/>
    <cellStyle name="Total 17" xfId="11485" xr:uid="{00000000-0005-0000-0000-0000FF8C0000}"/>
    <cellStyle name="Total 18" xfId="11361" xr:uid="{00000000-0005-0000-0000-0000008D0000}"/>
    <cellStyle name="Total 19" xfId="11479" xr:uid="{00000000-0005-0000-0000-0000018D0000}"/>
    <cellStyle name="Total 2" xfId="375" xr:uid="{00000000-0005-0000-0000-0000028D0000}"/>
    <cellStyle name="Total 2 2" xfId="376" xr:uid="{00000000-0005-0000-0000-0000038D0000}"/>
    <cellStyle name="Total 2 2 2" xfId="1653" xr:uid="{00000000-0005-0000-0000-0000048D0000}"/>
    <cellStyle name="Total 2 2 2 2" xfId="1696" xr:uid="{00000000-0005-0000-0000-0000058D0000}"/>
    <cellStyle name="Total 2 2 2 3" xfId="1715" xr:uid="{00000000-0005-0000-0000-0000068D0000}"/>
    <cellStyle name="Total 2 2 3" xfId="11132" xr:uid="{00000000-0005-0000-0000-0000078D0000}"/>
    <cellStyle name="Total 2 2 4" xfId="36245" xr:uid="{00000000-0005-0000-0000-0000088D0000}"/>
    <cellStyle name="Total 2 2 5" xfId="36248" xr:uid="{00000000-0005-0000-0000-0000098D0000}"/>
    <cellStyle name="Total 2 3" xfId="1646" xr:uid="{00000000-0005-0000-0000-00000A8D0000}"/>
    <cellStyle name="Total 2 3 2" xfId="1689" xr:uid="{00000000-0005-0000-0000-00000B8D0000}"/>
    <cellStyle name="Total 2 3 3" xfId="1708" xr:uid="{00000000-0005-0000-0000-00000C8D0000}"/>
    <cellStyle name="Total 2 4" xfId="1669" xr:uid="{00000000-0005-0000-0000-00000D8D0000}"/>
    <cellStyle name="Total 2 5" xfId="11131" xr:uid="{00000000-0005-0000-0000-00000E8D0000}"/>
    <cellStyle name="Total 2 6" xfId="36244" xr:uid="{00000000-0005-0000-0000-00000F8D0000}"/>
    <cellStyle name="Total 2 7" xfId="36247" xr:uid="{00000000-0005-0000-0000-0000108D0000}"/>
    <cellStyle name="Total 20" xfId="11367" xr:uid="{00000000-0005-0000-0000-0000118D0000}"/>
    <cellStyle name="Total 21" xfId="11470" xr:uid="{00000000-0005-0000-0000-0000128D0000}"/>
    <cellStyle name="Total 22" xfId="11508" xr:uid="{00000000-0005-0000-0000-0000138D0000}"/>
    <cellStyle name="Total 23" xfId="11524" xr:uid="{00000000-0005-0000-0000-0000148D0000}"/>
    <cellStyle name="Total 24" xfId="11540" xr:uid="{00000000-0005-0000-0000-0000158D0000}"/>
    <cellStyle name="Total 25" xfId="11557" xr:uid="{00000000-0005-0000-0000-0000168D0000}"/>
    <cellStyle name="Total 26" xfId="11573" xr:uid="{00000000-0005-0000-0000-0000178D0000}"/>
    <cellStyle name="Total 27" xfId="11589" xr:uid="{00000000-0005-0000-0000-0000188D0000}"/>
    <cellStyle name="Total 28" xfId="11604" xr:uid="{00000000-0005-0000-0000-0000198D0000}"/>
    <cellStyle name="Total 29" xfId="11620" xr:uid="{00000000-0005-0000-0000-00001A8D0000}"/>
    <cellStyle name="Total 3" xfId="1621" xr:uid="{00000000-0005-0000-0000-00001B8D0000}"/>
    <cellStyle name="Total 3 2" xfId="1661" xr:uid="{00000000-0005-0000-0000-00001C8D0000}"/>
    <cellStyle name="Total 3 2 2" xfId="1703" xr:uid="{00000000-0005-0000-0000-00001D8D0000}"/>
    <cellStyle name="Total 3 2 3" xfId="1722" xr:uid="{00000000-0005-0000-0000-00001E8D0000}"/>
    <cellStyle name="Total 3 3" xfId="1684" xr:uid="{00000000-0005-0000-0000-00001F8D0000}"/>
    <cellStyle name="Total 3 4" xfId="1675" xr:uid="{00000000-0005-0000-0000-0000208D0000}"/>
    <cellStyle name="Total 3 5" xfId="11153" xr:uid="{00000000-0005-0000-0000-0000218D0000}"/>
    <cellStyle name="Total 3 6" xfId="36218" xr:uid="{00000000-0005-0000-0000-0000228D0000}"/>
    <cellStyle name="Total 30" xfId="11636" xr:uid="{00000000-0005-0000-0000-0000238D0000}"/>
    <cellStyle name="Total 31" xfId="11652" xr:uid="{00000000-0005-0000-0000-0000248D0000}"/>
    <cellStyle name="Total 32" xfId="11668" xr:uid="{00000000-0005-0000-0000-0000258D0000}"/>
    <cellStyle name="Total 33" xfId="11683" xr:uid="{00000000-0005-0000-0000-0000268D0000}"/>
    <cellStyle name="Total 34" xfId="19664" xr:uid="{00000000-0005-0000-0000-0000278D0000}"/>
    <cellStyle name="Total 35" xfId="19681" xr:uid="{00000000-0005-0000-0000-0000288D0000}"/>
    <cellStyle name="Total 36" xfId="19682" xr:uid="{00000000-0005-0000-0000-0000298D0000}"/>
    <cellStyle name="Total 37" xfId="19714" xr:uid="{00000000-0005-0000-0000-00002A8D0000}"/>
    <cellStyle name="Total 38" xfId="19724" xr:uid="{00000000-0005-0000-0000-00002B8D0000}"/>
    <cellStyle name="Total 39" xfId="19740" xr:uid="{00000000-0005-0000-0000-00002C8D0000}"/>
    <cellStyle name="Total 4" xfId="11169" xr:uid="{00000000-0005-0000-0000-00002D8D0000}"/>
    <cellStyle name="Total 40" xfId="19716" xr:uid="{00000000-0005-0000-0000-00002E8D0000}"/>
    <cellStyle name="Total 41" xfId="19762" xr:uid="{00000000-0005-0000-0000-00002F8D0000}"/>
    <cellStyle name="Total 42" xfId="19793" xr:uid="{00000000-0005-0000-0000-0000308D0000}"/>
    <cellStyle name="Total 43" xfId="19812" xr:uid="{00000000-0005-0000-0000-0000318D0000}"/>
    <cellStyle name="Total 44" xfId="19923" xr:uid="{00000000-0005-0000-0000-0000328D0000}"/>
    <cellStyle name="Total 45" xfId="19824" xr:uid="{00000000-0005-0000-0000-0000338D0000}"/>
    <cellStyle name="Total 46" xfId="19961" xr:uid="{00000000-0005-0000-0000-0000348D0000}"/>
    <cellStyle name="Total 47" xfId="19830" xr:uid="{00000000-0005-0000-0000-0000358D0000}"/>
    <cellStyle name="Total 48" xfId="19956" xr:uid="{00000000-0005-0000-0000-0000368D0000}"/>
    <cellStyle name="Total 49" xfId="19837" xr:uid="{00000000-0005-0000-0000-0000378D0000}"/>
    <cellStyle name="Total 5" xfId="11181" xr:uid="{00000000-0005-0000-0000-0000388D0000}"/>
    <cellStyle name="Total 50" xfId="19950" xr:uid="{00000000-0005-0000-0000-0000398D0000}"/>
    <cellStyle name="Total 51" xfId="19843" xr:uid="{00000000-0005-0000-0000-00003A8D0000}"/>
    <cellStyle name="Total 52" xfId="19942" xr:uid="{00000000-0005-0000-0000-00003B8D0000}"/>
    <cellStyle name="Total 53" xfId="19978" xr:uid="{00000000-0005-0000-0000-00003C8D0000}"/>
    <cellStyle name="Total 54" xfId="19993" xr:uid="{00000000-0005-0000-0000-00003D8D0000}"/>
    <cellStyle name="Total 55" xfId="20009" xr:uid="{00000000-0005-0000-0000-00003E8D0000}"/>
    <cellStyle name="Total 56" xfId="20025" xr:uid="{00000000-0005-0000-0000-00003F8D0000}"/>
    <cellStyle name="Total 57" xfId="20040" xr:uid="{00000000-0005-0000-0000-0000408D0000}"/>
    <cellStyle name="Total 58" xfId="20056" xr:uid="{00000000-0005-0000-0000-0000418D0000}"/>
    <cellStyle name="Total 59" xfId="20070" xr:uid="{00000000-0005-0000-0000-0000428D0000}"/>
    <cellStyle name="Total 6" xfId="11214" xr:uid="{00000000-0005-0000-0000-0000438D0000}"/>
    <cellStyle name="Total 60" xfId="20085" xr:uid="{00000000-0005-0000-0000-0000448D0000}"/>
    <cellStyle name="Total 61" xfId="20100" xr:uid="{00000000-0005-0000-0000-0000458D0000}"/>
    <cellStyle name="Total 62" xfId="20115" xr:uid="{00000000-0005-0000-0000-0000468D0000}"/>
    <cellStyle name="Total 63" xfId="20130" xr:uid="{00000000-0005-0000-0000-0000478D0000}"/>
    <cellStyle name="Total 64" xfId="20144" xr:uid="{00000000-0005-0000-0000-0000488D0000}"/>
    <cellStyle name="Total 7" xfId="11229" xr:uid="{00000000-0005-0000-0000-0000498D0000}"/>
    <cellStyle name="Total 8" xfId="11245" xr:uid="{00000000-0005-0000-0000-00004A8D0000}"/>
    <cellStyle name="Total 9" xfId="11220" xr:uid="{00000000-0005-0000-0000-00004B8D0000}"/>
    <cellStyle name="TTS" xfId="1622" xr:uid="{00000000-0005-0000-0000-00004C8D0000}"/>
    <cellStyle name="TTS 2" xfId="1623" xr:uid="{00000000-0005-0000-0000-00004D8D0000}"/>
    <cellStyle name="TTS 3" xfId="1624" xr:uid="{00000000-0005-0000-0000-00004E8D0000}"/>
    <cellStyle name="TTS_1 Cadbury_&amp;_Kraft_Model_v11.0" xfId="1625" xr:uid="{00000000-0005-0000-0000-00004F8D0000}"/>
    <cellStyle name="ubordinated Debt" xfId="1626" xr:uid="{00000000-0005-0000-0000-0000508D0000}"/>
    <cellStyle name="UnderlineNormal" xfId="1984" xr:uid="{00000000-0005-0000-0000-0000518D0000}"/>
    <cellStyle name="vaca" xfId="1985" xr:uid="{00000000-0005-0000-0000-0000528D0000}"/>
    <cellStyle name="ValueConstant" xfId="1627" xr:uid="{00000000-0005-0000-0000-0000538D0000}"/>
    <cellStyle name="Warning Text" xfId="402" builtinId="11" customBuiltin="1"/>
    <cellStyle name="Warning Text 10" xfId="11270" xr:uid="{00000000-0005-0000-0000-0000558D0000}"/>
    <cellStyle name="Warning Text 11" xfId="11295" xr:uid="{00000000-0005-0000-0000-0000568D0000}"/>
    <cellStyle name="Warning Text 12" xfId="11327" xr:uid="{00000000-0005-0000-0000-0000578D0000}"/>
    <cellStyle name="Warning Text 13" xfId="11453" xr:uid="{00000000-0005-0000-0000-0000588D0000}"/>
    <cellStyle name="Warning Text 14" xfId="11448" xr:uid="{00000000-0005-0000-0000-0000598D0000}"/>
    <cellStyle name="Warning Text 15" xfId="11494" xr:uid="{00000000-0005-0000-0000-00005A8D0000}"/>
    <cellStyle name="Warning Text 16" xfId="11349" xr:uid="{00000000-0005-0000-0000-00005B8D0000}"/>
    <cellStyle name="Warning Text 17" xfId="11489" xr:uid="{00000000-0005-0000-0000-00005C8D0000}"/>
    <cellStyle name="Warning Text 18" xfId="11357" xr:uid="{00000000-0005-0000-0000-00005D8D0000}"/>
    <cellStyle name="Warning Text 19" xfId="11482" xr:uid="{00000000-0005-0000-0000-00005E8D0000}"/>
    <cellStyle name="Warning Text 2" xfId="377" xr:uid="{00000000-0005-0000-0000-00005F8D0000}"/>
    <cellStyle name="Warning Text 20" xfId="11364" xr:uid="{00000000-0005-0000-0000-0000608D0000}"/>
    <cellStyle name="Warning Text 21" xfId="11477" xr:uid="{00000000-0005-0000-0000-0000618D0000}"/>
    <cellStyle name="Warning Text 22" xfId="11369" xr:uid="{00000000-0005-0000-0000-0000628D0000}"/>
    <cellStyle name="Warning Text 23" xfId="11474" xr:uid="{00000000-0005-0000-0000-0000638D0000}"/>
    <cellStyle name="Warning Text 24" xfId="11372" xr:uid="{00000000-0005-0000-0000-0000648D0000}"/>
    <cellStyle name="Warning Text 25" xfId="11444" xr:uid="{00000000-0005-0000-0000-0000658D0000}"/>
    <cellStyle name="Warning Text 26" xfId="11374" xr:uid="{00000000-0005-0000-0000-0000668D0000}"/>
    <cellStyle name="Warning Text 27" xfId="11442" xr:uid="{00000000-0005-0000-0000-0000678D0000}"/>
    <cellStyle name="Warning Text 28" xfId="11376" xr:uid="{00000000-0005-0000-0000-0000688D0000}"/>
    <cellStyle name="Warning Text 29" xfId="11331" xr:uid="{00000000-0005-0000-0000-0000698D0000}"/>
    <cellStyle name="Warning Text 3" xfId="1628" xr:uid="{00000000-0005-0000-0000-00006A8D0000}"/>
    <cellStyle name="Warning Text 3 2" xfId="11150" xr:uid="{00000000-0005-0000-0000-00006B8D0000}"/>
    <cellStyle name="Warning Text 30" xfId="11378" xr:uid="{00000000-0005-0000-0000-00006C8D0000}"/>
    <cellStyle name="Warning Text 31" xfId="11313" xr:uid="{00000000-0005-0000-0000-00006D8D0000}"/>
    <cellStyle name="Warning Text 32" xfId="11380" xr:uid="{00000000-0005-0000-0000-00006E8D0000}"/>
    <cellStyle name="Warning Text 33" xfId="11438" xr:uid="{00000000-0005-0000-0000-00006F8D0000}"/>
    <cellStyle name="Warning Text 34" xfId="19661" xr:uid="{00000000-0005-0000-0000-0000708D0000}"/>
    <cellStyle name="Warning Text 35" xfId="19678" xr:uid="{00000000-0005-0000-0000-0000718D0000}"/>
    <cellStyle name="Warning Text 36" xfId="19685" xr:uid="{00000000-0005-0000-0000-0000728D0000}"/>
    <cellStyle name="Warning Text 37" xfId="19711" xr:uid="{00000000-0005-0000-0000-0000738D0000}"/>
    <cellStyle name="Warning Text 38" xfId="19727" xr:uid="{00000000-0005-0000-0000-0000748D0000}"/>
    <cellStyle name="Warning Text 39" xfId="19743" xr:uid="{00000000-0005-0000-0000-0000758D0000}"/>
    <cellStyle name="Warning Text 4" xfId="11166" xr:uid="{00000000-0005-0000-0000-0000768D0000}"/>
    <cellStyle name="Warning Text 40" xfId="19719" xr:uid="{00000000-0005-0000-0000-0000778D0000}"/>
    <cellStyle name="Warning Text 41" xfId="19765" xr:uid="{00000000-0005-0000-0000-0000788D0000}"/>
    <cellStyle name="Warning Text 42" xfId="19790" xr:uid="{00000000-0005-0000-0000-0000798D0000}"/>
    <cellStyle name="Warning Text 43" xfId="19809" xr:uid="{00000000-0005-0000-0000-00007A8D0000}"/>
    <cellStyle name="Warning Text 44" xfId="19926" xr:uid="{00000000-0005-0000-0000-00007B8D0000}"/>
    <cellStyle name="Warning Text 45" xfId="19921" xr:uid="{00000000-0005-0000-0000-00007C8D0000}"/>
    <cellStyle name="Warning Text 46" xfId="19964" xr:uid="{00000000-0005-0000-0000-00007D8D0000}"/>
    <cellStyle name="Warning Text 47" xfId="19827" xr:uid="{00000000-0005-0000-0000-00007E8D0000}"/>
    <cellStyle name="Warning Text 48" xfId="19959" xr:uid="{00000000-0005-0000-0000-00007F8D0000}"/>
    <cellStyle name="Warning Text 49" xfId="19834" xr:uid="{00000000-0005-0000-0000-0000808D0000}"/>
    <cellStyle name="Warning Text 5" xfId="11184" xr:uid="{00000000-0005-0000-0000-0000818D0000}"/>
    <cellStyle name="Warning Text 50" xfId="19953" xr:uid="{00000000-0005-0000-0000-0000828D0000}"/>
    <cellStyle name="Warning Text 51" xfId="19840" xr:uid="{00000000-0005-0000-0000-0000838D0000}"/>
    <cellStyle name="Warning Text 52" xfId="19948" xr:uid="{00000000-0005-0000-0000-0000848D0000}"/>
    <cellStyle name="Warning Text 53" xfId="19845" xr:uid="{00000000-0005-0000-0000-0000858D0000}"/>
    <cellStyle name="Warning Text 54" xfId="19945" xr:uid="{00000000-0005-0000-0000-0000868D0000}"/>
    <cellStyle name="Warning Text 55" xfId="19848" xr:uid="{00000000-0005-0000-0000-0000878D0000}"/>
    <cellStyle name="Warning Text 56" xfId="19918" xr:uid="{00000000-0005-0000-0000-0000888D0000}"/>
    <cellStyle name="Warning Text 57" xfId="19850" xr:uid="{00000000-0005-0000-0000-0000898D0000}"/>
    <cellStyle name="Warning Text 58" xfId="19916" xr:uid="{00000000-0005-0000-0000-00008A8D0000}"/>
    <cellStyle name="Warning Text 59" xfId="19852" xr:uid="{00000000-0005-0000-0000-00008B8D0000}"/>
    <cellStyle name="Warning Text 6" xfId="11211" xr:uid="{00000000-0005-0000-0000-00008C8D0000}"/>
    <cellStyle name="Warning Text 60" xfId="19813" xr:uid="{00000000-0005-0000-0000-00008D8D0000}"/>
    <cellStyle name="Warning Text 61" xfId="19854" xr:uid="{00000000-0005-0000-0000-00008E8D0000}"/>
    <cellStyle name="Warning Text 62" xfId="19795" xr:uid="{00000000-0005-0000-0000-00008F8D0000}"/>
    <cellStyle name="Warning Text 63" xfId="19856" xr:uid="{00000000-0005-0000-0000-0000908D0000}"/>
    <cellStyle name="Warning Text 64" xfId="19912" xr:uid="{00000000-0005-0000-0000-0000918D0000}"/>
    <cellStyle name="Warning Text 7" xfId="11232" xr:uid="{00000000-0005-0000-0000-0000928D0000}"/>
    <cellStyle name="Warning Text 8" xfId="11248" xr:uid="{00000000-0005-0000-0000-0000938D0000}"/>
    <cellStyle name="Warning Text 9" xfId="11223" xr:uid="{00000000-0005-0000-0000-0000948D0000}"/>
    <cellStyle name="wheat merger's and acquisitions" xfId="1629" xr:uid="{00000000-0005-0000-0000-0000958D0000}"/>
    <cellStyle name="WorkbookFormula" xfId="1630" xr:uid="{00000000-0005-0000-0000-0000968D0000}"/>
    <cellStyle name="Years" xfId="1631" xr:uid="{00000000-0005-0000-0000-0000978D0000}"/>
    <cellStyle name="yellow" xfId="1632" xr:uid="{00000000-0005-0000-0000-0000988D0000}"/>
    <cellStyle name="Yellow 2" xfId="1986" xr:uid="{00000000-0005-0000-0000-0000998D0000}"/>
  </cellStyles>
  <dxfs count="0"/>
  <tableStyles count="0" defaultTableStyle="TableStyleMedium9" defaultPivotStyle="PivotStyleLight16"/>
  <colors>
    <mruColors>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'NIC Acquisition'!$E$32</c:f>
              <c:strCache>
                <c:ptCount val="1"/>
                <c:pt idx="0">
                  <c:v>TYL FCF Margin</c:v>
                </c:pt>
              </c:strCache>
            </c:strRef>
          </c:tx>
          <c:spPr>
            <a:ln w="28575" cap="rnd">
              <a:solidFill>
                <a:schemeClr val="accent1"/>
              </a:solidFill>
              <a:round/>
            </a:ln>
            <a:effectLst/>
          </c:spPr>
          <c:marker>
            <c:symbol val="none"/>
          </c:marker>
          <c:cat>
            <c:numRef>
              <c:f>'NIC Acquisition'!$F$27:$N$27</c:f>
              <c:numCache>
                <c:formatCode>General</c:formatCode>
                <c:ptCount val="9"/>
                <c:pt idx="0">
                  <c:v>2012</c:v>
                </c:pt>
                <c:pt idx="1">
                  <c:v>2013</c:v>
                </c:pt>
                <c:pt idx="2">
                  <c:v>2014</c:v>
                </c:pt>
                <c:pt idx="3">
                  <c:v>2015</c:v>
                </c:pt>
                <c:pt idx="4">
                  <c:v>2016</c:v>
                </c:pt>
                <c:pt idx="5">
                  <c:v>2017</c:v>
                </c:pt>
                <c:pt idx="6">
                  <c:v>2018</c:v>
                </c:pt>
                <c:pt idx="7">
                  <c:v>2019</c:v>
                </c:pt>
                <c:pt idx="8">
                  <c:v>2020</c:v>
                </c:pt>
              </c:numCache>
            </c:numRef>
          </c:cat>
          <c:val>
            <c:numRef>
              <c:f>'NIC Acquisition'!$F$32:$N$32</c:f>
              <c:numCache>
                <c:formatCode>0.0%</c:formatCode>
                <c:ptCount val="9"/>
                <c:pt idx="0">
                  <c:v>0.13643119811507717</c:v>
                </c:pt>
                <c:pt idx="1">
                  <c:v>9.4162148410029692E-2</c:v>
                </c:pt>
                <c:pt idx="2">
                  <c:v>0.23138058937215703</c:v>
                </c:pt>
                <c:pt idx="3">
                  <c:v>0.12875497479995623</c:v>
                </c:pt>
                <c:pt idx="4">
                  <c:v>0.19977059166612662</c:v>
                </c:pt>
                <c:pt idx="5">
                  <c:v>0.18140012283655016</c:v>
                </c:pt>
                <c:pt idx="6">
                  <c:v>0.23707257999293396</c:v>
                </c:pt>
                <c:pt idx="7">
                  <c:v>0.19487683212443968</c:v>
                </c:pt>
                <c:pt idx="8">
                  <c:v>0.28961371116842394</c:v>
                </c:pt>
              </c:numCache>
            </c:numRef>
          </c:val>
          <c:smooth val="0"/>
          <c:extLst>
            <c:ext xmlns:c16="http://schemas.microsoft.com/office/drawing/2014/chart" uri="{C3380CC4-5D6E-409C-BE32-E72D297353CC}">
              <c16:uniqueId val="{00000000-A55E-4A54-A1CA-52935D67B861}"/>
            </c:ext>
          </c:extLst>
        </c:ser>
        <c:ser>
          <c:idx val="1"/>
          <c:order val="1"/>
          <c:tx>
            <c:strRef>
              <c:f>'NIC Acquisition'!$E$35</c:f>
              <c:strCache>
                <c:ptCount val="1"/>
                <c:pt idx="0">
                  <c:v>TYL Non-GAAP Net Margin</c:v>
                </c:pt>
              </c:strCache>
            </c:strRef>
          </c:tx>
          <c:spPr>
            <a:ln w="28575" cap="rnd">
              <a:solidFill>
                <a:schemeClr val="accent2"/>
              </a:solidFill>
              <a:round/>
            </a:ln>
            <a:effectLst/>
          </c:spPr>
          <c:marker>
            <c:symbol val="none"/>
          </c:marker>
          <c:cat>
            <c:numRef>
              <c:f>'NIC Acquisition'!$F$27:$N$27</c:f>
              <c:numCache>
                <c:formatCode>General</c:formatCode>
                <c:ptCount val="9"/>
                <c:pt idx="0">
                  <c:v>2012</c:v>
                </c:pt>
                <c:pt idx="1">
                  <c:v>2013</c:v>
                </c:pt>
                <c:pt idx="2">
                  <c:v>2014</c:v>
                </c:pt>
                <c:pt idx="3">
                  <c:v>2015</c:v>
                </c:pt>
                <c:pt idx="4">
                  <c:v>2016</c:v>
                </c:pt>
                <c:pt idx="5">
                  <c:v>2017</c:v>
                </c:pt>
                <c:pt idx="6">
                  <c:v>2018</c:v>
                </c:pt>
                <c:pt idx="7">
                  <c:v>2019</c:v>
                </c:pt>
                <c:pt idx="8">
                  <c:v>2020</c:v>
                </c:pt>
              </c:numCache>
            </c:numRef>
          </c:cat>
          <c:val>
            <c:numRef>
              <c:f>'NIC Acquisition'!$F$35:$N$35</c:f>
              <c:numCache>
                <c:formatCode>0%</c:formatCode>
                <c:ptCount val="9"/>
                <c:pt idx="0">
                  <c:v>0.11663510448549974</c:v>
                </c:pt>
                <c:pt idx="1">
                  <c:v>0.12556793225855228</c:v>
                </c:pt>
                <c:pt idx="2">
                  <c:v>0.15010717885382507</c:v>
                </c:pt>
                <c:pt idx="3">
                  <c:v>0.15596597363040496</c:v>
                </c:pt>
                <c:pt idx="4">
                  <c:v>0.17607154429395372</c:v>
                </c:pt>
                <c:pt idx="5">
                  <c:v>0.18283875980227354</c:v>
                </c:pt>
                <c:pt idx="6">
                  <c:v>0.20513287106207459</c:v>
                </c:pt>
                <c:pt idx="7">
                  <c:v>0.19478337041258764</c:v>
                </c:pt>
                <c:pt idx="8">
                  <c:v>0.20248081800235176</c:v>
                </c:pt>
              </c:numCache>
            </c:numRef>
          </c:val>
          <c:smooth val="0"/>
          <c:extLst>
            <c:ext xmlns:c16="http://schemas.microsoft.com/office/drawing/2014/chart" uri="{C3380CC4-5D6E-409C-BE32-E72D297353CC}">
              <c16:uniqueId val="{00000001-A55E-4A54-A1CA-52935D67B861}"/>
            </c:ext>
          </c:extLst>
        </c:ser>
        <c:dLbls>
          <c:showLegendKey val="0"/>
          <c:showVal val="0"/>
          <c:showCatName val="0"/>
          <c:showSerName val="0"/>
          <c:showPercent val="0"/>
          <c:showBubbleSize val="0"/>
        </c:dLbls>
        <c:smooth val="0"/>
        <c:axId val="1901185455"/>
        <c:axId val="104600479"/>
      </c:lineChart>
      <c:catAx>
        <c:axId val="1901185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00479"/>
        <c:crosses val="autoZero"/>
        <c:auto val="1"/>
        <c:lblAlgn val="ctr"/>
        <c:lblOffset val="100"/>
        <c:noMultiLvlLbl val="0"/>
      </c:catAx>
      <c:valAx>
        <c:axId val="10460047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185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Backlog vs Software Backlog</a:t>
            </a:r>
          </a:p>
        </c:rich>
      </c:tx>
      <c:overlay val="0"/>
    </c:title>
    <c:autoTitleDeleted val="0"/>
    <c:plotArea>
      <c:layout/>
      <c:barChart>
        <c:barDir val="col"/>
        <c:grouping val="clustered"/>
        <c:varyColors val="0"/>
        <c:ser>
          <c:idx val="0"/>
          <c:order val="0"/>
          <c:tx>
            <c:strRef>
              <c:f>'backlog charts'!$A$5</c:f>
              <c:strCache>
                <c:ptCount val="1"/>
                <c:pt idx="0">
                  <c:v>Total Backlog</c:v>
                </c:pt>
              </c:strCache>
            </c:strRef>
          </c:tx>
          <c:invertIfNegative val="0"/>
          <c:cat>
            <c:strRef>
              <c:f>'backlog charts'!$H$3:$AJ$3</c:f>
              <c:strCache>
                <c:ptCount val="29"/>
                <c:pt idx="0">
                  <c:v>1Q10</c:v>
                </c:pt>
                <c:pt idx="1">
                  <c:v>2Q10</c:v>
                </c:pt>
                <c:pt idx="2">
                  <c:v>3Q10</c:v>
                </c:pt>
                <c:pt idx="3">
                  <c:v>4Q10</c:v>
                </c:pt>
                <c:pt idx="4">
                  <c:v> 1Q11 </c:v>
                </c:pt>
                <c:pt idx="5">
                  <c:v>2Q11</c:v>
                </c:pt>
                <c:pt idx="6">
                  <c:v>3Q11</c:v>
                </c:pt>
                <c:pt idx="7">
                  <c:v>4Q11</c:v>
                </c:pt>
                <c:pt idx="8">
                  <c:v>1Q12</c:v>
                </c:pt>
                <c:pt idx="9">
                  <c:v>2Q12</c:v>
                </c:pt>
                <c:pt idx="10">
                  <c:v>3Q12</c:v>
                </c:pt>
                <c:pt idx="11">
                  <c:v>4Q12</c:v>
                </c:pt>
                <c:pt idx="12">
                  <c:v>1Q13</c:v>
                </c:pt>
                <c:pt idx="13">
                  <c:v>2Q13</c:v>
                </c:pt>
                <c:pt idx="14">
                  <c:v>3Q13</c:v>
                </c:pt>
                <c:pt idx="15">
                  <c:v>4Q13</c:v>
                </c:pt>
                <c:pt idx="16">
                  <c:v>1Q14</c:v>
                </c:pt>
                <c:pt idx="17">
                  <c:v>2Q14</c:v>
                </c:pt>
                <c:pt idx="18">
                  <c:v>3Q14</c:v>
                </c:pt>
                <c:pt idx="19">
                  <c:v>4Q14</c:v>
                </c:pt>
                <c:pt idx="20">
                  <c:v>1Q15</c:v>
                </c:pt>
                <c:pt idx="21">
                  <c:v>2Q15</c:v>
                </c:pt>
                <c:pt idx="22">
                  <c:v>3Q15</c:v>
                </c:pt>
                <c:pt idx="23">
                  <c:v>4Q15</c:v>
                </c:pt>
                <c:pt idx="24">
                  <c:v>1Q16</c:v>
                </c:pt>
                <c:pt idx="25">
                  <c:v>2Q16</c:v>
                </c:pt>
                <c:pt idx="26">
                  <c:v>3Q16</c:v>
                </c:pt>
                <c:pt idx="27">
                  <c:v>4Q16</c:v>
                </c:pt>
                <c:pt idx="28">
                  <c:v>1Q17E</c:v>
                </c:pt>
              </c:strCache>
            </c:strRef>
          </c:cat>
          <c:val>
            <c:numRef>
              <c:f>'backlog charts'!$H$5:$AJ$5</c:f>
              <c:numCache>
                <c:formatCode>General</c:formatCode>
                <c:ptCount val="29"/>
                <c:pt idx="0">
                  <c:v>218.8</c:v>
                </c:pt>
                <c:pt idx="1">
                  <c:v>258</c:v>
                </c:pt>
                <c:pt idx="2">
                  <c:v>253.8</c:v>
                </c:pt>
                <c:pt idx="3">
                  <c:v>281.39999999999998</c:v>
                </c:pt>
                <c:pt idx="4">
                  <c:v>262.10000000000002</c:v>
                </c:pt>
                <c:pt idx="5">
                  <c:v>296</c:v>
                </c:pt>
                <c:pt idx="6">
                  <c:v>298.7</c:v>
                </c:pt>
                <c:pt idx="7">
                  <c:v>339.8</c:v>
                </c:pt>
                <c:pt idx="8">
                  <c:v>332.1</c:v>
                </c:pt>
                <c:pt idx="9">
                  <c:v>360</c:v>
                </c:pt>
                <c:pt idx="10">
                  <c:v>357.9</c:v>
                </c:pt>
                <c:pt idx="11">
                  <c:v>380.6</c:v>
                </c:pt>
                <c:pt idx="12">
                  <c:v>386.6</c:v>
                </c:pt>
                <c:pt idx="13">
                  <c:v>430.9</c:v>
                </c:pt>
                <c:pt idx="14">
                  <c:v>541</c:v>
                </c:pt>
                <c:pt idx="15">
                  <c:v>551.70000000000005</c:v>
                </c:pt>
                <c:pt idx="16">
                  <c:v>540.29999999999995</c:v>
                </c:pt>
                <c:pt idx="17">
                  <c:v>654.70000000000005</c:v>
                </c:pt>
                <c:pt idx="18">
                  <c:v>674</c:v>
                </c:pt>
                <c:pt idx="19">
                  <c:v>702</c:v>
                </c:pt>
                <c:pt idx="20">
                  <c:v>689.6</c:v>
                </c:pt>
                <c:pt idx="21">
                  <c:v>723</c:v>
                </c:pt>
                <c:pt idx="22">
                  <c:v>757.7</c:v>
                </c:pt>
                <c:pt idx="23" formatCode="0.0">
                  <c:v>844.5</c:v>
                </c:pt>
                <c:pt idx="24">
                  <c:v>808.7</c:v>
                </c:pt>
                <c:pt idx="25">
                  <c:v>867.6</c:v>
                </c:pt>
                <c:pt idx="26">
                  <c:v>935.6</c:v>
                </c:pt>
                <c:pt idx="27" formatCode="0.0">
                  <c:v>953</c:v>
                </c:pt>
                <c:pt idx="28">
                  <c:v>939.2</c:v>
                </c:pt>
              </c:numCache>
            </c:numRef>
          </c:val>
          <c:extLst>
            <c:ext xmlns:c16="http://schemas.microsoft.com/office/drawing/2014/chart" uri="{C3380CC4-5D6E-409C-BE32-E72D297353CC}">
              <c16:uniqueId val="{00000000-AE9A-4714-BA3B-7E3674258FAE}"/>
            </c:ext>
          </c:extLst>
        </c:ser>
        <c:ser>
          <c:idx val="1"/>
          <c:order val="1"/>
          <c:tx>
            <c:strRef>
              <c:f>'backlog charts'!$A$7</c:f>
              <c:strCache>
                <c:ptCount val="1"/>
                <c:pt idx="0">
                  <c:v>SW Backlog</c:v>
                </c:pt>
              </c:strCache>
            </c:strRef>
          </c:tx>
          <c:invertIfNegative val="0"/>
          <c:cat>
            <c:strRef>
              <c:f>'backlog charts'!$H$3:$AJ$3</c:f>
              <c:strCache>
                <c:ptCount val="29"/>
                <c:pt idx="0">
                  <c:v>1Q10</c:v>
                </c:pt>
                <c:pt idx="1">
                  <c:v>2Q10</c:v>
                </c:pt>
                <c:pt idx="2">
                  <c:v>3Q10</c:v>
                </c:pt>
                <c:pt idx="3">
                  <c:v>4Q10</c:v>
                </c:pt>
                <c:pt idx="4">
                  <c:v> 1Q11 </c:v>
                </c:pt>
                <c:pt idx="5">
                  <c:v>2Q11</c:v>
                </c:pt>
                <c:pt idx="6">
                  <c:v>3Q11</c:v>
                </c:pt>
                <c:pt idx="7">
                  <c:v>4Q11</c:v>
                </c:pt>
                <c:pt idx="8">
                  <c:v>1Q12</c:v>
                </c:pt>
                <c:pt idx="9">
                  <c:v>2Q12</c:v>
                </c:pt>
                <c:pt idx="10">
                  <c:v>3Q12</c:v>
                </c:pt>
                <c:pt idx="11">
                  <c:v>4Q12</c:v>
                </c:pt>
                <c:pt idx="12">
                  <c:v>1Q13</c:v>
                </c:pt>
                <c:pt idx="13">
                  <c:v>2Q13</c:v>
                </c:pt>
                <c:pt idx="14">
                  <c:v>3Q13</c:v>
                </c:pt>
                <c:pt idx="15">
                  <c:v>4Q13</c:v>
                </c:pt>
                <c:pt idx="16">
                  <c:v>1Q14</c:v>
                </c:pt>
                <c:pt idx="17">
                  <c:v>2Q14</c:v>
                </c:pt>
                <c:pt idx="18">
                  <c:v>3Q14</c:v>
                </c:pt>
                <c:pt idx="19">
                  <c:v>4Q14</c:v>
                </c:pt>
                <c:pt idx="20">
                  <c:v>1Q15</c:v>
                </c:pt>
                <c:pt idx="21">
                  <c:v>2Q15</c:v>
                </c:pt>
                <c:pt idx="22">
                  <c:v>3Q15</c:v>
                </c:pt>
                <c:pt idx="23">
                  <c:v>4Q15</c:v>
                </c:pt>
                <c:pt idx="24">
                  <c:v>1Q16</c:v>
                </c:pt>
                <c:pt idx="25">
                  <c:v>2Q16</c:v>
                </c:pt>
                <c:pt idx="26">
                  <c:v>3Q16</c:v>
                </c:pt>
                <c:pt idx="27">
                  <c:v>4Q16</c:v>
                </c:pt>
                <c:pt idx="28">
                  <c:v>1Q17E</c:v>
                </c:pt>
              </c:strCache>
            </c:strRef>
          </c:cat>
          <c:val>
            <c:numRef>
              <c:f>'backlog charts'!$H$7:$AJ$7</c:f>
              <c:numCache>
                <c:formatCode>General</c:formatCode>
                <c:ptCount val="29"/>
                <c:pt idx="0">
                  <c:v>195.9</c:v>
                </c:pt>
                <c:pt idx="1">
                  <c:v>223.9</c:v>
                </c:pt>
                <c:pt idx="2">
                  <c:v>216.2</c:v>
                </c:pt>
                <c:pt idx="3">
                  <c:v>248.2</c:v>
                </c:pt>
                <c:pt idx="4">
                  <c:v>233.2</c:v>
                </c:pt>
                <c:pt idx="5">
                  <c:v>272.2</c:v>
                </c:pt>
                <c:pt idx="6">
                  <c:v>277.5</c:v>
                </c:pt>
                <c:pt idx="7">
                  <c:v>319.89999999999998</c:v>
                </c:pt>
                <c:pt idx="8">
                  <c:v>307.8</c:v>
                </c:pt>
                <c:pt idx="9">
                  <c:v>328</c:v>
                </c:pt>
                <c:pt idx="10">
                  <c:v>328.2</c:v>
                </c:pt>
                <c:pt idx="11">
                  <c:v>350.6</c:v>
                </c:pt>
                <c:pt idx="12">
                  <c:v>360.9</c:v>
                </c:pt>
                <c:pt idx="13">
                  <c:v>411.1</c:v>
                </c:pt>
                <c:pt idx="14">
                  <c:v>517.6</c:v>
                </c:pt>
                <c:pt idx="15">
                  <c:v>531.79999999999995</c:v>
                </c:pt>
                <c:pt idx="16">
                  <c:v>508.8</c:v>
                </c:pt>
                <c:pt idx="17">
                  <c:v>619.1</c:v>
                </c:pt>
                <c:pt idx="18">
                  <c:v>634.29999999999995</c:v>
                </c:pt>
                <c:pt idx="19">
                  <c:v>654.29999999999995</c:v>
                </c:pt>
                <c:pt idx="20" formatCode="0.0">
                  <c:v>633.38700000000006</c:v>
                </c:pt>
                <c:pt idx="21" formatCode="0.0">
                  <c:v>672.43700000000001</c:v>
                </c:pt>
                <c:pt idx="22" formatCode="0.0">
                  <c:v>707.67600000000004</c:v>
                </c:pt>
                <c:pt idx="23" formatCode="0.0">
                  <c:v>796.97500000000002</c:v>
                </c:pt>
                <c:pt idx="24">
                  <c:v>763.3</c:v>
                </c:pt>
                <c:pt idx="25">
                  <c:v>826.9</c:v>
                </c:pt>
                <c:pt idx="26">
                  <c:v>892.1</c:v>
                </c:pt>
                <c:pt idx="27" formatCode="0.0">
                  <c:v>914.27300000000002</c:v>
                </c:pt>
                <c:pt idx="28" formatCode="0.0">
                  <c:v>904.6</c:v>
                </c:pt>
              </c:numCache>
            </c:numRef>
          </c:val>
          <c:extLst>
            <c:ext xmlns:c16="http://schemas.microsoft.com/office/drawing/2014/chart" uri="{C3380CC4-5D6E-409C-BE32-E72D297353CC}">
              <c16:uniqueId val="{00000001-AE9A-4714-BA3B-7E3674258FAE}"/>
            </c:ext>
          </c:extLst>
        </c:ser>
        <c:dLbls>
          <c:showLegendKey val="0"/>
          <c:showVal val="0"/>
          <c:showCatName val="0"/>
          <c:showSerName val="0"/>
          <c:showPercent val="0"/>
          <c:showBubbleSize val="0"/>
        </c:dLbls>
        <c:gapWidth val="150"/>
        <c:axId val="1704776080"/>
        <c:axId val="1704791856"/>
      </c:barChart>
      <c:catAx>
        <c:axId val="1704776080"/>
        <c:scaling>
          <c:orientation val="minMax"/>
        </c:scaling>
        <c:delete val="0"/>
        <c:axPos val="b"/>
        <c:numFmt formatCode="General" sourceLinked="0"/>
        <c:majorTickMark val="out"/>
        <c:minorTickMark val="none"/>
        <c:tickLblPos val="nextTo"/>
        <c:crossAx val="1704791856"/>
        <c:crosses val="autoZero"/>
        <c:auto val="1"/>
        <c:lblAlgn val="ctr"/>
        <c:lblOffset val="100"/>
        <c:noMultiLvlLbl val="0"/>
      </c:catAx>
      <c:valAx>
        <c:axId val="1704791856"/>
        <c:scaling>
          <c:orientation val="minMax"/>
        </c:scaling>
        <c:delete val="0"/>
        <c:axPos val="l"/>
        <c:majorGridlines/>
        <c:numFmt formatCode="General" sourceLinked="1"/>
        <c:majorTickMark val="out"/>
        <c:minorTickMark val="none"/>
        <c:tickLblPos val="nextTo"/>
        <c:crossAx val="170477608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Backlog vs Growth</a:t>
            </a:r>
          </a:p>
        </c:rich>
      </c:tx>
      <c:overlay val="0"/>
    </c:title>
    <c:autoTitleDeleted val="0"/>
    <c:plotArea>
      <c:layout/>
      <c:barChart>
        <c:barDir val="col"/>
        <c:grouping val="clustered"/>
        <c:varyColors val="0"/>
        <c:ser>
          <c:idx val="0"/>
          <c:order val="0"/>
          <c:tx>
            <c:strRef>
              <c:f>'backlog charts'!$A$5</c:f>
              <c:strCache>
                <c:ptCount val="1"/>
                <c:pt idx="0">
                  <c:v>Total Backlog</c:v>
                </c:pt>
              </c:strCache>
            </c:strRef>
          </c:tx>
          <c:invertIfNegative val="0"/>
          <c:cat>
            <c:strRef>
              <c:f>'backlog charts'!$L$3:$AJ$3</c:f>
              <c:strCache>
                <c:ptCount val="25"/>
                <c:pt idx="0">
                  <c:v> 1Q11 </c:v>
                </c:pt>
                <c:pt idx="1">
                  <c:v>2Q11</c:v>
                </c:pt>
                <c:pt idx="2">
                  <c:v>3Q11</c:v>
                </c:pt>
                <c:pt idx="3">
                  <c:v>4Q11</c:v>
                </c:pt>
                <c:pt idx="4">
                  <c:v>1Q12</c:v>
                </c:pt>
                <c:pt idx="5">
                  <c:v>2Q12</c:v>
                </c:pt>
                <c:pt idx="6">
                  <c:v>3Q12</c:v>
                </c:pt>
                <c:pt idx="7">
                  <c:v>4Q12</c:v>
                </c:pt>
                <c:pt idx="8">
                  <c:v>1Q13</c:v>
                </c:pt>
                <c:pt idx="9">
                  <c:v>2Q13</c:v>
                </c:pt>
                <c:pt idx="10">
                  <c:v>3Q13</c:v>
                </c:pt>
                <c:pt idx="11">
                  <c:v>4Q13</c:v>
                </c:pt>
                <c:pt idx="12">
                  <c:v>1Q14</c:v>
                </c:pt>
                <c:pt idx="13">
                  <c:v>2Q14</c:v>
                </c:pt>
                <c:pt idx="14">
                  <c:v>3Q14</c:v>
                </c:pt>
                <c:pt idx="15">
                  <c:v>4Q14</c:v>
                </c:pt>
                <c:pt idx="16">
                  <c:v>1Q15</c:v>
                </c:pt>
                <c:pt idx="17">
                  <c:v>2Q15</c:v>
                </c:pt>
                <c:pt idx="18">
                  <c:v>3Q15</c:v>
                </c:pt>
                <c:pt idx="19">
                  <c:v>4Q15</c:v>
                </c:pt>
                <c:pt idx="20">
                  <c:v>1Q16</c:v>
                </c:pt>
                <c:pt idx="21">
                  <c:v>2Q16</c:v>
                </c:pt>
                <c:pt idx="22">
                  <c:v>3Q16</c:v>
                </c:pt>
                <c:pt idx="23">
                  <c:v>4Q16</c:v>
                </c:pt>
                <c:pt idx="24">
                  <c:v>1Q17E</c:v>
                </c:pt>
              </c:strCache>
            </c:strRef>
          </c:cat>
          <c:val>
            <c:numRef>
              <c:f>'backlog charts'!$L$5:$AJ$5</c:f>
              <c:numCache>
                <c:formatCode>General</c:formatCode>
                <c:ptCount val="25"/>
                <c:pt idx="0">
                  <c:v>262.10000000000002</c:v>
                </c:pt>
                <c:pt idx="1">
                  <c:v>296</c:v>
                </c:pt>
                <c:pt idx="2">
                  <c:v>298.7</c:v>
                </c:pt>
                <c:pt idx="3">
                  <c:v>339.8</c:v>
                </c:pt>
                <c:pt idx="4">
                  <c:v>332.1</c:v>
                </c:pt>
                <c:pt idx="5">
                  <c:v>360</c:v>
                </c:pt>
                <c:pt idx="6">
                  <c:v>357.9</c:v>
                </c:pt>
                <c:pt idx="7">
                  <c:v>380.6</c:v>
                </c:pt>
                <c:pt idx="8">
                  <c:v>386.6</c:v>
                </c:pt>
                <c:pt idx="9">
                  <c:v>430.9</c:v>
                </c:pt>
                <c:pt idx="10">
                  <c:v>541</c:v>
                </c:pt>
                <c:pt idx="11">
                  <c:v>551.70000000000005</c:v>
                </c:pt>
                <c:pt idx="12">
                  <c:v>540.29999999999995</c:v>
                </c:pt>
                <c:pt idx="13">
                  <c:v>654.70000000000005</c:v>
                </c:pt>
                <c:pt idx="14">
                  <c:v>674</c:v>
                </c:pt>
                <c:pt idx="15">
                  <c:v>702</c:v>
                </c:pt>
                <c:pt idx="16">
                  <c:v>689.6</c:v>
                </c:pt>
                <c:pt idx="17">
                  <c:v>723</c:v>
                </c:pt>
                <c:pt idx="18">
                  <c:v>757.7</c:v>
                </c:pt>
                <c:pt idx="19" formatCode="0.0">
                  <c:v>844.5</c:v>
                </c:pt>
                <c:pt idx="20">
                  <c:v>808.7</c:v>
                </c:pt>
                <c:pt idx="21">
                  <c:v>867.6</c:v>
                </c:pt>
                <c:pt idx="22">
                  <c:v>935.6</c:v>
                </c:pt>
                <c:pt idx="23" formatCode="0.0">
                  <c:v>953</c:v>
                </c:pt>
                <c:pt idx="24">
                  <c:v>939.2</c:v>
                </c:pt>
              </c:numCache>
            </c:numRef>
          </c:val>
          <c:extLst>
            <c:ext xmlns:c16="http://schemas.microsoft.com/office/drawing/2014/chart" uri="{C3380CC4-5D6E-409C-BE32-E72D297353CC}">
              <c16:uniqueId val="{00000000-D613-4A8D-BB84-152482A42C38}"/>
            </c:ext>
          </c:extLst>
        </c:ser>
        <c:dLbls>
          <c:showLegendKey val="0"/>
          <c:showVal val="0"/>
          <c:showCatName val="0"/>
          <c:showSerName val="0"/>
          <c:showPercent val="0"/>
          <c:showBubbleSize val="0"/>
        </c:dLbls>
        <c:gapWidth val="150"/>
        <c:axId val="1704790768"/>
        <c:axId val="1704786960"/>
      </c:barChart>
      <c:lineChart>
        <c:grouping val="standard"/>
        <c:varyColors val="0"/>
        <c:ser>
          <c:idx val="1"/>
          <c:order val="1"/>
          <c:tx>
            <c:strRef>
              <c:f>'backlog charts'!$A$6</c:f>
              <c:strCache>
                <c:ptCount val="1"/>
                <c:pt idx="0">
                  <c:v>y/y growth rate</c:v>
                </c:pt>
              </c:strCache>
            </c:strRef>
          </c:tx>
          <c:val>
            <c:numRef>
              <c:f>'backlog charts'!$L$6:$AJ$6</c:f>
              <c:numCache>
                <c:formatCode>0.0%</c:formatCode>
                <c:ptCount val="25"/>
                <c:pt idx="0">
                  <c:v>0.19789762340036576</c:v>
                </c:pt>
                <c:pt idx="1">
                  <c:v>0.1472868217054264</c:v>
                </c:pt>
                <c:pt idx="2">
                  <c:v>0.17691095350669817</c:v>
                </c:pt>
                <c:pt idx="3">
                  <c:v>0.20753375977256594</c:v>
                </c:pt>
                <c:pt idx="4">
                  <c:v>0.26707363601678735</c:v>
                </c:pt>
                <c:pt idx="5">
                  <c:v>0.21621621621621623</c:v>
                </c:pt>
                <c:pt idx="6">
                  <c:v>0.1981921660528958</c:v>
                </c:pt>
                <c:pt idx="7">
                  <c:v>0.12007062978222494</c:v>
                </c:pt>
                <c:pt idx="8">
                  <c:v>0.16410719662752182</c:v>
                </c:pt>
                <c:pt idx="9">
                  <c:v>0.19694444444444437</c:v>
                </c:pt>
                <c:pt idx="10">
                  <c:v>0.5115954177144455</c:v>
                </c:pt>
                <c:pt idx="11">
                  <c:v>0.44955333683657384</c:v>
                </c:pt>
                <c:pt idx="12">
                  <c:v>0.39756854630108629</c:v>
                </c:pt>
                <c:pt idx="13">
                  <c:v>0.51937804595033676</c:v>
                </c:pt>
                <c:pt idx="14">
                  <c:v>0.24584103512014788</c:v>
                </c:pt>
                <c:pt idx="15">
                  <c:v>0.2724306688417617</c:v>
                </c:pt>
                <c:pt idx="16">
                  <c:v>0.27632796594484565</c:v>
                </c:pt>
                <c:pt idx="17">
                  <c:v>0.10432259049946535</c:v>
                </c:pt>
                <c:pt idx="18">
                  <c:v>0.12418397626112765</c:v>
                </c:pt>
                <c:pt idx="19">
                  <c:v>0.20299145299145294</c:v>
                </c:pt>
                <c:pt idx="20">
                  <c:v>0.17270881670533655</c:v>
                </c:pt>
                <c:pt idx="21">
                  <c:v>0.19999999999999996</c:v>
                </c:pt>
                <c:pt idx="22">
                  <c:v>0.2347894945228981</c:v>
                </c:pt>
                <c:pt idx="23">
                  <c:v>0.12847838957963287</c:v>
                </c:pt>
                <c:pt idx="24">
                  <c:v>0.16137010016075171</c:v>
                </c:pt>
              </c:numCache>
            </c:numRef>
          </c:val>
          <c:smooth val="0"/>
          <c:extLst>
            <c:ext xmlns:c16="http://schemas.microsoft.com/office/drawing/2014/chart" uri="{C3380CC4-5D6E-409C-BE32-E72D297353CC}">
              <c16:uniqueId val="{00000001-D613-4A8D-BB84-152482A42C38}"/>
            </c:ext>
          </c:extLst>
        </c:ser>
        <c:dLbls>
          <c:showLegendKey val="0"/>
          <c:showVal val="0"/>
          <c:showCatName val="0"/>
          <c:showSerName val="0"/>
          <c:showPercent val="0"/>
          <c:showBubbleSize val="0"/>
        </c:dLbls>
        <c:marker val="1"/>
        <c:smooth val="0"/>
        <c:axId val="1704780976"/>
        <c:axId val="1704797840"/>
      </c:lineChart>
      <c:catAx>
        <c:axId val="1704790768"/>
        <c:scaling>
          <c:orientation val="minMax"/>
        </c:scaling>
        <c:delete val="0"/>
        <c:axPos val="b"/>
        <c:numFmt formatCode="General" sourceLinked="0"/>
        <c:majorTickMark val="out"/>
        <c:minorTickMark val="none"/>
        <c:tickLblPos val="nextTo"/>
        <c:crossAx val="1704786960"/>
        <c:crosses val="autoZero"/>
        <c:auto val="1"/>
        <c:lblAlgn val="ctr"/>
        <c:lblOffset val="100"/>
        <c:noMultiLvlLbl val="0"/>
      </c:catAx>
      <c:valAx>
        <c:axId val="1704786960"/>
        <c:scaling>
          <c:orientation val="minMax"/>
        </c:scaling>
        <c:delete val="0"/>
        <c:axPos val="l"/>
        <c:majorGridlines/>
        <c:numFmt formatCode="General" sourceLinked="1"/>
        <c:majorTickMark val="out"/>
        <c:minorTickMark val="none"/>
        <c:tickLblPos val="nextTo"/>
        <c:crossAx val="1704790768"/>
        <c:crosses val="autoZero"/>
        <c:crossBetween val="between"/>
      </c:valAx>
      <c:valAx>
        <c:axId val="1704797840"/>
        <c:scaling>
          <c:orientation val="minMax"/>
        </c:scaling>
        <c:delete val="0"/>
        <c:axPos val="r"/>
        <c:numFmt formatCode="0.0%" sourceLinked="1"/>
        <c:majorTickMark val="out"/>
        <c:minorTickMark val="none"/>
        <c:tickLblPos val="nextTo"/>
        <c:crossAx val="1704780976"/>
        <c:crosses val="max"/>
        <c:crossBetween val="between"/>
      </c:valAx>
      <c:catAx>
        <c:axId val="1704780976"/>
        <c:scaling>
          <c:orientation val="minMax"/>
        </c:scaling>
        <c:delete val="1"/>
        <c:axPos val="b"/>
        <c:majorTickMark val="out"/>
        <c:minorTickMark val="none"/>
        <c:tickLblPos val="nextTo"/>
        <c:crossAx val="1704797840"/>
        <c:crosses val="autoZero"/>
        <c:auto val="1"/>
        <c:lblAlgn val="ctr"/>
        <c:lblOffset val="100"/>
        <c:noMultiLvlLbl val="0"/>
      </c:catAx>
    </c:plotArea>
    <c:legend>
      <c:legendPos val="r"/>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'backlog charts'!$A$7</c:f>
              <c:strCache>
                <c:ptCount val="1"/>
                <c:pt idx="0">
                  <c:v>SW Backlog</c:v>
                </c:pt>
              </c:strCache>
            </c:strRef>
          </c:tx>
          <c:invertIfNegative val="0"/>
          <c:cat>
            <c:strRef>
              <c:f>'backlog charts'!$L$3:$AJ$3</c:f>
              <c:strCache>
                <c:ptCount val="25"/>
                <c:pt idx="0">
                  <c:v> 1Q11 </c:v>
                </c:pt>
                <c:pt idx="1">
                  <c:v>2Q11</c:v>
                </c:pt>
                <c:pt idx="2">
                  <c:v>3Q11</c:v>
                </c:pt>
                <c:pt idx="3">
                  <c:v>4Q11</c:v>
                </c:pt>
                <c:pt idx="4">
                  <c:v>1Q12</c:v>
                </c:pt>
                <c:pt idx="5">
                  <c:v>2Q12</c:v>
                </c:pt>
                <c:pt idx="6">
                  <c:v>3Q12</c:v>
                </c:pt>
                <c:pt idx="7">
                  <c:v>4Q12</c:v>
                </c:pt>
                <c:pt idx="8">
                  <c:v>1Q13</c:v>
                </c:pt>
                <c:pt idx="9">
                  <c:v>2Q13</c:v>
                </c:pt>
                <c:pt idx="10">
                  <c:v>3Q13</c:v>
                </c:pt>
                <c:pt idx="11">
                  <c:v>4Q13</c:v>
                </c:pt>
                <c:pt idx="12">
                  <c:v>1Q14</c:v>
                </c:pt>
                <c:pt idx="13">
                  <c:v>2Q14</c:v>
                </c:pt>
                <c:pt idx="14">
                  <c:v>3Q14</c:v>
                </c:pt>
                <c:pt idx="15">
                  <c:v>4Q14</c:v>
                </c:pt>
                <c:pt idx="16">
                  <c:v>1Q15</c:v>
                </c:pt>
                <c:pt idx="17">
                  <c:v>2Q15</c:v>
                </c:pt>
                <c:pt idx="18">
                  <c:v>3Q15</c:v>
                </c:pt>
                <c:pt idx="19">
                  <c:v>4Q15</c:v>
                </c:pt>
                <c:pt idx="20">
                  <c:v>1Q16</c:v>
                </c:pt>
                <c:pt idx="21">
                  <c:v>2Q16</c:v>
                </c:pt>
                <c:pt idx="22">
                  <c:v>3Q16</c:v>
                </c:pt>
                <c:pt idx="23">
                  <c:v>4Q16</c:v>
                </c:pt>
                <c:pt idx="24">
                  <c:v>1Q17E</c:v>
                </c:pt>
              </c:strCache>
            </c:strRef>
          </c:cat>
          <c:val>
            <c:numRef>
              <c:f>'backlog charts'!$L$7:$AJ$7</c:f>
              <c:numCache>
                <c:formatCode>General</c:formatCode>
                <c:ptCount val="25"/>
                <c:pt idx="0">
                  <c:v>233.2</c:v>
                </c:pt>
                <c:pt idx="1">
                  <c:v>272.2</c:v>
                </c:pt>
                <c:pt idx="2">
                  <c:v>277.5</c:v>
                </c:pt>
                <c:pt idx="3">
                  <c:v>319.89999999999998</c:v>
                </c:pt>
                <c:pt idx="4">
                  <c:v>307.8</c:v>
                </c:pt>
                <c:pt idx="5">
                  <c:v>328</c:v>
                </c:pt>
                <c:pt idx="6">
                  <c:v>328.2</c:v>
                </c:pt>
                <c:pt idx="7">
                  <c:v>350.6</c:v>
                </c:pt>
                <c:pt idx="8">
                  <c:v>360.9</c:v>
                </c:pt>
                <c:pt idx="9">
                  <c:v>411.1</c:v>
                </c:pt>
                <c:pt idx="10">
                  <c:v>517.6</c:v>
                </c:pt>
                <c:pt idx="11">
                  <c:v>531.79999999999995</c:v>
                </c:pt>
                <c:pt idx="12">
                  <c:v>508.8</c:v>
                </c:pt>
                <c:pt idx="13">
                  <c:v>619.1</c:v>
                </c:pt>
                <c:pt idx="14">
                  <c:v>634.29999999999995</c:v>
                </c:pt>
                <c:pt idx="15">
                  <c:v>654.29999999999995</c:v>
                </c:pt>
                <c:pt idx="16" formatCode="0.0">
                  <c:v>633.38700000000006</c:v>
                </c:pt>
                <c:pt idx="17" formatCode="0.0">
                  <c:v>672.43700000000001</c:v>
                </c:pt>
                <c:pt idx="18" formatCode="0.0">
                  <c:v>707.67600000000004</c:v>
                </c:pt>
                <c:pt idx="19" formatCode="0.0">
                  <c:v>796.97500000000002</c:v>
                </c:pt>
                <c:pt idx="20">
                  <c:v>763.3</c:v>
                </c:pt>
                <c:pt idx="21">
                  <c:v>826.9</c:v>
                </c:pt>
                <c:pt idx="22">
                  <c:v>892.1</c:v>
                </c:pt>
                <c:pt idx="23" formatCode="0.0">
                  <c:v>914.27300000000002</c:v>
                </c:pt>
                <c:pt idx="24" formatCode="0.0">
                  <c:v>904.6</c:v>
                </c:pt>
              </c:numCache>
            </c:numRef>
          </c:val>
          <c:extLst>
            <c:ext xmlns:c16="http://schemas.microsoft.com/office/drawing/2014/chart" uri="{C3380CC4-5D6E-409C-BE32-E72D297353CC}">
              <c16:uniqueId val="{00000000-93DD-465B-8AC2-931D1B1104AA}"/>
            </c:ext>
          </c:extLst>
        </c:ser>
        <c:dLbls>
          <c:showLegendKey val="0"/>
          <c:showVal val="0"/>
          <c:showCatName val="0"/>
          <c:showSerName val="0"/>
          <c:showPercent val="0"/>
          <c:showBubbleSize val="0"/>
        </c:dLbls>
        <c:gapWidth val="150"/>
        <c:axId val="1704796208"/>
        <c:axId val="1704773904"/>
      </c:barChart>
      <c:lineChart>
        <c:grouping val="standard"/>
        <c:varyColors val="0"/>
        <c:ser>
          <c:idx val="1"/>
          <c:order val="1"/>
          <c:tx>
            <c:strRef>
              <c:f>'backlog charts'!$A$8</c:f>
              <c:strCache>
                <c:ptCount val="1"/>
                <c:pt idx="0">
                  <c:v>y/y growth rate</c:v>
                </c:pt>
              </c:strCache>
            </c:strRef>
          </c:tx>
          <c:marker>
            <c:symbol val="none"/>
          </c:marker>
          <c:cat>
            <c:strRef>
              <c:f>'backlog charts'!$L$3:$AJ$3</c:f>
              <c:strCache>
                <c:ptCount val="25"/>
                <c:pt idx="0">
                  <c:v> 1Q11 </c:v>
                </c:pt>
                <c:pt idx="1">
                  <c:v>2Q11</c:v>
                </c:pt>
                <c:pt idx="2">
                  <c:v>3Q11</c:v>
                </c:pt>
                <c:pt idx="3">
                  <c:v>4Q11</c:v>
                </c:pt>
                <c:pt idx="4">
                  <c:v>1Q12</c:v>
                </c:pt>
                <c:pt idx="5">
                  <c:v>2Q12</c:v>
                </c:pt>
                <c:pt idx="6">
                  <c:v>3Q12</c:v>
                </c:pt>
                <c:pt idx="7">
                  <c:v>4Q12</c:v>
                </c:pt>
                <c:pt idx="8">
                  <c:v>1Q13</c:v>
                </c:pt>
                <c:pt idx="9">
                  <c:v>2Q13</c:v>
                </c:pt>
                <c:pt idx="10">
                  <c:v>3Q13</c:v>
                </c:pt>
                <c:pt idx="11">
                  <c:v>4Q13</c:v>
                </c:pt>
                <c:pt idx="12">
                  <c:v>1Q14</c:v>
                </c:pt>
                <c:pt idx="13">
                  <c:v>2Q14</c:v>
                </c:pt>
                <c:pt idx="14">
                  <c:v>3Q14</c:v>
                </c:pt>
                <c:pt idx="15">
                  <c:v>4Q14</c:v>
                </c:pt>
                <c:pt idx="16">
                  <c:v>1Q15</c:v>
                </c:pt>
                <c:pt idx="17">
                  <c:v>2Q15</c:v>
                </c:pt>
                <c:pt idx="18">
                  <c:v>3Q15</c:v>
                </c:pt>
                <c:pt idx="19">
                  <c:v>4Q15</c:v>
                </c:pt>
                <c:pt idx="20">
                  <c:v>1Q16</c:v>
                </c:pt>
                <c:pt idx="21">
                  <c:v>2Q16</c:v>
                </c:pt>
                <c:pt idx="22">
                  <c:v>3Q16</c:v>
                </c:pt>
                <c:pt idx="23">
                  <c:v>4Q16</c:v>
                </c:pt>
                <c:pt idx="24">
                  <c:v>1Q17E</c:v>
                </c:pt>
              </c:strCache>
            </c:strRef>
          </c:cat>
          <c:val>
            <c:numRef>
              <c:f>'backlog charts'!$L$8:$AJ$8</c:f>
              <c:numCache>
                <c:formatCode>0.0%</c:formatCode>
                <c:ptCount val="25"/>
                <c:pt idx="0">
                  <c:v>0.19040326697294518</c:v>
                </c:pt>
                <c:pt idx="1">
                  <c:v>0.21572130415363988</c:v>
                </c:pt>
                <c:pt idx="2">
                  <c:v>0.28353376503237748</c:v>
                </c:pt>
                <c:pt idx="3">
                  <c:v>0.28887993553585822</c:v>
                </c:pt>
                <c:pt idx="4">
                  <c:v>0.31989708404802752</c:v>
                </c:pt>
                <c:pt idx="5">
                  <c:v>0.20499632623071284</c:v>
                </c:pt>
                <c:pt idx="6">
                  <c:v>0.18270270270270261</c:v>
                </c:pt>
                <c:pt idx="7">
                  <c:v>9.5967489840575348E-2</c:v>
                </c:pt>
                <c:pt idx="8">
                  <c:v>0.17251461988304073</c:v>
                </c:pt>
                <c:pt idx="9">
                  <c:v>0.25335365853658542</c:v>
                </c:pt>
                <c:pt idx="10">
                  <c:v>0.57708714198659372</c:v>
                </c:pt>
                <c:pt idx="11">
                  <c:v>0.51682829435253819</c:v>
                </c:pt>
                <c:pt idx="12">
                  <c:v>0.40980881130507085</c:v>
                </c:pt>
                <c:pt idx="13">
                  <c:v>0.50595962053028454</c:v>
                </c:pt>
                <c:pt idx="14">
                  <c:v>0.22546367851622851</c:v>
                </c:pt>
                <c:pt idx="15">
                  <c:v>0.23034975554719828</c:v>
                </c:pt>
                <c:pt idx="16">
                  <c:v>0.24486438679245293</c:v>
                </c:pt>
                <c:pt idx="17">
                  <c:v>8.6152479405588789E-2</c:v>
                </c:pt>
                <c:pt idx="18">
                  <c:v>0.11568027747122822</c:v>
                </c:pt>
                <c:pt idx="19">
                  <c:v>0.21805746599419229</c:v>
                </c:pt>
                <c:pt idx="20">
                  <c:v>0.20510840923479634</c:v>
                </c:pt>
                <c:pt idx="21">
                  <c:v>0.22970627731668536</c:v>
                </c:pt>
                <c:pt idx="22">
                  <c:v>0.26060513568356125</c:v>
                </c:pt>
                <c:pt idx="23">
                  <c:v>0.14717902067191568</c:v>
                </c:pt>
                <c:pt idx="24">
                  <c:v>0.18511725402856039</c:v>
                </c:pt>
              </c:numCache>
            </c:numRef>
          </c:val>
          <c:smooth val="0"/>
          <c:extLst>
            <c:ext xmlns:c16="http://schemas.microsoft.com/office/drawing/2014/chart" uri="{C3380CC4-5D6E-409C-BE32-E72D297353CC}">
              <c16:uniqueId val="{00000001-93DD-465B-8AC2-931D1B1104AA}"/>
            </c:ext>
          </c:extLst>
        </c:ser>
        <c:dLbls>
          <c:showLegendKey val="0"/>
          <c:showVal val="0"/>
          <c:showCatName val="0"/>
          <c:showSerName val="0"/>
          <c:showPercent val="0"/>
          <c:showBubbleSize val="0"/>
        </c:dLbls>
        <c:marker val="1"/>
        <c:smooth val="0"/>
        <c:axId val="1704784240"/>
        <c:axId val="1704780432"/>
      </c:lineChart>
      <c:catAx>
        <c:axId val="1704796208"/>
        <c:scaling>
          <c:orientation val="minMax"/>
        </c:scaling>
        <c:delete val="0"/>
        <c:axPos val="b"/>
        <c:numFmt formatCode="General" sourceLinked="0"/>
        <c:majorTickMark val="out"/>
        <c:minorTickMark val="none"/>
        <c:tickLblPos val="nextTo"/>
        <c:crossAx val="1704773904"/>
        <c:crosses val="autoZero"/>
        <c:auto val="1"/>
        <c:lblAlgn val="ctr"/>
        <c:lblOffset val="100"/>
        <c:noMultiLvlLbl val="0"/>
      </c:catAx>
      <c:valAx>
        <c:axId val="1704773904"/>
        <c:scaling>
          <c:orientation val="minMax"/>
        </c:scaling>
        <c:delete val="0"/>
        <c:axPos val="l"/>
        <c:majorGridlines/>
        <c:numFmt formatCode="General" sourceLinked="1"/>
        <c:majorTickMark val="out"/>
        <c:minorTickMark val="none"/>
        <c:tickLblPos val="nextTo"/>
        <c:crossAx val="1704796208"/>
        <c:crosses val="autoZero"/>
        <c:crossBetween val="between"/>
      </c:valAx>
      <c:valAx>
        <c:axId val="1704780432"/>
        <c:scaling>
          <c:orientation val="minMax"/>
        </c:scaling>
        <c:delete val="0"/>
        <c:axPos val="r"/>
        <c:numFmt formatCode="0.0%" sourceLinked="1"/>
        <c:majorTickMark val="out"/>
        <c:minorTickMark val="none"/>
        <c:tickLblPos val="nextTo"/>
        <c:crossAx val="1704784240"/>
        <c:crosses val="max"/>
        <c:crossBetween val="between"/>
      </c:valAx>
      <c:catAx>
        <c:axId val="1704784240"/>
        <c:scaling>
          <c:orientation val="minMax"/>
        </c:scaling>
        <c:delete val="1"/>
        <c:axPos val="b"/>
        <c:numFmt formatCode="General" sourceLinked="1"/>
        <c:majorTickMark val="out"/>
        <c:minorTickMark val="none"/>
        <c:tickLblPos val="nextTo"/>
        <c:crossAx val="1704780432"/>
        <c:crosses val="autoZero"/>
        <c:auto val="1"/>
        <c:lblAlgn val="ctr"/>
        <c:lblOffset val="100"/>
        <c:noMultiLvlLbl val="0"/>
      </c:catAx>
    </c:plotArea>
    <c:legend>
      <c:legendPos val="r"/>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explosion val="25"/>
          <c:dLbls>
            <c:spPr>
              <a:noFill/>
              <a:ln>
                <a:noFill/>
              </a:ln>
              <a:effectLst/>
            </c:spPr>
            <c:dLblPos val="bestFit"/>
            <c:showLegendKey val="0"/>
            <c:showVal val="1"/>
            <c:showCatName val="1"/>
            <c:showSerName val="0"/>
            <c:showPercent val="0"/>
            <c:showBubbleSize val="0"/>
            <c:showLeaderLines val="1"/>
            <c:extLst>
              <c:ext xmlns:c15="http://schemas.microsoft.com/office/drawing/2012/chart" uri="{CE6537A1-D6FC-4f65-9D91-7224C49458BB}"/>
            </c:extLst>
          </c:dLbls>
          <c:cat>
            <c:strRef>
              <c:f>Competitors!$G$26:$G$32</c:f>
              <c:strCache>
                <c:ptCount val="7"/>
                <c:pt idx="0">
                  <c:v>Pearson</c:v>
                </c:pt>
                <c:pt idx="1">
                  <c:v>Eagle Software</c:v>
                </c:pt>
                <c:pt idx="2">
                  <c:v>Inifinite Campus</c:v>
                </c:pt>
                <c:pt idx="3">
                  <c:v>STI</c:v>
                </c:pt>
                <c:pt idx="4">
                  <c:v>Skyward</c:v>
                </c:pt>
                <c:pt idx="5">
                  <c:v>SunGard</c:v>
                </c:pt>
                <c:pt idx="6">
                  <c:v>Other</c:v>
                </c:pt>
              </c:strCache>
            </c:strRef>
          </c:cat>
          <c:val>
            <c:numRef>
              <c:f>Competitors!$H$26:$H$32</c:f>
              <c:numCache>
                <c:formatCode>0.0%</c:formatCode>
                <c:ptCount val="7"/>
                <c:pt idx="0">
                  <c:v>0.23</c:v>
                </c:pt>
                <c:pt idx="1">
                  <c:v>0.08</c:v>
                </c:pt>
                <c:pt idx="2">
                  <c:v>0.08</c:v>
                </c:pt>
                <c:pt idx="3">
                  <c:v>7.0000000000000007E-2</c:v>
                </c:pt>
                <c:pt idx="4">
                  <c:v>0.06</c:v>
                </c:pt>
                <c:pt idx="5">
                  <c:v>0.05</c:v>
                </c:pt>
                <c:pt idx="6">
                  <c:v>0.42</c:v>
                </c:pt>
              </c:numCache>
            </c:numRef>
          </c:val>
          <c:extLst>
            <c:ext xmlns:c16="http://schemas.microsoft.com/office/drawing/2014/chart" uri="{C3380CC4-5D6E-409C-BE32-E72D297353CC}">
              <c16:uniqueId val="{00000000-781D-4F9C-98B5-91B884C72748}"/>
            </c:ext>
          </c:extLst>
        </c:ser>
        <c:dLbls>
          <c:showLegendKey val="0"/>
          <c:showVal val="0"/>
          <c:showCatName val="0"/>
          <c:showSerName val="0"/>
          <c:showPercent val="0"/>
          <c:showBubbleSize val="0"/>
          <c:showLeaderLines val="1"/>
        </c:dLbls>
        <c:firstSliceAng val="0"/>
      </c:pieChart>
    </c:plotArea>
    <c:plotVisOnly val="1"/>
    <c:dispBlanksAs val="zero"/>
    <c:showDLblsOverMax val="0"/>
  </c:chart>
  <c:spPr>
    <a:ln>
      <a:noFill/>
    </a:ln>
  </c:spPr>
  <c:printSettings>
    <c:headerFooter/>
    <c:pageMargins b="0.75000000000000289" l="0.70000000000000062" r="0.70000000000000062" t="0.75000000000000289"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Competitors!$A$26</c:f>
              <c:strCache>
                <c:ptCount val="1"/>
                <c:pt idx="0">
                  <c:v>Software  </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Competitors!$B$25:$C$25</c:f>
              <c:numCache>
                <c:formatCode>General</c:formatCode>
                <c:ptCount val="2"/>
                <c:pt idx="0">
                  <c:v>2012</c:v>
                </c:pt>
                <c:pt idx="1">
                  <c:v>2015</c:v>
                </c:pt>
              </c:numCache>
            </c:numRef>
          </c:cat>
          <c:val>
            <c:numRef>
              <c:f>Competitors!$B$26:$C$26</c:f>
              <c:numCache>
                <c:formatCode>General</c:formatCode>
                <c:ptCount val="2"/>
                <c:pt idx="0">
                  <c:v>12.5</c:v>
                </c:pt>
                <c:pt idx="1">
                  <c:v>13.2</c:v>
                </c:pt>
              </c:numCache>
            </c:numRef>
          </c:val>
          <c:extLst>
            <c:ext xmlns:c16="http://schemas.microsoft.com/office/drawing/2014/chart" uri="{C3380CC4-5D6E-409C-BE32-E72D297353CC}">
              <c16:uniqueId val="{00000000-9505-45DA-86B4-07072CF51566}"/>
            </c:ext>
          </c:extLst>
        </c:ser>
        <c:ser>
          <c:idx val="1"/>
          <c:order val="1"/>
          <c:tx>
            <c:strRef>
              <c:f>Competitors!$A$27</c:f>
              <c:strCache>
                <c:ptCount val="1"/>
                <c:pt idx="0">
                  <c:v>Software Services</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Competitors!$B$25:$C$25</c:f>
              <c:numCache>
                <c:formatCode>General</c:formatCode>
                <c:ptCount val="2"/>
                <c:pt idx="0">
                  <c:v>2012</c:v>
                </c:pt>
                <c:pt idx="1">
                  <c:v>2015</c:v>
                </c:pt>
              </c:numCache>
            </c:numRef>
          </c:cat>
          <c:val>
            <c:numRef>
              <c:f>Competitors!$B$27:$C$27</c:f>
              <c:numCache>
                <c:formatCode>General</c:formatCode>
                <c:ptCount val="2"/>
                <c:pt idx="0">
                  <c:v>32.799999999999997</c:v>
                </c:pt>
                <c:pt idx="1">
                  <c:v>36.200000000000003</c:v>
                </c:pt>
              </c:numCache>
            </c:numRef>
          </c:val>
          <c:extLst>
            <c:ext xmlns:c16="http://schemas.microsoft.com/office/drawing/2014/chart" uri="{C3380CC4-5D6E-409C-BE32-E72D297353CC}">
              <c16:uniqueId val="{00000001-9505-45DA-86B4-07072CF51566}"/>
            </c:ext>
          </c:extLst>
        </c:ser>
        <c:dLbls>
          <c:showLegendKey val="0"/>
          <c:showVal val="0"/>
          <c:showCatName val="0"/>
          <c:showSerName val="0"/>
          <c:showPercent val="0"/>
          <c:showBubbleSize val="0"/>
        </c:dLbls>
        <c:gapWidth val="150"/>
        <c:overlap val="100"/>
        <c:axId val="1704785872"/>
        <c:axId val="1704775536"/>
      </c:barChart>
      <c:catAx>
        <c:axId val="1704785872"/>
        <c:scaling>
          <c:orientation val="minMax"/>
        </c:scaling>
        <c:delete val="0"/>
        <c:axPos val="b"/>
        <c:numFmt formatCode="General" sourceLinked="1"/>
        <c:majorTickMark val="out"/>
        <c:minorTickMark val="none"/>
        <c:tickLblPos val="nextTo"/>
        <c:crossAx val="1704775536"/>
        <c:crosses val="autoZero"/>
        <c:auto val="1"/>
        <c:lblAlgn val="ctr"/>
        <c:lblOffset val="100"/>
        <c:noMultiLvlLbl val="0"/>
      </c:catAx>
      <c:valAx>
        <c:axId val="1704775536"/>
        <c:scaling>
          <c:orientation val="minMax"/>
        </c:scaling>
        <c:delete val="0"/>
        <c:axPos val="l"/>
        <c:numFmt formatCode="General" sourceLinked="1"/>
        <c:majorTickMark val="out"/>
        <c:minorTickMark val="none"/>
        <c:tickLblPos val="nextTo"/>
        <c:crossAx val="1704785872"/>
        <c:crosses val="autoZero"/>
        <c:crossBetween val="between"/>
      </c:valAx>
    </c:plotArea>
    <c:legend>
      <c:legendPos val="r"/>
      <c:layout>
        <c:manualLayout>
          <c:xMode val="edge"/>
          <c:yMode val="edge"/>
          <c:x val="0.73640419947506552"/>
          <c:y val="0.41628280839895254"/>
          <c:w val="0.18026246719160224"/>
          <c:h val="0.32484179060950891"/>
        </c:manualLayout>
      </c:layout>
      <c:overlay val="0"/>
    </c:legend>
    <c:plotVisOnly val="1"/>
    <c:dispBlanksAs val="gap"/>
    <c:showDLblsOverMax val="0"/>
  </c:chart>
  <c:spPr>
    <a:ln>
      <a:noFill/>
    </a:ln>
  </c:spPr>
  <c:printSettings>
    <c:headerFooter/>
    <c:pageMargins b="0.75000000000000278" l="0.70000000000000062" r="0.70000000000000062" t="0.75000000000000278" header="0.30000000000000032" footer="0.30000000000000032"/>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cat>
            <c:strRef>
              <c:f>Competitors!$H$65:$H$79</c:f>
              <c:strCache>
                <c:ptCount val="15"/>
                <c:pt idx="0">
                  <c:v>Tyler</c:v>
                </c:pt>
                <c:pt idx="1">
                  <c:v>New World</c:v>
                </c:pt>
                <c:pt idx="2">
                  <c:v>BS&amp;A</c:v>
                </c:pt>
                <c:pt idx="3">
                  <c:v>Stringbrook</c:v>
                </c:pt>
                <c:pt idx="4">
                  <c:v>Sungard</c:v>
                </c:pt>
                <c:pt idx="5">
                  <c:v>Skyward</c:v>
                </c:pt>
                <c:pt idx="6">
                  <c:v>Edmunds</c:v>
                </c:pt>
                <c:pt idx="7">
                  <c:v>Caselle</c:v>
                </c:pt>
                <c:pt idx="8">
                  <c:v>Weidenhammer</c:v>
                </c:pt>
                <c:pt idx="9">
                  <c:v>Harris</c:v>
                </c:pt>
                <c:pt idx="10">
                  <c:v>Oracle</c:v>
                </c:pt>
                <c:pt idx="11">
                  <c:v>CSI</c:v>
                </c:pt>
                <c:pt idx="12">
                  <c:v>Infor</c:v>
                </c:pt>
                <c:pt idx="13">
                  <c:v>Softight</c:v>
                </c:pt>
                <c:pt idx="14">
                  <c:v>Logics, LLC</c:v>
                </c:pt>
              </c:strCache>
            </c:strRef>
          </c:cat>
          <c:val>
            <c:numRef>
              <c:f>Competitors!$I$65:$I$79</c:f>
              <c:numCache>
                <c:formatCode>General</c:formatCode>
                <c:ptCount val="15"/>
                <c:pt idx="0">
                  <c:v>332</c:v>
                </c:pt>
                <c:pt idx="1">
                  <c:v>49</c:v>
                </c:pt>
                <c:pt idx="2">
                  <c:v>44</c:v>
                </c:pt>
                <c:pt idx="3">
                  <c:v>30</c:v>
                </c:pt>
                <c:pt idx="4">
                  <c:v>27</c:v>
                </c:pt>
                <c:pt idx="5">
                  <c:v>22</c:v>
                </c:pt>
                <c:pt idx="6">
                  <c:v>16</c:v>
                </c:pt>
                <c:pt idx="7">
                  <c:v>14</c:v>
                </c:pt>
                <c:pt idx="8">
                  <c:v>12</c:v>
                </c:pt>
                <c:pt idx="9">
                  <c:v>9</c:v>
                </c:pt>
                <c:pt idx="10">
                  <c:v>9</c:v>
                </c:pt>
                <c:pt idx="11">
                  <c:v>6</c:v>
                </c:pt>
                <c:pt idx="12">
                  <c:v>6</c:v>
                </c:pt>
                <c:pt idx="13">
                  <c:v>6</c:v>
                </c:pt>
                <c:pt idx="14">
                  <c:v>5</c:v>
                </c:pt>
              </c:numCache>
            </c:numRef>
          </c:val>
          <c:extLst>
            <c:ext xmlns:c16="http://schemas.microsoft.com/office/drawing/2014/chart" uri="{C3380CC4-5D6E-409C-BE32-E72D297353CC}">
              <c16:uniqueId val="{00000000-6067-4104-856C-009BF74B0136}"/>
            </c:ext>
          </c:extLst>
        </c:ser>
        <c:dLbls>
          <c:showLegendKey val="0"/>
          <c:showVal val="0"/>
          <c:showCatName val="0"/>
          <c:showSerName val="0"/>
          <c:showPercent val="0"/>
          <c:showBubbleSize val="0"/>
        </c:dLbls>
        <c:gapWidth val="150"/>
        <c:axId val="1704777168"/>
        <c:axId val="1704782064"/>
      </c:barChart>
      <c:catAx>
        <c:axId val="1704777168"/>
        <c:scaling>
          <c:orientation val="minMax"/>
        </c:scaling>
        <c:delete val="0"/>
        <c:axPos val="b"/>
        <c:numFmt formatCode="General" sourceLinked="0"/>
        <c:majorTickMark val="out"/>
        <c:minorTickMark val="none"/>
        <c:tickLblPos val="nextTo"/>
        <c:crossAx val="1704782064"/>
        <c:crosses val="autoZero"/>
        <c:auto val="1"/>
        <c:lblAlgn val="ctr"/>
        <c:lblOffset val="100"/>
        <c:noMultiLvlLbl val="0"/>
      </c:catAx>
      <c:valAx>
        <c:axId val="1704782064"/>
        <c:scaling>
          <c:orientation val="minMax"/>
        </c:scaling>
        <c:delete val="0"/>
        <c:axPos val="l"/>
        <c:numFmt formatCode="General" sourceLinked="1"/>
        <c:majorTickMark val="out"/>
        <c:minorTickMark val="none"/>
        <c:tickLblPos val="nextTo"/>
        <c:crossAx val="1704777168"/>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14</xdr:col>
      <xdr:colOff>752475</xdr:colOff>
      <xdr:row>23</xdr:row>
      <xdr:rowOff>142875</xdr:rowOff>
    </xdr:from>
    <xdr:to>
      <xdr:col>17</xdr:col>
      <xdr:colOff>600075</xdr:colOff>
      <xdr:row>38</xdr:row>
      <xdr:rowOff>28575</xdr:rowOff>
    </xdr:to>
    <xdr:graphicFrame macro="">
      <xdr:nvGraphicFramePr>
        <xdr:cNvPr id="2" name="Chart 1">
          <a:extLst>
            <a:ext uri="{FF2B5EF4-FFF2-40B4-BE49-F238E27FC236}">
              <a16:creationId xmlns:a16="http://schemas.microsoft.com/office/drawing/2014/main" id="{D2F1D6E2-3C5F-49C8-81FE-8617A999A3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347661</xdr:colOff>
      <xdr:row>11</xdr:row>
      <xdr:rowOff>180974</xdr:rowOff>
    </xdr:from>
    <xdr:to>
      <xdr:col>21</xdr:col>
      <xdr:colOff>600074</xdr:colOff>
      <xdr:row>34</xdr:row>
      <xdr:rowOff>171449</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42862</xdr:colOff>
      <xdr:row>12</xdr:row>
      <xdr:rowOff>104774</xdr:rowOff>
    </xdr:from>
    <xdr:to>
      <xdr:col>35</xdr:col>
      <xdr:colOff>514350</xdr:colOff>
      <xdr:row>33</xdr:row>
      <xdr:rowOff>152399</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242887</xdr:colOff>
      <xdr:row>36</xdr:row>
      <xdr:rowOff>57150</xdr:rowOff>
    </xdr:from>
    <xdr:to>
      <xdr:col>17</xdr:col>
      <xdr:colOff>547687</xdr:colOff>
      <xdr:row>50</xdr:row>
      <xdr:rowOff>133350</xdr:rowOff>
    </xdr:to>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219075</xdr:colOff>
      <xdr:row>22</xdr:row>
      <xdr:rowOff>38100</xdr:rowOff>
    </xdr:from>
    <xdr:to>
      <xdr:col>12</xdr:col>
      <xdr:colOff>762000</xdr:colOff>
      <xdr:row>36</xdr:row>
      <xdr:rowOff>114300</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95250</xdr:colOff>
      <xdr:row>30</xdr:row>
      <xdr:rowOff>85725</xdr:rowOff>
    </xdr:from>
    <xdr:to>
      <xdr:col>5</xdr:col>
      <xdr:colOff>409575</xdr:colOff>
      <xdr:row>44</xdr:row>
      <xdr:rowOff>161925</xdr:rowOff>
    </xdr:to>
    <xdr:graphicFrame macro="">
      <xdr:nvGraphicFramePr>
        <xdr:cNvPr id="5" name="Chart 4">
          <a:extLst>
            <a:ext uri="{FF2B5EF4-FFF2-40B4-BE49-F238E27FC236}">
              <a16:creationId xmlns:a16="http://schemas.microsoft.com/office/drawing/2014/main" id="{00000000-0008-0000-0D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285750</xdr:colOff>
      <xdr:row>62</xdr:row>
      <xdr:rowOff>38100</xdr:rowOff>
    </xdr:from>
    <xdr:to>
      <xdr:col>16</xdr:col>
      <xdr:colOff>409575</xdr:colOff>
      <xdr:row>75</xdr:row>
      <xdr:rowOff>95250</xdr:rowOff>
    </xdr:to>
    <xdr:graphicFrame macro="">
      <xdr:nvGraphicFramePr>
        <xdr:cNvPr id="3" name="Chart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0.24792</cdr:x>
      <cdr:y>0.11458</cdr:y>
    </cdr:from>
    <cdr:to>
      <cdr:x>0.5375</cdr:x>
      <cdr:y>0.19444</cdr:y>
    </cdr:to>
    <cdr:sp macro="" textlink="">
      <cdr:nvSpPr>
        <cdr:cNvPr id="3" name="Straight Arrow Connector 2"/>
        <cdr:cNvSpPr/>
      </cdr:nvSpPr>
      <cdr:spPr>
        <a:xfrm xmlns:a="http://schemas.openxmlformats.org/drawingml/2006/main" flipV="1">
          <a:off x="1133475" y="314325"/>
          <a:ext cx="1323975" cy="219075"/>
        </a:xfrm>
        <a:prstGeom xmlns:a="http://schemas.openxmlformats.org/drawingml/2006/main" prst="straightConnector1">
          <a:avLst/>
        </a:prstGeom>
        <a:ln xmlns:a="http://schemas.openxmlformats.org/drawingml/2006/main" w="28575">
          <a:solidFill>
            <a:schemeClr val="tx1"/>
          </a:solidFill>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0.2875</cdr:x>
      <cdr:y>0.05208</cdr:y>
    </cdr:from>
    <cdr:to>
      <cdr:x>0.47917</cdr:x>
      <cdr:y>0.14236</cdr:y>
    </cdr:to>
    <cdr:sp macro="" textlink="">
      <cdr:nvSpPr>
        <cdr:cNvPr id="4" name="TextBox 3"/>
        <cdr:cNvSpPr txBox="1"/>
      </cdr:nvSpPr>
      <cdr:spPr>
        <a:xfrm xmlns:a="http://schemas.openxmlformats.org/drawingml/2006/main">
          <a:off x="1314450" y="142875"/>
          <a:ext cx="876300" cy="247650"/>
        </a:xfrm>
        <a:prstGeom xmlns:a="http://schemas.openxmlformats.org/drawingml/2006/main" prst="rect">
          <a:avLst/>
        </a:prstGeom>
        <a:scene3d xmlns:a="http://schemas.openxmlformats.org/drawingml/2006/main">
          <a:camera prst="orthographicFront">
            <a:rot lat="0" lon="0" rev="900000"/>
          </a:camera>
          <a:lightRig rig="threePt" dir="t"/>
        </a:scene3d>
      </cdr:spPr>
      <cdr:txBody>
        <a:bodyPr xmlns:a="http://schemas.openxmlformats.org/drawingml/2006/main" vertOverflow="clip" wrap="square" rtlCol="0"/>
        <a:lstStyle xmlns:a="http://schemas.openxmlformats.org/drawingml/2006/main"/>
        <a:p xmlns:a="http://schemas.openxmlformats.org/drawingml/2006/main">
          <a:r>
            <a:rPr lang="en-US" sz="1100"/>
            <a:t>CAGR 3.3%</a:t>
          </a: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https://nymail.thinkequity.com/Documents%20and%20Settings/tmadda/Local%20Settings/Temporary%20Internet%20Files/OLK2/Companies/cmrc/Model/cmrc.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mplfile01\Users\Documents%20and%20Settings\admin\My%20Documents\Stew's%20Portfolio\Suresh\XPRT\AMAT%20-%20XPR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mplfile01\Users\Research\Sbalaraman\Stks\NVL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Assumptions"/>
      <sheetName val="Income Statement"/>
      <sheetName val="Balance Sheet"/>
      <sheetName val="Quickview"/>
      <sheetName val="Estimate Changes"/>
      <sheetName val="Report Statistics"/>
      <sheetName val="Universe"/>
      <sheetName val="Competitors"/>
      <sheetName val="Calculations"/>
      <sheetName val="Macros"/>
    </sheetNames>
    <sheetDataSet>
      <sheetData sheetId="0"/>
      <sheetData sheetId="1"/>
      <sheetData sheetId="2">
        <row r="3">
          <cell r="D3" t="str">
            <v>N</v>
          </cell>
          <cell r="E3" t="str">
            <v>N</v>
          </cell>
          <cell r="F3" t="str">
            <v>N</v>
          </cell>
          <cell r="G3" t="str">
            <v>N</v>
          </cell>
          <cell r="H3" t="str">
            <v>N</v>
          </cell>
          <cell r="I3" t="str">
            <v>N</v>
          </cell>
          <cell r="J3" t="str">
            <v>N</v>
          </cell>
          <cell r="K3" t="str">
            <v>N</v>
          </cell>
          <cell r="L3" t="str">
            <v>T</v>
          </cell>
          <cell r="M3" t="str">
            <v>N</v>
          </cell>
          <cell r="N3" t="str">
            <v>N</v>
          </cell>
          <cell r="O3" t="str">
            <v>N</v>
          </cell>
          <cell r="P3" t="str">
            <v>N</v>
          </cell>
          <cell r="Q3" t="str">
            <v>N</v>
          </cell>
          <cell r="R3" t="str">
            <v>N</v>
          </cell>
          <cell r="S3" t="str">
            <v>N</v>
          </cell>
          <cell r="T3" t="str">
            <v>N</v>
          </cell>
          <cell r="U3" t="str">
            <v>T</v>
          </cell>
          <cell r="V3" t="str">
            <v>N</v>
          </cell>
          <cell r="W3" t="str">
            <v>N</v>
          </cell>
          <cell r="X3" t="str">
            <v>N</v>
          </cell>
          <cell r="Y3" t="str">
            <v>N</v>
          </cell>
          <cell r="Z3" t="str">
            <v>N</v>
          </cell>
          <cell r="AA3" t="str">
            <v>N</v>
          </cell>
          <cell r="AB3" t="str">
            <v>N</v>
          </cell>
          <cell r="AC3" t="str">
            <v>Y</v>
          </cell>
          <cell r="AD3" t="str">
            <v>T</v>
          </cell>
          <cell r="AE3" t="str">
            <v>N</v>
          </cell>
          <cell r="AF3" t="str">
            <v>P</v>
          </cell>
          <cell r="AG3" t="str">
            <v>N</v>
          </cell>
          <cell r="AH3" t="str">
            <v>P</v>
          </cell>
          <cell r="AI3" t="str">
            <v>N</v>
          </cell>
          <cell r="AJ3" t="str">
            <v>P</v>
          </cell>
          <cell r="AK3" t="str">
            <v>N</v>
          </cell>
          <cell r="AL3" t="str">
            <v>P</v>
          </cell>
          <cell r="AM3" t="str">
            <v>T</v>
          </cell>
          <cell r="AN3" t="str">
            <v>N</v>
          </cell>
          <cell r="AO3" t="str">
            <v>P</v>
          </cell>
          <cell r="AP3" t="str">
            <v>N</v>
          </cell>
          <cell r="AQ3" t="str">
            <v>P</v>
          </cell>
          <cell r="AR3" t="str">
            <v>N</v>
          </cell>
          <cell r="AS3" t="str">
            <v>P</v>
          </cell>
          <cell r="AT3" t="str">
            <v>N</v>
          </cell>
          <cell r="AU3" t="str">
            <v>P</v>
          </cell>
          <cell r="AV3" t="str">
            <v>T</v>
          </cell>
          <cell r="AW3" t="str">
            <v>N</v>
          </cell>
          <cell r="AX3" t="str">
            <v>P</v>
          </cell>
          <cell r="AY3" t="str">
            <v>N</v>
          </cell>
          <cell r="AZ3" t="str">
            <v>P</v>
          </cell>
          <cell r="BA3" t="str">
            <v>N</v>
          </cell>
          <cell r="BB3" t="str">
            <v>P</v>
          </cell>
          <cell r="BC3" t="str">
            <v>N</v>
          </cell>
          <cell r="BD3" t="str">
            <v>P</v>
          </cell>
          <cell r="BE3" t="str">
            <v>T</v>
          </cell>
        </row>
        <row r="4">
          <cell r="D4" t="str">
            <v>Y1Q1E</v>
          </cell>
          <cell r="E4" t="str">
            <v>Y1Q1A</v>
          </cell>
          <cell r="F4" t="str">
            <v>Y1Q2E</v>
          </cell>
          <cell r="G4" t="str">
            <v>Y1Q2A</v>
          </cell>
          <cell r="H4" t="str">
            <v>Y1Q3E</v>
          </cell>
          <cell r="I4" t="str">
            <v>Y1Q3A</v>
          </cell>
          <cell r="J4" t="str">
            <v>Y1Q4E</v>
          </cell>
          <cell r="K4" t="str">
            <v>Y1Q4A</v>
          </cell>
          <cell r="L4" t="str">
            <v>Y1T</v>
          </cell>
          <cell r="M4" t="str">
            <v>Y2Q1E</v>
          </cell>
          <cell r="N4" t="str">
            <v>Y2Q1A</v>
          </cell>
          <cell r="O4" t="str">
            <v>Y2Q2E</v>
          </cell>
          <cell r="P4" t="str">
            <v>Y2Q2A</v>
          </cell>
          <cell r="Q4" t="str">
            <v>Y2Q3E</v>
          </cell>
          <cell r="R4" t="str">
            <v>Y2Q3A</v>
          </cell>
          <cell r="S4" t="str">
            <v>Y2Q4E</v>
          </cell>
          <cell r="T4" t="str">
            <v>Y2Q4A</v>
          </cell>
          <cell r="U4" t="str">
            <v>Y2T</v>
          </cell>
          <cell r="V4" t="str">
            <v>Y3Q1E</v>
          </cell>
          <cell r="W4" t="str">
            <v>Y3Q1A</v>
          </cell>
          <cell r="X4" t="str">
            <v>Y3Q2E</v>
          </cell>
          <cell r="Y4" t="str">
            <v>Y3Q2A</v>
          </cell>
          <cell r="Z4" t="str">
            <v>Y3Q3E</v>
          </cell>
          <cell r="AA4" t="str">
            <v>Y3Q3A</v>
          </cell>
          <cell r="AB4" t="str">
            <v>Y3Q4E</v>
          </cell>
          <cell r="AC4" t="str">
            <v>Y3Q4A</v>
          </cell>
          <cell r="AD4" t="str">
            <v>Y3T</v>
          </cell>
          <cell r="AE4" t="str">
            <v>Y4Q1E</v>
          </cell>
          <cell r="AF4" t="str">
            <v>Y4Q1A</v>
          </cell>
          <cell r="AG4" t="str">
            <v>Y4Q2E</v>
          </cell>
          <cell r="AH4" t="str">
            <v>Y4Q2A</v>
          </cell>
          <cell r="AI4" t="str">
            <v>Y4Q3E</v>
          </cell>
          <cell r="AJ4" t="str">
            <v>Y4Q3A</v>
          </cell>
          <cell r="AK4" t="str">
            <v>Y4Q4E</v>
          </cell>
          <cell r="AL4" t="str">
            <v>Y4Q4A</v>
          </cell>
          <cell r="AM4" t="str">
            <v>Y4T</v>
          </cell>
          <cell r="AN4" t="str">
            <v>Y5Q1E</v>
          </cell>
          <cell r="AO4" t="str">
            <v>Y5Q1A</v>
          </cell>
          <cell r="AP4" t="str">
            <v>Y5Q2E</v>
          </cell>
          <cell r="AQ4" t="str">
            <v>Y5Q2A</v>
          </cell>
          <cell r="AR4" t="str">
            <v>Y5Q3E</v>
          </cell>
          <cell r="AS4" t="str">
            <v>Y5Q3A</v>
          </cell>
          <cell r="AT4" t="str">
            <v>Y5Q4E</v>
          </cell>
          <cell r="AU4" t="str">
            <v>Y5Q4A</v>
          </cell>
          <cell r="AV4" t="str">
            <v>Y5T</v>
          </cell>
          <cell r="AW4" t="str">
            <v>Y6Q1E</v>
          </cell>
          <cell r="AX4" t="str">
            <v>Y6Q1A</v>
          </cell>
          <cell r="AY4" t="str">
            <v>Y6Q2E</v>
          </cell>
          <cell r="AZ4" t="str">
            <v>Y6Q2A</v>
          </cell>
          <cell r="BA4" t="str">
            <v>Y6Q3E</v>
          </cell>
          <cell r="BB4" t="str">
            <v>Y6Q3A</v>
          </cell>
          <cell r="BC4" t="str">
            <v>Y6Q4E</v>
          </cell>
          <cell r="BD4" t="str">
            <v>Y6Q4A</v>
          </cell>
          <cell r="BE4" t="str">
            <v>Y6T</v>
          </cell>
        </row>
        <row r="6">
          <cell r="D6">
            <v>35885</v>
          </cell>
          <cell r="E6">
            <v>35885</v>
          </cell>
          <cell r="F6">
            <v>35976</v>
          </cell>
          <cell r="G6">
            <v>35976</v>
          </cell>
          <cell r="H6">
            <v>36068</v>
          </cell>
          <cell r="I6">
            <v>36068</v>
          </cell>
          <cell r="J6">
            <v>36160</v>
          </cell>
          <cell r="K6">
            <v>36160</v>
          </cell>
          <cell r="L6">
            <v>36160</v>
          </cell>
          <cell r="M6">
            <v>36250</v>
          </cell>
          <cell r="N6">
            <v>36250</v>
          </cell>
          <cell r="O6">
            <v>36341</v>
          </cell>
          <cell r="P6">
            <v>36341</v>
          </cell>
          <cell r="Q6">
            <v>36433</v>
          </cell>
          <cell r="R6">
            <v>36433</v>
          </cell>
          <cell r="S6">
            <v>36525</v>
          </cell>
          <cell r="T6">
            <v>36525</v>
          </cell>
          <cell r="U6">
            <v>36525</v>
          </cell>
          <cell r="V6">
            <v>36616</v>
          </cell>
          <cell r="W6">
            <v>36616</v>
          </cell>
          <cell r="X6">
            <v>36707</v>
          </cell>
          <cell r="Y6">
            <v>36707</v>
          </cell>
          <cell r="Z6">
            <v>36799</v>
          </cell>
          <cell r="AA6">
            <v>36799</v>
          </cell>
          <cell r="AB6">
            <v>36891</v>
          </cell>
          <cell r="AC6">
            <v>36891</v>
          </cell>
          <cell r="AD6">
            <v>36891</v>
          </cell>
          <cell r="AE6">
            <v>36981</v>
          </cell>
          <cell r="AF6">
            <v>36981</v>
          </cell>
          <cell r="AG6">
            <v>37072</v>
          </cell>
          <cell r="AH6">
            <v>37072</v>
          </cell>
          <cell r="AI6">
            <v>37164</v>
          </cell>
          <cell r="AJ6">
            <v>37164</v>
          </cell>
          <cell r="AK6">
            <v>37256</v>
          </cell>
          <cell r="AL6">
            <v>37256</v>
          </cell>
          <cell r="AM6">
            <v>37256</v>
          </cell>
          <cell r="AN6">
            <v>37346</v>
          </cell>
          <cell r="AO6">
            <v>37346</v>
          </cell>
          <cell r="AP6">
            <v>37437</v>
          </cell>
          <cell r="AQ6">
            <v>37437</v>
          </cell>
          <cell r="AR6">
            <v>37529</v>
          </cell>
          <cell r="AS6">
            <v>37529</v>
          </cell>
          <cell r="AT6">
            <v>37621</v>
          </cell>
          <cell r="AU6">
            <v>37621</v>
          </cell>
          <cell r="AV6">
            <v>37621</v>
          </cell>
          <cell r="AW6">
            <v>37711</v>
          </cell>
          <cell r="AX6">
            <v>37711</v>
          </cell>
          <cell r="AY6">
            <v>37802</v>
          </cell>
          <cell r="AZ6">
            <v>37802</v>
          </cell>
          <cell r="BA6">
            <v>37894</v>
          </cell>
          <cell r="BB6">
            <v>37894</v>
          </cell>
          <cell r="BC6">
            <v>37986</v>
          </cell>
          <cell r="BD6">
            <v>37986</v>
          </cell>
          <cell r="BE6">
            <v>37986</v>
          </cell>
        </row>
      </sheetData>
      <sheetData sheetId="3"/>
      <sheetData sheetId="4"/>
      <sheetData sheetId="5"/>
      <sheetData sheetId="6"/>
      <sheetData sheetId="7"/>
      <sheetData sheetId="8"/>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PRT New"/>
      <sheetName val="AMAT_Balance"/>
      <sheetName val="AMAT_CFlow"/>
      <sheetName val="Cap IQ Formulas"/>
      <sheetName val="Revenue Model"/>
      <sheetName val="AMAT_Income"/>
      <sheetName val="Sheet1"/>
      <sheetName val="ModelToWizard"/>
      <sheetName val="XPRT"/>
      <sheetName val="Chart1"/>
      <sheetName val="Quarterly Figures"/>
      <sheetName val="AMAT_FC"/>
      <sheetName val="AMAT_Q"/>
      <sheetName val="Earnings Report"/>
      <sheetName val="AMAT_EPS"/>
      <sheetName val="Partners Upload Sheet"/>
      <sheetName val="__FDSCACHE__"/>
      <sheetName val="Competitors"/>
    </sheetNames>
    <sheetDataSet>
      <sheetData sheetId="0" refreshError="1"/>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ToWizard"/>
      <sheetName val="XPRT"/>
      <sheetName val="Sheet1"/>
      <sheetName val="Revenue Model"/>
      <sheetName val="NVLS_FC"/>
      <sheetName val="NVLS_Eps"/>
      <sheetName val="NVLS_Q"/>
      <sheetName val="NVLS_Income"/>
      <sheetName val="NVLS_Balance"/>
      <sheetName val="__FDSCACHE__"/>
      <sheetName val="NVLS_CFlow"/>
      <sheetName val="Chart_Data"/>
      <sheetName val="Earnings Report"/>
      <sheetName val="Admin"/>
      <sheetName val="Module2"/>
      <sheetName val="Module1"/>
    </sheetNames>
    <sheetDataSet>
      <sheetData sheetId="0" refreshError="1"/>
      <sheetData sheetId="1" refreshError="1"/>
      <sheetData sheetId="2" refreshError="1"/>
      <sheetData sheetId="3" refreshError="1"/>
      <sheetData sheetId="4" refreshError="1">
        <row r="11">
          <cell r="G11">
            <v>0.10651732279141272</v>
          </cell>
        </row>
        <row r="15">
          <cell r="G15">
            <v>136.08802571917045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hyperlink" Target="https://needham.bluematrix.com/sellside/Preference.action?exceltoolkit&amp;from=3"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H68"/>
  <sheetViews>
    <sheetView showGridLines="0" zoomScaleNormal="115" workbookViewId="0">
      <pane xSplit="3" ySplit="4" topLeftCell="D5" activePane="bottomRight" state="frozen"/>
      <selection activeCell="BL41" sqref="BL41"/>
      <selection pane="topRight" activeCell="BL41" sqref="BL41"/>
      <selection pane="bottomLeft" activeCell="BL41" sqref="BL41"/>
      <selection pane="bottomRight" activeCell="U28" sqref="U28"/>
    </sheetView>
  </sheetViews>
  <sheetFormatPr defaultColWidth="8.86328125" defaultRowHeight="12.75" outlineLevelRow="1"/>
  <cols>
    <col min="1" max="1" width="1.59765625" style="272" customWidth="1"/>
    <col min="2" max="2" width="4.1328125" style="272" customWidth="1"/>
    <col min="3" max="3" width="27.3984375" style="272" customWidth="1"/>
    <col min="4" max="12" width="8.86328125" style="272" customWidth="1"/>
    <col min="13" max="13" width="1.59765625" style="272" customWidth="1"/>
    <col min="14" max="19" width="9.86328125" style="272" hidden="1" customWidth="1"/>
    <col min="20" max="21" width="8.86328125" style="272"/>
    <col min="22" max="22" width="19" style="272" customWidth="1"/>
    <col min="23" max="23" width="20.3984375" style="272" customWidth="1"/>
    <col min="24" max="24" width="13.59765625" style="272" customWidth="1"/>
    <col min="25" max="28" width="8.86328125" style="272"/>
    <col min="29" max="29" width="13.265625" style="272" customWidth="1"/>
    <col min="30" max="257" width="8.86328125" style="272"/>
    <col min="258" max="258" width="4.1328125" style="272" customWidth="1"/>
    <col min="259" max="259" width="27.3984375" style="272" customWidth="1"/>
    <col min="260" max="263" width="8.86328125" style="272"/>
    <col min="264" max="264" width="8.3984375" style="272" bestFit="1" customWidth="1"/>
    <col min="265" max="268" width="8.86328125" style="272"/>
    <col min="269" max="269" width="2.86328125" style="272" customWidth="1"/>
    <col min="270" max="513" width="8.86328125" style="272"/>
    <col min="514" max="514" width="4.1328125" style="272" customWidth="1"/>
    <col min="515" max="515" width="27.3984375" style="272" customWidth="1"/>
    <col min="516" max="519" width="8.86328125" style="272"/>
    <col min="520" max="520" width="8.3984375" style="272" bestFit="1" customWidth="1"/>
    <col min="521" max="524" width="8.86328125" style="272"/>
    <col min="525" max="525" width="2.86328125" style="272" customWidth="1"/>
    <col min="526" max="769" width="8.86328125" style="272"/>
    <col min="770" max="770" width="4.1328125" style="272" customWidth="1"/>
    <col min="771" max="771" width="27.3984375" style="272" customWidth="1"/>
    <col min="772" max="775" width="8.86328125" style="272"/>
    <col min="776" max="776" width="8.3984375" style="272" bestFit="1" customWidth="1"/>
    <col min="777" max="780" width="8.86328125" style="272"/>
    <col min="781" max="781" width="2.86328125" style="272" customWidth="1"/>
    <col min="782" max="1025" width="8.86328125" style="272"/>
    <col min="1026" max="1026" width="4.1328125" style="272" customWidth="1"/>
    <col min="1027" max="1027" width="27.3984375" style="272" customWidth="1"/>
    <col min="1028" max="1031" width="8.86328125" style="272"/>
    <col min="1032" max="1032" width="8.3984375" style="272" bestFit="1" customWidth="1"/>
    <col min="1033" max="1036" width="8.86328125" style="272"/>
    <col min="1037" max="1037" width="2.86328125" style="272" customWidth="1"/>
    <col min="1038" max="1281" width="8.86328125" style="272"/>
    <col min="1282" max="1282" width="4.1328125" style="272" customWidth="1"/>
    <col min="1283" max="1283" width="27.3984375" style="272" customWidth="1"/>
    <col min="1284" max="1287" width="8.86328125" style="272"/>
    <col min="1288" max="1288" width="8.3984375" style="272" bestFit="1" customWidth="1"/>
    <col min="1289" max="1292" width="8.86328125" style="272"/>
    <col min="1293" max="1293" width="2.86328125" style="272" customWidth="1"/>
    <col min="1294" max="1537" width="8.86328125" style="272"/>
    <col min="1538" max="1538" width="4.1328125" style="272" customWidth="1"/>
    <col min="1539" max="1539" width="27.3984375" style="272" customWidth="1"/>
    <col min="1540" max="1543" width="8.86328125" style="272"/>
    <col min="1544" max="1544" width="8.3984375" style="272" bestFit="1" customWidth="1"/>
    <col min="1545" max="1548" width="8.86328125" style="272"/>
    <col min="1549" max="1549" width="2.86328125" style="272" customWidth="1"/>
    <col min="1550" max="1793" width="8.86328125" style="272"/>
    <col min="1794" max="1794" width="4.1328125" style="272" customWidth="1"/>
    <col min="1795" max="1795" width="27.3984375" style="272" customWidth="1"/>
    <col min="1796" max="1799" width="8.86328125" style="272"/>
    <col min="1800" max="1800" width="8.3984375" style="272" bestFit="1" customWidth="1"/>
    <col min="1801" max="1804" width="8.86328125" style="272"/>
    <col min="1805" max="1805" width="2.86328125" style="272" customWidth="1"/>
    <col min="1806" max="2049" width="8.86328125" style="272"/>
    <col min="2050" max="2050" width="4.1328125" style="272" customWidth="1"/>
    <col min="2051" max="2051" width="27.3984375" style="272" customWidth="1"/>
    <col min="2052" max="2055" width="8.86328125" style="272"/>
    <col min="2056" max="2056" width="8.3984375" style="272" bestFit="1" customWidth="1"/>
    <col min="2057" max="2060" width="8.86328125" style="272"/>
    <col min="2061" max="2061" width="2.86328125" style="272" customWidth="1"/>
    <col min="2062" max="2305" width="8.86328125" style="272"/>
    <col min="2306" max="2306" width="4.1328125" style="272" customWidth="1"/>
    <col min="2307" max="2307" width="27.3984375" style="272" customWidth="1"/>
    <col min="2308" max="2311" width="8.86328125" style="272"/>
    <col min="2312" max="2312" width="8.3984375" style="272" bestFit="1" customWidth="1"/>
    <col min="2313" max="2316" width="8.86328125" style="272"/>
    <col min="2317" max="2317" width="2.86328125" style="272" customWidth="1"/>
    <col min="2318" max="2561" width="8.86328125" style="272"/>
    <col min="2562" max="2562" width="4.1328125" style="272" customWidth="1"/>
    <col min="2563" max="2563" width="27.3984375" style="272" customWidth="1"/>
    <col min="2564" max="2567" width="8.86328125" style="272"/>
    <col min="2568" max="2568" width="8.3984375" style="272" bestFit="1" customWidth="1"/>
    <col min="2569" max="2572" width="8.86328125" style="272"/>
    <col min="2573" max="2573" width="2.86328125" style="272" customWidth="1"/>
    <col min="2574" max="2817" width="8.86328125" style="272"/>
    <col min="2818" max="2818" width="4.1328125" style="272" customWidth="1"/>
    <col min="2819" max="2819" width="27.3984375" style="272" customWidth="1"/>
    <col min="2820" max="2823" width="8.86328125" style="272"/>
    <col min="2824" max="2824" width="8.3984375" style="272" bestFit="1" customWidth="1"/>
    <col min="2825" max="2828" width="8.86328125" style="272"/>
    <col min="2829" max="2829" width="2.86328125" style="272" customWidth="1"/>
    <col min="2830" max="3073" width="8.86328125" style="272"/>
    <col min="3074" max="3074" width="4.1328125" style="272" customWidth="1"/>
    <col min="3075" max="3075" width="27.3984375" style="272" customWidth="1"/>
    <col min="3076" max="3079" width="8.86328125" style="272"/>
    <col min="3080" max="3080" width="8.3984375" style="272" bestFit="1" customWidth="1"/>
    <col min="3081" max="3084" width="8.86328125" style="272"/>
    <col min="3085" max="3085" width="2.86328125" style="272" customWidth="1"/>
    <col min="3086" max="3329" width="8.86328125" style="272"/>
    <col min="3330" max="3330" width="4.1328125" style="272" customWidth="1"/>
    <col min="3331" max="3331" width="27.3984375" style="272" customWidth="1"/>
    <col min="3332" max="3335" width="8.86328125" style="272"/>
    <col min="3336" max="3336" width="8.3984375" style="272" bestFit="1" customWidth="1"/>
    <col min="3337" max="3340" width="8.86328125" style="272"/>
    <col min="3341" max="3341" width="2.86328125" style="272" customWidth="1"/>
    <col min="3342" max="3585" width="8.86328125" style="272"/>
    <col min="3586" max="3586" width="4.1328125" style="272" customWidth="1"/>
    <col min="3587" max="3587" width="27.3984375" style="272" customWidth="1"/>
    <col min="3588" max="3591" width="8.86328125" style="272"/>
    <col min="3592" max="3592" width="8.3984375" style="272" bestFit="1" customWidth="1"/>
    <col min="3593" max="3596" width="8.86328125" style="272"/>
    <col min="3597" max="3597" width="2.86328125" style="272" customWidth="1"/>
    <col min="3598" max="3841" width="8.86328125" style="272"/>
    <col min="3842" max="3842" width="4.1328125" style="272" customWidth="1"/>
    <col min="3843" max="3843" width="27.3984375" style="272" customWidth="1"/>
    <col min="3844" max="3847" width="8.86328125" style="272"/>
    <col min="3848" max="3848" width="8.3984375" style="272" bestFit="1" customWidth="1"/>
    <col min="3849" max="3852" width="8.86328125" style="272"/>
    <col min="3853" max="3853" width="2.86328125" style="272" customWidth="1"/>
    <col min="3854" max="4097" width="8.86328125" style="272"/>
    <col min="4098" max="4098" width="4.1328125" style="272" customWidth="1"/>
    <col min="4099" max="4099" width="27.3984375" style="272" customWidth="1"/>
    <col min="4100" max="4103" width="8.86328125" style="272"/>
    <col min="4104" max="4104" width="8.3984375" style="272" bestFit="1" customWidth="1"/>
    <col min="4105" max="4108" width="8.86328125" style="272"/>
    <col min="4109" max="4109" width="2.86328125" style="272" customWidth="1"/>
    <col min="4110" max="4353" width="8.86328125" style="272"/>
    <col min="4354" max="4354" width="4.1328125" style="272" customWidth="1"/>
    <col min="4355" max="4355" width="27.3984375" style="272" customWidth="1"/>
    <col min="4356" max="4359" width="8.86328125" style="272"/>
    <col min="4360" max="4360" width="8.3984375" style="272" bestFit="1" customWidth="1"/>
    <col min="4361" max="4364" width="8.86328125" style="272"/>
    <col min="4365" max="4365" width="2.86328125" style="272" customWidth="1"/>
    <col min="4366" max="4609" width="8.86328125" style="272"/>
    <col min="4610" max="4610" width="4.1328125" style="272" customWidth="1"/>
    <col min="4611" max="4611" width="27.3984375" style="272" customWidth="1"/>
    <col min="4612" max="4615" width="8.86328125" style="272"/>
    <col min="4616" max="4616" width="8.3984375" style="272" bestFit="1" customWidth="1"/>
    <col min="4617" max="4620" width="8.86328125" style="272"/>
    <col min="4621" max="4621" width="2.86328125" style="272" customWidth="1"/>
    <col min="4622" max="4865" width="8.86328125" style="272"/>
    <col min="4866" max="4866" width="4.1328125" style="272" customWidth="1"/>
    <col min="4867" max="4867" width="27.3984375" style="272" customWidth="1"/>
    <col min="4868" max="4871" width="8.86328125" style="272"/>
    <col min="4872" max="4872" width="8.3984375" style="272" bestFit="1" customWidth="1"/>
    <col min="4873" max="4876" width="8.86328125" style="272"/>
    <col min="4877" max="4877" width="2.86328125" style="272" customWidth="1"/>
    <col min="4878" max="5121" width="8.86328125" style="272"/>
    <col min="5122" max="5122" width="4.1328125" style="272" customWidth="1"/>
    <col min="5123" max="5123" width="27.3984375" style="272" customWidth="1"/>
    <col min="5124" max="5127" width="8.86328125" style="272"/>
    <col min="5128" max="5128" width="8.3984375" style="272" bestFit="1" customWidth="1"/>
    <col min="5129" max="5132" width="8.86328125" style="272"/>
    <col min="5133" max="5133" width="2.86328125" style="272" customWidth="1"/>
    <col min="5134" max="5377" width="8.86328125" style="272"/>
    <col min="5378" max="5378" width="4.1328125" style="272" customWidth="1"/>
    <col min="5379" max="5379" width="27.3984375" style="272" customWidth="1"/>
    <col min="5380" max="5383" width="8.86328125" style="272"/>
    <col min="5384" max="5384" width="8.3984375" style="272" bestFit="1" customWidth="1"/>
    <col min="5385" max="5388" width="8.86328125" style="272"/>
    <col min="5389" max="5389" width="2.86328125" style="272" customWidth="1"/>
    <col min="5390" max="5633" width="8.86328125" style="272"/>
    <col min="5634" max="5634" width="4.1328125" style="272" customWidth="1"/>
    <col min="5635" max="5635" width="27.3984375" style="272" customWidth="1"/>
    <col min="5636" max="5639" width="8.86328125" style="272"/>
    <col min="5640" max="5640" width="8.3984375" style="272" bestFit="1" customWidth="1"/>
    <col min="5641" max="5644" width="8.86328125" style="272"/>
    <col min="5645" max="5645" width="2.86328125" style="272" customWidth="1"/>
    <col min="5646" max="5889" width="8.86328125" style="272"/>
    <col min="5890" max="5890" width="4.1328125" style="272" customWidth="1"/>
    <col min="5891" max="5891" width="27.3984375" style="272" customWidth="1"/>
    <col min="5892" max="5895" width="8.86328125" style="272"/>
    <col min="5896" max="5896" width="8.3984375" style="272" bestFit="1" customWidth="1"/>
    <col min="5897" max="5900" width="8.86328125" style="272"/>
    <col min="5901" max="5901" width="2.86328125" style="272" customWidth="1"/>
    <col min="5902" max="6145" width="8.86328125" style="272"/>
    <col min="6146" max="6146" width="4.1328125" style="272" customWidth="1"/>
    <col min="6147" max="6147" width="27.3984375" style="272" customWidth="1"/>
    <col min="6148" max="6151" width="8.86328125" style="272"/>
    <col min="6152" max="6152" width="8.3984375" style="272" bestFit="1" customWidth="1"/>
    <col min="6153" max="6156" width="8.86328125" style="272"/>
    <col min="6157" max="6157" width="2.86328125" style="272" customWidth="1"/>
    <col min="6158" max="6401" width="8.86328125" style="272"/>
    <col min="6402" max="6402" width="4.1328125" style="272" customWidth="1"/>
    <col min="6403" max="6403" width="27.3984375" style="272" customWidth="1"/>
    <col min="6404" max="6407" width="8.86328125" style="272"/>
    <col min="6408" max="6408" width="8.3984375" style="272" bestFit="1" customWidth="1"/>
    <col min="6409" max="6412" width="8.86328125" style="272"/>
    <col min="6413" max="6413" width="2.86328125" style="272" customWidth="1"/>
    <col min="6414" max="6657" width="8.86328125" style="272"/>
    <col min="6658" max="6658" width="4.1328125" style="272" customWidth="1"/>
    <col min="6659" max="6659" width="27.3984375" style="272" customWidth="1"/>
    <col min="6660" max="6663" width="8.86328125" style="272"/>
    <col min="6664" max="6664" width="8.3984375" style="272" bestFit="1" customWidth="1"/>
    <col min="6665" max="6668" width="8.86328125" style="272"/>
    <col min="6669" max="6669" width="2.86328125" style="272" customWidth="1"/>
    <col min="6670" max="6913" width="8.86328125" style="272"/>
    <col min="6914" max="6914" width="4.1328125" style="272" customWidth="1"/>
    <col min="6915" max="6915" width="27.3984375" style="272" customWidth="1"/>
    <col min="6916" max="6919" width="8.86328125" style="272"/>
    <col min="6920" max="6920" width="8.3984375" style="272" bestFit="1" customWidth="1"/>
    <col min="6921" max="6924" width="8.86328125" style="272"/>
    <col min="6925" max="6925" width="2.86328125" style="272" customWidth="1"/>
    <col min="6926" max="7169" width="8.86328125" style="272"/>
    <col min="7170" max="7170" width="4.1328125" style="272" customWidth="1"/>
    <col min="7171" max="7171" width="27.3984375" style="272" customWidth="1"/>
    <col min="7172" max="7175" width="8.86328125" style="272"/>
    <col min="7176" max="7176" width="8.3984375" style="272" bestFit="1" customWidth="1"/>
    <col min="7177" max="7180" width="8.86328125" style="272"/>
    <col min="7181" max="7181" width="2.86328125" style="272" customWidth="1"/>
    <col min="7182" max="7425" width="8.86328125" style="272"/>
    <col min="7426" max="7426" width="4.1328125" style="272" customWidth="1"/>
    <col min="7427" max="7427" width="27.3984375" style="272" customWidth="1"/>
    <col min="7428" max="7431" width="8.86328125" style="272"/>
    <col min="7432" max="7432" width="8.3984375" style="272" bestFit="1" customWidth="1"/>
    <col min="7433" max="7436" width="8.86328125" style="272"/>
    <col min="7437" max="7437" width="2.86328125" style="272" customWidth="1"/>
    <col min="7438" max="7681" width="8.86328125" style="272"/>
    <col min="7682" max="7682" width="4.1328125" style="272" customWidth="1"/>
    <col min="7683" max="7683" width="27.3984375" style="272" customWidth="1"/>
    <col min="7684" max="7687" width="8.86328125" style="272"/>
    <col min="7688" max="7688" width="8.3984375" style="272" bestFit="1" customWidth="1"/>
    <col min="7689" max="7692" width="8.86328125" style="272"/>
    <col min="7693" max="7693" width="2.86328125" style="272" customWidth="1"/>
    <col min="7694" max="7937" width="8.86328125" style="272"/>
    <col min="7938" max="7938" width="4.1328125" style="272" customWidth="1"/>
    <col min="7939" max="7939" width="27.3984375" style="272" customWidth="1"/>
    <col min="7940" max="7943" width="8.86328125" style="272"/>
    <col min="7944" max="7944" width="8.3984375" style="272" bestFit="1" customWidth="1"/>
    <col min="7945" max="7948" width="8.86328125" style="272"/>
    <col min="7949" max="7949" width="2.86328125" style="272" customWidth="1"/>
    <col min="7950" max="8193" width="8.86328125" style="272"/>
    <col min="8194" max="8194" width="4.1328125" style="272" customWidth="1"/>
    <col min="8195" max="8195" width="27.3984375" style="272" customWidth="1"/>
    <col min="8196" max="8199" width="8.86328125" style="272"/>
    <col min="8200" max="8200" width="8.3984375" style="272" bestFit="1" customWidth="1"/>
    <col min="8201" max="8204" width="8.86328125" style="272"/>
    <col min="8205" max="8205" width="2.86328125" style="272" customWidth="1"/>
    <col min="8206" max="8449" width="8.86328125" style="272"/>
    <col min="8450" max="8450" width="4.1328125" style="272" customWidth="1"/>
    <col min="8451" max="8451" width="27.3984375" style="272" customWidth="1"/>
    <col min="8452" max="8455" width="8.86328125" style="272"/>
    <col min="8456" max="8456" width="8.3984375" style="272" bestFit="1" customWidth="1"/>
    <col min="8457" max="8460" width="8.86328125" style="272"/>
    <col min="8461" max="8461" width="2.86328125" style="272" customWidth="1"/>
    <col min="8462" max="8705" width="8.86328125" style="272"/>
    <col min="8706" max="8706" width="4.1328125" style="272" customWidth="1"/>
    <col min="8707" max="8707" width="27.3984375" style="272" customWidth="1"/>
    <col min="8708" max="8711" width="8.86328125" style="272"/>
    <col min="8712" max="8712" width="8.3984375" style="272" bestFit="1" customWidth="1"/>
    <col min="8713" max="8716" width="8.86328125" style="272"/>
    <col min="8717" max="8717" width="2.86328125" style="272" customWidth="1"/>
    <col min="8718" max="8961" width="8.86328125" style="272"/>
    <col min="8962" max="8962" width="4.1328125" style="272" customWidth="1"/>
    <col min="8963" max="8963" width="27.3984375" style="272" customWidth="1"/>
    <col min="8964" max="8967" width="8.86328125" style="272"/>
    <col min="8968" max="8968" width="8.3984375" style="272" bestFit="1" customWidth="1"/>
    <col min="8969" max="8972" width="8.86328125" style="272"/>
    <col min="8973" max="8973" width="2.86328125" style="272" customWidth="1"/>
    <col min="8974" max="9217" width="8.86328125" style="272"/>
    <col min="9218" max="9218" width="4.1328125" style="272" customWidth="1"/>
    <col min="9219" max="9219" width="27.3984375" style="272" customWidth="1"/>
    <col min="9220" max="9223" width="8.86328125" style="272"/>
    <col min="9224" max="9224" width="8.3984375" style="272" bestFit="1" customWidth="1"/>
    <col min="9225" max="9228" width="8.86328125" style="272"/>
    <col min="9229" max="9229" width="2.86328125" style="272" customWidth="1"/>
    <col min="9230" max="9473" width="8.86328125" style="272"/>
    <col min="9474" max="9474" width="4.1328125" style="272" customWidth="1"/>
    <col min="9475" max="9475" width="27.3984375" style="272" customWidth="1"/>
    <col min="9476" max="9479" width="8.86328125" style="272"/>
    <col min="9480" max="9480" width="8.3984375" style="272" bestFit="1" customWidth="1"/>
    <col min="9481" max="9484" width="8.86328125" style="272"/>
    <col min="9485" max="9485" width="2.86328125" style="272" customWidth="1"/>
    <col min="9486" max="9729" width="8.86328125" style="272"/>
    <col min="9730" max="9730" width="4.1328125" style="272" customWidth="1"/>
    <col min="9731" max="9731" width="27.3984375" style="272" customWidth="1"/>
    <col min="9732" max="9735" width="8.86328125" style="272"/>
    <col min="9736" max="9736" width="8.3984375" style="272" bestFit="1" customWidth="1"/>
    <col min="9737" max="9740" width="8.86328125" style="272"/>
    <col min="9741" max="9741" width="2.86328125" style="272" customWidth="1"/>
    <col min="9742" max="9985" width="8.86328125" style="272"/>
    <col min="9986" max="9986" width="4.1328125" style="272" customWidth="1"/>
    <col min="9987" max="9987" width="27.3984375" style="272" customWidth="1"/>
    <col min="9988" max="9991" width="8.86328125" style="272"/>
    <col min="9992" max="9992" width="8.3984375" style="272" bestFit="1" customWidth="1"/>
    <col min="9993" max="9996" width="8.86328125" style="272"/>
    <col min="9997" max="9997" width="2.86328125" style="272" customWidth="1"/>
    <col min="9998" max="10241" width="8.86328125" style="272"/>
    <col min="10242" max="10242" width="4.1328125" style="272" customWidth="1"/>
    <col min="10243" max="10243" width="27.3984375" style="272" customWidth="1"/>
    <col min="10244" max="10247" width="8.86328125" style="272"/>
    <col min="10248" max="10248" width="8.3984375" style="272" bestFit="1" customWidth="1"/>
    <col min="10249" max="10252" width="8.86328125" style="272"/>
    <col min="10253" max="10253" width="2.86328125" style="272" customWidth="1"/>
    <col min="10254" max="10497" width="8.86328125" style="272"/>
    <col min="10498" max="10498" width="4.1328125" style="272" customWidth="1"/>
    <col min="10499" max="10499" width="27.3984375" style="272" customWidth="1"/>
    <col min="10500" max="10503" width="8.86328125" style="272"/>
    <col min="10504" max="10504" width="8.3984375" style="272" bestFit="1" customWidth="1"/>
    <col min="10505" max="10508" width="8.86328125" style="272"/>
    <col min="10509" max="10509" width="2.86328125" style="272" customWidth="1"/>
    <col min="10510" max="10753" width="8.86328125" style="272"/>
    <col min="10754" max="10754" width="4.1328125" style="272" customWidth="1"/>
    <col min="10755" max="10755" width="27.3984375" style="272" customWidth="1"/>
    <col min="10756" max="10759" width="8.86328125" style="272"/>
    <col min="10760" max="10760" width="8.3984375" style="272" bestFit="1" customWidth="1"/>
    <col min="10761" max="10764" width="8.86328125" style="272"/>
    <col min="10765" max="10765" width="2.86328125" style="272" customWidth="1"/>
    <col min="10766" max="11009" width="8.86328125" style="272"/>
    <col min="11010" max="11010" width="4.1328125" style="272" customWidth="1"/>
    <col min="11011" max="11011" width="27.3984375" style="272" customWidth="1"/>
    <col min="11012" max="11015" width="8.86328125" style="272"/>
    <col min="11016" max="11016" width="8.3984375" style="272" bestFit="1" customWidth="1"/>
    <col min="11017" max="11020" width="8.86328125" style="272"/>
    <col min="11021" max="11021" width="2.86328125" style="272" customWidth="1"/>
    <col min="11022" max="11265" width="8.86328125" style="272"/>
    <col min="11266" max="11266" width="4.1328125" style="272" customWidth="1"/>
    <col min="11267" max="11267" width="27.3984375" style="272" customWidth="1"/>
    <col min="11268" max="11271" width="8.86328125" style="272"/>
    <col min="11272" max="11272" width="8.3984375" style="272" bestFit="1" customWidth="1"/>
    <col min="11273" max="11276" width="8.86328125" style="272"/>
    <col min="11277" max="11277" width="2.86328125" style="272" customWidth="1"/>
    <col min="11278" max="11521" width="8.86328125" style="272"/>
    <col min="11522" max="11522" width="4.1328125" style="272" customWidth="1"/>
    <col min="11523" max="11523" width="27.3984375" style="272" customWidth="1"/>
    <col min="11524" max="11527" width="8.86328125" style="272"/>
    <col min="11528" max="11528" width="8.3984375" style="272" bestFit="1" customWidth="1"/>
    <col min="11529" max="11532" width="8.86328125" style="272"/>
    <col min="11533" max="11533" width="2.86328125" style="272" customWidth="1"/>
    <col min="11534" max="11777" width="8.86328125" style="272"/>
    <col min="11778" max="11778" width="4.1328125" style="272" customWidth="1"/>
    <col min="11779" max="11779" width="27.3984375" style="272" customWidth="1"/>
    <col min="11780" max="11783" width="8.86328125" style="272"/>
    <col min="11784" max="11784" width="8.3984375" style="272" bestFit="1" customWidth="1"/>
    <col min="11785" max="11788" width="8.86328125" style="272"/>
    <col min="11789" max="11789" width="2.86328125" style="272" customWidth="1"/>
    <col min="11790" max="12033" width="8.86328125" style="272"/>
    <col min="12034" max="12034" width="4.1328125" style="272" customWidth="1"/>
    <col min="12035" max="12035" width="27.3984375" style="272" customWidth="1"/>
    <col min="12036" max="12039" width="8.86328125" style="272"/>
    <col min="12040" max="12040" width="8.3984375" style="272" bestFit="1" customWidth="1"/>
    <col min="12041" max="12044" width="8.86328125" style="272"/>
    <col min="12045" max="12045" width="2.86328125" style="272" customWidth="1"/>
    <col min="12046" max="12289" width="8.86328125" style="272"/>
    <col min="12290" max="12290" width="4.1328125" style="272" customWidth="1"/>
    <col min="12291" max="12291" width="27.3984375" style="272" customWidth="1"/>
    <col min="12292" max="12295" width="8.86328125" style="272"/>
    <col min="12296" max="12296" width="8.3984375" style="272" bestFit="1" customWidth="1"/>
    <col min="12297" max="12300" width="8.86328125" style="272"/>
    <col min="12301" max="12301" width="2.86328125" style="272" customWidth="1"/>
    <col min="12302" max="12545" width="8.86328125" style="272"/>
    <col min="12546" max="12546" width="4.1328125" style="272" customWidth="1"/>
    <col min="12547" max="12547" width="27.3984375" style="272" customWidth="1"/>
    <col min="12548" max="12551" width="8.86328125" style="272"/>
    <col min="12552" max="12552" width="8.3984375" style="272" bestFit="1" customWidth="1"/>
    <col min="12553" max="12556" width="8.86328125" style="272"/>
    <col min="12557" max="12557" width="2.86328125" style="272" customWidth="1"/>
    <col min="12558" max="12801" width="8.86328125" style="272"/>
    <col min="12802" max="12802" width="4.1328125" style="272" customWidth="1"/>
    <col min="12803" max="12803" width="27.3984375" style="272" customWidth="1"/>
    <col min="12804" max="12807" width="8.86328125" style="272"/>
    <col min="12808" max="12808" width="8.3984375" style="272" bestFit="1" customWidth="1"/>
    <col min="12809" max="12812" width="8.86328125" style="272"/>
    <col min="12813" max="12813" width="2.86328125" style="272" customWidth="1"/>
    <col min="12814" max="13057" width="8.86328125" style="272"/>
    <col min="13058" max="13058" width="4.1328125" style="272" customWidth="1"/>
    <col min="13059" max="13059" width="27.3984375" style="272" customWidth="1"/>
    <col min="13060" max="13063" width="8.86328125" style="272"/>
    <col min="13064" max="13064" width="8.3984375" style="272" bestFit="1" customWidth="1"/>
    <col min="13065" max="13068" width="8.86328125" style="272"/>
    <col min="13069" max="13069" width="2.86328125" style="272" customWidth="1"/>
    <col min="13070" max="13313" width="8.86328125" style="272"/>
    <col min="13314" max="13314" width="4.1328125" style="272" customWidth="1"/>
    <col min="13315" max="13315" width="27.3984375" style="272" customWidth="1"/>
    <col min="13316" max="13319" width="8.86328125" style="272"/>
    <col min="13320" max="13320" width="8.3984375" style="272" bestFit="1" customWidth="1"/>
    <col min="13321" max="13324" width="8.86328125" style="272"/>
    <col min="13325" max="13325" width="2.86328125" style="272" customWidth="1"/>
    <col min="13326" max="13569" width="8.86328125" style="272"/>
    <col min="13570" max="13570" width="4.1328125" style="272" customWidth="1"/>
    <col min="13571" max="13571" width="27.3984375" style="272" customWidth="1"/>
    <col min="13572" max="13575" width="8.86328125" style="272"/>
    <col min="13576" max="13576" width="8.3984375" style="272" bestFit="1" customWidth="1"/>
    <col min="13577" max="13580" width="8.86328125" style="272"/>
    <col min="13581" max="13581" width="2.86328125" style="272" customWidth="1"/>
    <col min="13582" max="13825" width="8.86328125" style="272"/>
    <col min="13826" max="13826" width="4.1328125" style="272" customWidth="1"/>
    <col min="13827" max="13827" width="27.3984375" style="272" customWidth="1"/>
    <col min="13828" max="13831" width="8.86328125" style="272"/>
    <col min="13832" max="13832" width="8.3984375" style="272" bestFit="1" customWidth="1"/>
    <col min="13833" max="13836" width="8.86328125" style="272"/>
    <col min="13837" max="13837" width="2.86328125" style="272" customWidth="1"/>
    <col min="13838" max="14081" width="8.86328125" style="272"/>
    <col min="14082" max="14082" width="4.1328125" style="272" customWidth="1"/>
    <col min="14083" max="14083" width="27.3984375" style="272" customWidth="1"/>
    <col min="14084" max="14087" width="8.86328125" style="272"/>
    <col min="14088" max="14088" width="8.3984375" style="272" bestFit="1" customWidth="1"/>
    <col min="14089" max="14092" width="8.86328125" style="272"/>
    <col min="14093" max="14093" width="2.86328125" style="272" customWidth="1"/>
    <col min="14094" max="14337" width="8.86328125" style="272"/>
    <col min="14338" max="14338" width="4.1328125" style="272" customWidth="1"/>
    <col min="14339" max="14339" width="27.3984375" style="272" customWidth="1"/>
    <col min="14340" max="14343" width="8.86328125" style="272"/>
    <col min="14344" max="14344" width="8.3984375" style="272" bestFit="1" customWidth="1"/>
    <col min="14345" max="14348" width="8.86328125" style="272"/>
    <col min="14349" max="14349" width="2.86328125" style="272" customWidth="1"/>
    <col min="14350" max="14593" width="8.86328125" style="272"/>
    <col min="14594" max="14594" width="4.1328125" style="272" customWidth="1"/>
    <col min="14595" max="14595" width="27.3984375" style="272" customWidth="1"/>
    <col min="14596" max="14599" width="8.86328125" style="272"/>
    <col min="14600" max="14600" width="8.3984375" style="272" bestFit="1" customWidth="1"/>
    <col min="14601" max="14604" width="8.86328125" style="272"/>
    <col min="14605" max="14605" width="2.86328125" style="272" customWidth="1"/>
    <col min="14606" max="14849" width="8.86328125" style="272"/>
    <col min="14850" max="14850" width="4.1328125" style="272" customWidth="1"/>
    <col min="14851" max="14851" width="27.3984375" style="272" customWidth="1"/>
    <col min="14852" max="14855" width="8.86328125" style="272"/>
    <col min="14856" max="14856" width="8.3984375" style="272" bestFit="1" customWidth="1"/>
    <col min="14857" max="14860" width="8.86328125" style="272"/>
    <col min="14861" max="14861" width="2.86328125" style="272" customWidth="1"/>
    <col min="14862" max="15105" width="8.86328125" style="272"/>
    <col min="15106" max="15106" width="4.1328125" style="272" customWidth="1"/>
    <col min="15107" max="15107" width="27.3984375" style="272" customWidth="1"/>
    <col min="15108" max="15111" width="8.86328125" style="272"/>
    <col min="15112" max="15112" width="8.3984375" style="272" bestFit="1" customWidth="1"/>
    <col min="15113" max="15116" width="8.86328125" style="272"/>
    <col min="15117" max="15117" width="2.86328125" style="272" customWidth="1"/>
    <col min="15118" max="15361" width="8.86328125" style="272"/>
    <col min="15362" max="15362" width="4.1328125" style="272" customWidth="1"/>
    <col min="15363" max="15363" width="27.3984375" style="272" customWidth="1"/>
    <col min="15364" max="15367" width="8.86328125" style="272"/>
    <col min="15368" max="15368" width="8.3984375" style="272" bestFit="1" customWidth="1"/>
    <col min="15369" max="15372" width="8.86328125" style="272"/>
    <col min="15373" max="15373" width="2.86328125" style="272" customWidth="1"/>
    <col min="15374" max="15617" width="8.86328125" style="272"/>
    <col min="15618" max="15618" width="4.1328125" style="272" customWidth="1"/>
    <col min="15619" max="15619" width="27.3984375" style="272" customWidth="1"/>
    <col min="15620" max="15623" width="8.86328125" style="272"/>
    <col min="15624" max="15624" width="8.3984375" style="272" bestFit="1" customWidth="1"/>
    <col min="15625" max="15628" width="8.86328125" style="272"/>
    <col min="15629" max="15629" width="2.86328125" style="272" customWidth="1"/>
    <col min="15630" max="15873" width="8.86328125" style="272"/>
    <col min="15874" max="15874" width="4.1328125" style="272" customWidth="1"/>
    <col min="15875" max="15875" width="27.3984375" style="272" customWidth="1"/>
    <col min="15876" max="15879" width="8.86328125" style="272"/>
    <col min="15880" max="15880" width="8.3984375" style="272" bestFit="1" customWidth="1"/>
    <col min="15881" max="15884" width="8.86328125" style="272"/>
    <col min="15885" max="15885" width="2.86328125" style="272" customWidth="1"/>
    <col min="15886" max="16129" width="8.86328125" style="272"/>
    <col min="16130" max="16130" width="4.1328125" style="272" customWidth="1"/>
    <col min="16131" max="16131" width="27.3984375" style="272" customWidth="1"/>
    <col min="16132" max="16135" width="8.86328125" style="272"/>
    <col min="16136" max="16136" width="8.3984375" style="272" bestFit="1" customWidth="1"/>
    <col min="16137" max="16140" width="8.86328125" style="272"/>
    <col min="16141" max="16141" width="2.86328125" style="272" customWidth="1"/>
    <col min="16142" max="16384" width="8.86328125" style="272"/>
  </cols>
  <sheetData>
    <row r="1" spans="2:19" ht="10.35" customHeight="1"/>
    <row r="2" spans="2:19" ht="15">
      <c r="B2" s="695" t="str">
        <f>'Income Statement'!B2</f>
        <v>Tyler Technologies (TYL)</v>
      </c>
      <c r="C2" s="696"/>
      <c r="D2" s="697"/>
      <c r="E2" s="697"/>
      <c r="F2" s="697"/>
      <c r="G2" s="697"/>
      <c r="H2" s="697"/>
      <c r="I2" s="697"/>
      <c r="J2" s="697"/>
      <c r="K2" s="697"/>
      <c r="L2" s="697"/>
      <c r="M2" s="697"/>
      <c r="N2" s="702" t="s">
        <v>768</v>
      </c>
      <c r="O2" s="697"/>
      <c r="P2" s="697"/>
      <c r="Q2" s="891"/>
      <c r="R2" s="891"/>
      <c r="S2" s="891"/>
    </row>
    <row r="3" spans="2:19" ht="5.0999999999999996" customHeight="1">
      <c r="B3" s="697"/>
      <c r="C3" s="697"/>
      <c r="D3" s="697"/>
      <c r="E3" s="697"/>
      <c r="F3" s="698"/>
      <c r="G3" s="697"/>
      <c r="H3" s="698"/>
      <c r="I3" s="697"/>
      <c r="J3" s="697"/>
      <c r="K3" s="697"/>
      <c r="L3" s="697"/>
      <c r="M3" s="697"/>
      <c r="N3" s="697"/>
      <c r="O3" s="697"/>
      <c r="P3" s="697"/>
      <c r="Q3" s="891"/>
      <c r="R3" s="891"/>
      <c r="S3" s="891"/>
    </row>
    <row r="4" spans="2:19">
      <c r="B4" s="1099" t="s">
        <v>394</v>
      </c>
      <c r="C4" s="1100"/>
      <c r="D4" s="1101" t="str">
        <f>'Income Statement'!CJ4</f>
        <v>4Q24</v>
      </c>
      <c r="E4" s="1101" t="str">
        <f>K4</f>
        <v>4Q25</v>
      </c>
      <c r="F4" s="1102" t="s">
        <v>395</v>
      </c>
      <c r="G4" s="1101" t="str">
        <f>'Income Statement'!CN4</f>
        <v>3Q25</v>
      </c>
      <c r="H4" s="1101" t="str">
        <f>K4</f>
        <v>4Q25</v>
      </c>
      <c r="I4" s="1102" t="s">
        <v>395</v>
      </c>
      <c r="J4" s="1101" t="s">
        <v>1041</v>
      </c>
      <c r="K4" s="1101" t="str">
        <f>'Income Statement'!CO4</f>
        <v>4Q25</v>
      </c>
      <c r="L4" s="1102" t="s">
        <v>395</v>
      </c>
      <c r="M4" s="699"/>
      <c r="N4" s="892" t="s">
        <v>772</v>
      </c>
      <c r="O4" s="893" t="s">
        <v>773</v>
      </c>
      <c r="P4" s="894" t="s">
        <v>774</v>
      </c>
      <c r="Q4" s="893" t="s">
        <v>769</v>
      </c>
      <c r="R4" s="893" t="s">
        <v>770</v>
      </c>
      <c r="S4" s="894" t="s">
        <v>771</v>
      </c>
    </row>
    <row r="5" spans="2:19" s="228" customFormat="1" ht="18" customHeight="1">
      <c r="B5" s="767" t="s">
        <v>50</v>
      </c>
      <c r="C5" s="701"/>
      <c r="D5" s="741">
        <f>'Income Statement'!CJ5</f>
        <v>6106</v>
      </c>
      <c r="E5" s="742">
        <f>K5</f>
        <v>5300</v>
      </c>
      <c r="F5" s="857">
        <f>E5/D5-1</f>
        <v>-0.13200131018670158</v>
      </c>
      <c r="G5" s="741">
        <f>'Income Statement'!CN5</f>
        <v>5100</v>
      </c>
      <c r="H5" s="743">
        <f>K5</f>
        <v>5300</v>
      </c>
      <c r="I5" s="871">
        <f>H5/G5-1</f>
        <v>3.9215686274509887E-2</v>
      </c>
      <c r="J5" s="741">
        <v>5300</v>
      </c>
      <c r="K5" s="741">
        <f>'Income Statement'!CO5</f>
        <v>5300</v>
      </c>
      <c r="L5" s="857">
        <f>K5/J5-1</f>
        <v>0</v>
      </c>
      <c r="M5" s="699"/>
      <c r="N5" s="895"/>
      <c r="O5" s="896"/>
      <c r="P5" s="897"/>
      <c r="Q5" s="896"/>
      <c r="R5" s="896"/>
      <c r="S5" s="897"/>
    </row>
    <row r="6" spans="2:19" s="228" customFormat="1" ht="12.95" customHeight="1">
      <c r="B6" s="767" t="s">
        <v>49</v>
      </c>
      <c r="C6" s="701"/>
      <c r="D6" s="741">
        <f>'Income Statement'!CJ8</f>
        <v>348836</v>
      </c>
      <c r="E6" s="743">
        <f>K6</f>
        <v>404858.03399999999</v>
      </c>
      <c r="F6" s="857">
        <f>E6/D6-1</f>
        <v>0.1605970542031212</v>
      </c>
      <c r="G6" s="741">
        <f>'Income Statement'!CN8</f>
        <v>401094</v>
      </c>
      <c r="H6" s="743">
        <f>K6</f>
        <v>404858.03399999999</v>
      </c>
      <c r="I6" s="857">
        <f>H6/G6-1</f>
        <v>9.384418615087764E-3</v>
      </c>
      <c r="J6" s="741">
        <v>404858.03399999999</v>
      </c>
      <c r="K6" s="741">
        <f>'Income Statement'!CO8</f>
        <v>404858.03399999999</v>
      </c>
      <c r="L6" s="857">
        <f>K6/J6-1</f>
        <v>0</v>
      </c>
      <c r="M6" s="699"/>
      <c r="N6" s="895"/>
      <c r="O6" s="896"/>
      <c r="P6" s="897"/>
      <c r="Q6" s="896"/>
      <c r="R6" s="896"/>
      <c r="S6" s="897"/>
    </row>
    <row r="7" spans="2:19" s="228" customFormat="1" ht="12.95" customHeight="1">
      <c r="B7" s="767" t="s">
        <v>48</v>
      </c>
      <c r="C7" s="701"/>
      <c r="D7" s="741">
        <f>'Income Statement'!CJ11</f>
        <v>62795</v>
      </c>
      <c r="E7" s="742">
        <f>K7</f>
        <v>64000</v>
      </c>
      <c r="F7" s="857">
        <f>E7/D7-1</f>
        <v>1.9189425909706292E-2</v>
      </c>
      <c r="G7" s="741">
        <f>'Income Statement'!CN11</f>
        <v>64728</v>
      </c>
      <c r="H7" s="743">
        <f>K7</f>
        <v>64000</v>
      </c>
      <c r="I7" s="871">
        <f>H7/G7-1</f>
        <v>-1.1247064639723137E-2</v>
      </c>
      <c r="J7" s="741">
        <v>64000</v>
      </c>
      <c r="K7" s="741">
        <f>'Income Statement'!CO11</f>
        <v>64000</v>
      </c>
      <c r="L7" s="857">
        <f>K7/J7-1</f>
        <v>0</v>
      </c>
      <c r="M7" s="699"/>
      <c r="N7" s="898"/>
      <c r="O7" s="899"/>
      <c r="P7" s="900"/>
      <c r="Q7" s="899"/>
      <c r="R7" s="899"/>
      <c r="S7" s="900"/>
    </row>
    <row r="8" spans="2:19" s="228" customFormat="1" ht="12.95" customHeight="1">
      <c r="B8" s="767" t="s">
        <v>47</v>
      </c>
      <c r="C8" s="701"/>
      <c r="D8" s="741">
        <f>'Income Statement'!CJ14</f>
        <v>115018</v>
      </c>
      <c r="E8" s="742">
        <f>K8</f>
        <v>109500</v>
      </c>
      <c r="F8" s="857">
        <f>E8/D8-1</f>
        <v>-4.7975099549635747E-2</v>
      </c>
      <c r="G8" s="741">
        <f>'Income Statement'!CN14</f>
        <v>111312</v>
      </c>
      <c r="H8" s="743">
        <f>K8</f>
        <v>109500</v>
      </c>
      <c r="I8" s="857">
        <f>H8/G8-1</f>
        <v>-1.6278568348426004E-2</v>
      </c>
      <c r="J8" s="741">
        <v>109500</v>
      </c>
      <c r="K8" s="741">
        <f>'Income Statement'!CO14</f>
        <v>109500</v>
      </c>
      <c r="L8" s="857">
        <f>K8/J8-1</f>
        <v>0</v>
      </c>
      <c r="M8" s="699"/>
      <c r="N8" s="898"/>
      <c r="O8" s="899"/>
      <c r="P8" s="900"/>
      <c r="Q8" s="899"/>
      <c r="R8" s="899"/>
      <c r="S8" s="900"/>
    </row>
    <row r="9" spans="2:19" s="228" customFormat="1" ht="12.95" hidden="1" customHeight="1">
      <c r="B9" s="767" t="s">
        <v>758</v>
      </c>
      <c r="C9" s="701"/>
      <c r="D9" s="741">
        <f>'Income Statement'!CJ17</f>
        <v>0</v>
      </c>
      <c r="E9" s="742">
        <f t="shared" ref="E9" si="0">K9</f>
        <v>0</v>
      </c>
      <c r="F9" s="857" t="e">
        <f t="shared" ref="F9" si="1">E9/D9-1</f>
        <v>#DIV/0!</v>
      </c>
      <c r="G9" s="741">
        <f>'Income Statement'!CN17</f>
        <v>0</v>
      </c>
      <c r="H9" s="743">
        <f t="shared" ref="H9" si="2">K9</f>
        <v>0</v>
      </c>
      <c r="I9" s="857" t="e">
        <f t="shared" ref="I9" si="3">H9/G9-1</f>
        <v>#DIV/0!</v>
      </c>
      <c r="J9" s="741">
        <v>0</v>
      </c>
      <c r="K9" s="741">
        <f>'Income Statement'!CO17</f>
        <v>0</v>
      </c>
      <c r="L9" s="857" t="e">
        <f t="shared" ref="L9" si="4">K9/J9-1</f>
        <v>#DIV/0!</v>
      </c>
      <c r="M9" s="699"/>
      <c r="N9" s="901"/>
      <c r="O9" s="902"/>
      <c r="P9" s="903"/>
      <c r="Q9" s="902"/>
      <c r="R9" s="902"/>
      <c r="S9" s="903"/>
    </row>
    <row r="10" spans="2:19" s="228" customFormat="1" ht="12.95" customHeight="1">
      <c r="B10" s="767" t="s">
        <v>52</v>
      </c>
      <c r="C10" s="701"/>
      <c r="D10" s="741">
        <f>'Income Statement'!CJ20</f>
        <v>8376</v>
      </c>
      <c r="E10" s="742">
        <f>K10</f>
        <v>6500</v>
      </c>
      <c r="F10" s="857">
        <f>E10/D10-1</f>
        <v>-0.22397325692454628</v>
      </c>
      <c r="G10" s="741">
        <f>'Income Statement'!CN20</f>
        <v>13645</v>
      </c>
      <c r="H10" s="743">
        <f>K10</f>
        <v>6500</v>
      </c>
      <c r="I10" s="857">
        <f>H10/G10-1</f>
        <v>-0.52363503114694021</v>
      </c>
      <c r="J10" s="741">
        <v>6500</v>
      </c>
      <c r="K10" s="741">
        <f>'Income Statement'!CO20</f>
        <v>6500</v>
      </c>
      <c r="L10" s="857">
        <f>K10/J10-1</f>
        <v>0</v>
      </c>
      <c r="M10" s="699"/>
      <c r="N10" s="901"/>
      <c r="O10" s="902"/>
      <c r="P10" s="903"/>
      <c r="Q10" s="902"/>
      <c r="R10" s="902"/>
      <c r="S10" s="903"/>
    </row>
    <row r="11" spans="2:19" ht="12.95" customHeight="1">
      <c r="B11" s="966" t="s">
        <v>358</v>
      </c>
      <c r="C11" s="967"/>
      <c r="D11" s="968">
        <f>SUM(D5:D10)</f>
        <v>541131</v>
      </c>
      <c r="E11" s="968">
        <f>K11</f>
        <v>590158.03399999999</v>
      </c>
      <c r="F11" s="969">
        <f>E11/D11-1</f>
        <v>9.0601044848659607E-2</v>
      </c>
      <c r="G11" s="968">
        <f>SUM(G5:G10)</f>
        <v>595879</v>
      </c>
      <c r="H11" s="968">
        <f>K11</f>
        <v>590158.03399999999</v>
      </c>
      <c r="I11" s="970">
        <f>H11/G11-1</f>
        <v>-9.6008854146563127E-3</v>
      </c>
      <c r="J11" s="968">
        <v>590158.03399999999</v>
      </c>
      <c r="K11" s="968">
        <f>SUM(K5:K10)</f>
        <v>590158.03399999999</v>
      </c>
      <c r="L11" s="971">
        <f>K11/J11-1</f>
        <v>0</v>
      </c>
      <c r="M11" s="697"/>
      <c r="N11" s="972"/>
      <c r="O11" s="968"/>
      <c r="P11" s="973"/>
      <c r="Q11" s="968"/>
      <c r="R11" s="968"/>
      <c r="S11" s="973"/>
    </row>
    <row r="12" spans="2:19" ht="7.5" customHeight="1">
      <c r="B12" s="768"/>
      <c r="C12" s="701"/>
      <c r="D12" s="744"/>
      <c r="E12" s="744"/>
      <c r="F12" s="858"/>
      <c r="G12" s="744"/>
      <c r="H12" s="744"/>
      <c r="I12" s="872"/>
      <c r="J12" s="744"/>
      <c r="K12" s="744"/>
      <c r="L12" s="865"/>
      <c r="M12" s="697"/>
      <c r="N12" s="901"/>
      <c r="O12" s="902"/>
      <c r="P12" s="903"/>
      <c r="Q12" s="902"/>
      <c r="R12" s="902"/>
      <c r="S12" s="903"/>
    </row>
    <row r="13" spans="2:19" ht="12.95" customHeight="1">
      <c r="B13" s="768" t="s">
        <v>24</v>
      </c>
      <c r="C13" s="701"/>
      <c r="D13" s="745"/>
      <c r="E13" s="745"/>
      <c r="F13" s="858"/>
      <c r="G13" s="745"/>
      <c r="H13" s="745"/>
      <c r="I13" s="872"/>
      <c r="J13" s="745"/>
      <c r="K13" s="745"/>
      <c r="L13" s="865"/>
      <c r="M13" s="698"/>
      <c r="N13" s="904"/>
      <c r="O13" s="905"/>
      <c r="P13" s="906"/>
      <c r="Q13" s="905"/>
      <c r="R13" s="905"/>
      <c r="S13" s="906"/>
    </row>
    <row r="14" spans="2:19" ht="12.95" customHeight="1">
      <c r="B14" s="767" t="s">
        <v>53</v>
      </c>
      <c r="C14" s="701"/>
      <c r="D14" s="745">
        <f>'Income Statement'!CJ28</f>
        <v>1282</v>
      </c>
      <c r="E14" s="745">
        <f>K14</f>
        <v>2588</v>
      </c>
      <c r="F14" s="857">
        <f>E14/D14-1</f>
        <v>1.0187207488299532</v>
      </c>
      <c r="G14" s="745">
        <f>'Income Statement'!CN28</f>
        <v>1669</v>
      </c>
      <c r="H14" s="745">
        <f>K14</f>
        <v>2588</v>
      </c>
      <c r="I14" s="857">
        <f>H14/G14-1</f>
        <v>0.55062911923307367</v>
      </c>
      <c r="J14" s="745">
        <v>1854.9999999999998</v>
      </c>
      <c r="K14" s="745">
        <f>'Income Statement'!CO28</f>
        <v>2588</v>
      </c>
      <c r="L14" s="857">
        <f>K14/J14-1</f>
        <v>0.39514824797843673</v>
      </c>
      <c r="M14" s="698"/>
      <c r="N14" s="907"/>
      <c r="O14" s="908"/>
      <c r="P14" s="909"/>
      <c r="Q14" s="908"/>
      <c r="R14" s="908"/>
      <c r="S14" s="909"/>
    </row>
    <row r="15" spans="2:19" ht="12.95" hidden="1" customHeight="1" outlineLevel="1">
      <c r="B15" s="767" t="s">
        <v>401</v>
      </c>
      <c r="C15" s="701"/>
      <c r="D15" s="745">
        <f>'Income Statement'!BP30</f>
        <v>0</v>
      </c>
      <c r="E15" s="745">
        <f t="shared" ref="E15:E17" si="5">K15</f>
        <v>0</v>
      </c>
      <c r="F15" s="857"/>
      <c r="G15" s="745">
        <f>'Income Statement'!BS30</f>
        <v>0</v>
      </c>
      <c r="H15" s="745">
        <f t="shared" ref="H15:H17" si="6">K15</f>
        <v>0</v>
      </c>
      <c r="I15" s="857"/>
      <c r="J15" s="745">
        <v>0</v>
      </c>
      <c r="K15" s="745">
        <f>'Income Statement'!BU30</f>
        <v>0</v>
      </c>
      <c r="L15" s="857"/>
      <c r="M15" s="698"/>
      <c r="N15" s="910"/>
      <c r="O15" s="911"/>
      <c r="P15" s="912"/>
      <c r="Q15" s="911"/>
      <c r="R15" s="911"/>
      <c r="S15" s="912"/>
    </row>
    <row r="16" spans="2:19" ht="12.95" customHeight="1" collapsed="1">
      <c r="B16" s="767" t="s">
        <v>760</v>
      </c>
      <c r="C16" s="701"/>
      <c r="D16" s="745">
        <f>'Income Statement'!CJ32</f>
        <v>279671</v>
      </c>
      <c r="E16" s="745">
        <f>K16</f>
        <v>285538</v>
      </c>
      <c r="F16" s="857">
        <f>E16/D16-1</f>
        <v>2.0978220838056227E-2</v>
      </c>
      <c r="G16" s="745">
        <f>'Income Statement'!CN32</f>
        <v>285958</v>
      </c>
      <c r="H16" s="745">
        <f>K16</f>
        <v>285538</v>
      </c>
      <c r="I16" s="857">
        <f>H16/G16-1</f>
        <v>-1.4687471586736223E-3</v>
      </c>
      <c r="J16" s="745">
        <v>286287.22683</v>
      </c>
      <c r="K16" s="745">
        <f>'Income Statement'!CO32</f>
        <v>285538</v>
      </c>
      <c r="L16" s="857">
        <f>K16/J16-1</f>
        <v>-2.6170459586899453E-3</v>
      </c>
      <c r="M16" s="698"/>
      <c r="N16" s="913"/>
      <c r="O16" s="914"/>
      <c r="P16" s="915"/>
      <c r="Q16" s="914"/>
      <c r="R16" s="914"/>
      <c r="S16" s="915"/>
    </row>
    <row r="17" spans="2:34" ht="12.95" hidden="1" customHeight="1">
      <c r="B17" s="767" t="s">
        <v>55</v>
      </c>
      <c r="C17" s="701"/>
      <c r="D17" s="745">
        <f>'Income Statement'!CJ34</f>
        <v>0</v>
      </c>
      <c r="E17" s="745">
        <f t="shared" si="5"/>
        <v>0</v>
      </c>
      <c r="F17" s="857" t="e">
        <f>E17/D17-1</f>
        <v>#DIV/0!</v>
      </c>
      <c r="G17" s="745">
        <f>'Income Statement'!CN34</f>
        <v>0</v>
      </c>
      <c r="H17" s="745">
        <f t="shared" si="6"/>
        <v>0</v>
      </c>
      <c r="I17" s="857" t="e">
        <f>H17/G17-1</f>
        <v>#DIV/0!</v>
      </c>
      <c r="J17" s="745">
        <v>0</v>
      </c>
      <c r="K17" s="745">
        <f>'Income Statement'!CO34</f>
        <v>0</v>
      </c>
      <c r="L17" s="857" t="e">
        <f>K17/J17-1</f>
        <v>#DIV/0!</v>
      </c>
      <c r="M17" s="698"/>
      <c r="N17" s="916"/>
      <c r="O17" s="917"/>
      <c r="P17" s="918"/>
      <c r="Q17" s="917"/>
      <c r="R17" s="917"/>
      <c r="S17" s="918"/>
    </row>
    <row r="18" spans="2:34" ht="12.95" customHeight="1">
      <c r="B18" s="767" t="s">
        <v>759</v>
      </c>
      <c r="C18" s="701"/>
      <c r="D18" s="745">
        <f>'Income Statement'!CJ36</f>
        <v>5778</v>
      </c>
      <c r="E18" s="745">
        <f>K18</f>
        <v>6407</v>
      </c>
      <c r="F18" s="857">
        <f>E18/D18-1</f>
        <v>0.10886119764624436</v>
      </c>
      <c r="G18" s="745">
        <f>'Income Statement'!CN36</f>
        <v>8117</v>
      </c>
      <c r="H18" s="745">
        <f>K18</f>
        <v>6407</v>
      </c>
      <c r="I18" s="857">
        <f>H18/G18-1</f>
        <v>-0.21066896636688437</v>
      </c>
      <c r="J18" s="745">
        <v>4875</v>
      </c>
      <c r="K18" s="745">
        <f>'Income Statement'!CO36</f>
        <v>6407</v>
      </c>
      <c r="L18" s="857">
        <f>K18/J18-1</f>
        <v>0.31425641025641027</v>
      </c>
      <c r="M18" s="698"/>
      <c r="N18" s="916"/>
      <c r="O18" s="917"/>
      <c r="P18" s="918"/>
      <c r="Q18" s="917"/>
      <c r="R18" s="917"/>
      <c r="S18" s="918"/>
    </row>
    <row r="19" spans="2:34" ht="12.95" customHeight="1" thickBot="1">
      <c r="B19" s="772" t="s">
        <v>766</v>
      </c>
      <c r="C19" s="761"/>
      <c r="D19" s="890">
        <f>SUM(D14:D18)</f>
        <v>286731</v>
      </c>
      <c r="E19" s="890">
        <f>K19</f>
        <v>294533</v>
      </c>
      <c r="F19" s="859">
        <f>E19/D19-1</f>
        <v>2.7210172600800053E-2</v>
      </c>
      <c r="G19" s="890">
        <f>SUM(G14:G18)</f>
        <v>295744</v>
      </c>
      <c r="H19" s="890">
        <f>K19</f>
        <v>294533</v>
      </c>
      <c r="I19" s="859">
        <f>H19/G19-1</f>
        <v>-4.0947576282189813E-3</v>
      </c>
      <c r="J19" s="890">
        <v>293017.22683</v>
      </c>
      <c r="K19" s="890">
        <f>SUM(K14:K18)</f>
        <v>294533</v>
      </c>
      <c r="L19" s="859">
        <f>K19/J19-1</f>
        <v>5.1729831259355041E-3</v>
      </c>
      <c r="M19" s="698"/>
      <c r="N19" s="916"/>
      <c r="O19" s="917"/>
      <c r="P19" s="918"/>
      <c r="Q19" s="917"/>
      <c r="R19" s="917"/>
      <c r="S19" s="918"/>
    </row>
    <row r="20" spans="2:34" ht="7.5" customHeight="1" thickBot="1">
      <c r="B20" s="769"/>
      <c r="C20" s="700"/>
      <c r="D20" s="745"/>
      <c r="E20" s="745"/>
      <c r="F20" s="858"/>
      <c r="G20" s="745"/>
      <c r="H20" s="745"/>
      <c r="I20" s="872"/>
      <c r="J20" s="745"/>
      <c r="K20" s="745"/>
      <c r="L20" s="866"/>
      <c r="M20" s="698"/>
      <c r="N20" s="916"/>
      <c r="O20" s="917"/>
      <c r="P20" s="918"/>
      <c r="Q20" s="917"/>
      <c r="R20" s="917"/>
      <c r="S20" s="918"/>
      <c r="AC20" s="1119" t="s">
        <v>1001</v>
      </c>
      <c r="AD20" s="1119" t="s">
        <v>1002</v>
      </c>
      <c r="AE20" s="1120" t="s">
        <v>1003</v>
      </c>
      <c r="AF20" s="1119"/>
      <c r="AG20" s="1119"/>
      <c r="AH20" s="1119"/>
    </row>
    <row r="21" spans="2:34" ht="12.95" customHeight="1" thickBot="1">
      <c r="B21" s="974" t="s">
        <v>27</v>
      </c>
      <c r="C21" s="967"/>
      <c r="D21" s="975">
        <f>D11-D19</f>
        <v>254400</v>
      </c>
      <c r="E21" s="975">
        <f>K21</f>
        <v>295625.03399999999</v>
      </c>
      <c r="F21" s="971">
        <f>E21/D21-1</f>
        <v>0.1620480896226415</v>
      </c>
      <c r="G21" s="975">
        <f>G11-G19</f>
        <v>300135</v>
      </c>
      <c r="H21" s="975">
        <f>K21</f>
        <v>295625.03399999999</v>
      </c>
      <c r="I21" s="976">
        <f>H21/G21-1</f>
        <v>-1.5026458093857831E-2</v>
      </c>
      <c r="J21" s="975">
        <v>297140.80716999999</v>
      </c>
      <c r="K21" s="975">
        <f>K11-K19</f>
        <v>295625.03399999999</v>
      </c>
      <c r="L21" s="865">
        <f>K21/J21-1</f>
        <v>-5.1011948996045886E-3</v>
      </c>
      <c r="M21" s="698"/>
      <c r="N21" s="977"/>
      <c r="O21" s="975"/>
      <c r="P21" s="978"/>
      <c r="Q21" s="975"/>
      <c r="R21" s="975"/>
      <c r="S21" s="978"/>
      <c r="AC21" s="1119" t="s">
        <v>1004</v>
      </c>
      <c r="AD21" s="1119" t="s">
        <v>1005</v>
      </c>
      <c r="AE21" s="1120" t="s">
        <v>1006</v>
      </c>
      <c r="AF21" s="1119"/>
      <c r="AG21" s="1119"/>
      <c r="AH21" s="1119"/>
    </row>
    <row r="22" spans="2:34" s="762" customFormat="1" ht="12.95" customHeight="1" thickBot="1">
      <c r="B22" s="770" t="s">
        <v>25</v>
      </c>
      <c r="C22" s="763"/>
      <c r="D22" s="764">
        <f>D21/D11</f>
        <v>0.47012645736429809</v>
      </c>
      <c r="E22" s="764">
        <f>K22</f>
        <v>0.50092520472236768</v>
      </c>
      <c r="F22" s="1116">
        <f>E22-D22</f>
        <v>3.0798747358069589E-2</v>
      </c>
      <c r="G22" s="764">
        <f>G21/G11</f>
        <v>0.50368447285438822</v>
      </c>
      <c r="H22" s="764">
        <f>K22</f>
        <v>0.50092520472236768</v>
      </c>
      <c r="I22" s="873"/>
      <c r="J22" s="764">
        <v>0.5034936238282236</v>
      </c>
      <c r="K22" s="764">
        <f>K21/K11</f>
        <v>0.50092520472236768</v>
      </c>
      <c r="L22" s="860"/>
      <c r="M22" s="765"/>
      <c r="N22" s="979"/>
      <c r="O22" s="764"/>
      <c r="P22" s="965"/>
      <c r="Q22" s="764"/>
      <c r="R22" s="764"/>
      <c r="S22" s="965"/>
      <c r="AC22" s="1119" t="s">
        <v>1007</v>
      </c>
      <c r="AD22" s="1119" t="s">
        <v>1008</v>
      </c>
      <c r="AE22" s="1120" t="s">
        <v>1009</v>
      </c>
      <c r="AF22" s="1119"/>
      <c r="AG22" s="1119"/>
      <c r="AH22" s="1119"/>
    </row>
    <row r="23" spans="2:34" ht="7.5" customHeight="1" thickBot="1">
      <c r="B23" s="769"/>
      <c r="C23" s="700"/>
      <c r="D23" s="746"/>
      <c r="E23" s="746"/>
      <c r="F23" s="861"/>
      <c r="G23" s="746"/>
      <c r="H23" s="747"/>
      <c r="I23" s="857"/>
      <c r="J23" s="746"/>
      <c r="K23" s="746"/>
      <c r="L23" s="865"/>
      <c r="M23" s="704"/>
      <c r="N23" s="919"/>
      <c r="O23" s="920"/>
      <c r="P23" s="921"/>
      <c r="Q23" s="920"/>
      <c r="R23" s="920"/>
      <c r="S23" s="921"/>
      <c r="AC23" s="1119" t="s">
        <v>1010</v>
      </c>
      <c r="AD23" s="1119" t="s">
        <v>1011</v>
      </c>
      <c r="AE23" s="1120" t="s">
        <v>1012</v>
      </c>
      <c r="AF23" s="1119"/>
      <c r="AG23" s="1119"/>
      <c r="AH23" s="1119"/>
    </row>
    <row r="24" spans="2:34" ht="12.95" customHeight="1" thickBot="1">
      <c r="B24" s="768" t="s">
        <v>28</v>
      </c>
      <c r="C24" s="701"/>
      <c r="D24" s="747"/>
      <c r="E24" s="747"/>
      <c r="F24" s="857"/>
      <c r="G24" s="747"/>
      <c r="H24" s="747"/>
      <c r="I24" s="857"/>
      <c r="J24" s="747"/>
      <c r="K24" s="747"/>
      <c r="L24" s="865"/>
      <c r="M24" s="704"/>
      <c r="N24" s="922"/>
      <c r="O24" s="923"/>
      <c r="P24" s="924"/>
      <c r="Q24" s="923"/>
      <c r="R24" s="923"/>
      <c r="S24" s="924"/>
      <c r="AC24" s="1119" t="s">
        <v>1013</v>
      </c>
      <c r="AD24" s="1119" t="s">
        <v>1014</v>
      </c>
      <c r="AE24" s="1120" t="s">
        <v>1015</v>
      </c>
      <c r="AF24" s="1119"/>
      <c r="AG24" s="1119"/>
      <c r="AH24" s="1119"/>
    </row>
    <row r="25" spans="2:34" ht="12.95" customHeight="1">
      <c r="B25" s="769" t="s">
        <v>402</v>
      </c>
      <c r="C25" s="700"/>
      <c r="D25" s="748">
        <f>'Income Statement'!CJ44+'Income Statement'!CJ46</f>
        <v>93194</v>
      </c>
      <c r="E25" s="748">
        <f>K25</f>
        <v>91755</v>
      </c>
      <c r="F25" s="862">
        <f>E25/D25-1</f>
        <v>-1.5440908212975057E-2</v>
      </c>
      <c r="G25" s="748">
        <f>'Income Statement'!CN44+'Income Statement'!CN46</f>
        <v>93489</v>
      </c>
      <c r="H25" s="748">
        <f>K25</f>
        <v>91755</v>
      </c>
      <c r="I25" s="874">
        <f>H25/G25-1</f>
        <v>-1.8547636620351082E-2</v>
      </c>
      <c r="J25" s="748">
        <v>98556.391678</v>
      </c>
      <c r="K25" s="748">
        <f>'Income Statement'!CO44+'Income Statement'!CO46</f>
        <v>91755</v>
      </c>
      <c r="L25" s="865">
        <f>K25/J25-1</f>
        <v>-6.9010153093076565E-2</v>
      </c>
      <c r="M25" s="706"/>
      <c r="N25" s="925"/>
      <c r="O25" s="926"/>
      <c r="P25" s="927"/>
      <c r="Q25" s="926"/>
      <c r="R25" s="926"/>
      <c r="S25" s="927"/>
    </row>
    <row r="26" spans="2:34" ht="12.95" customHeight="1">
      <c r="B26" s="771" t="s">
        <v>396</v>
      </c>
      <c r="C26" s="697"/>
      <c r="D26" s="748">
        <f>'Income Statement'!CJ48</f>
        <v>29435</v>
      </c>
      <c r="E26" s="748">
        <f>K26</f>
        <v>50364</v>
      </c>
      <c r="F26" s="862">
        <f>E26/D26-1</f>
        <v>0.71102429081025997</v>
      </c>
      <c r="G26" s="748">
        <f>'Income Statement'!CN48</f>
        <v>48038</v>
      </c>
      <c r="H26" s="748">
        <f>K26</f>
        <v>50364</v>
      </c>
      <c r="I26" s="874">
        <f>H26/G26-1</f>
        <v>4.8420000832674059E-2</v>
      </c>
      <c r="J26" s="748">
        <v>50163.432890000004</v>
      </c>
      <c r="K26" s="748">
        <f>'Income Statement'!CO48</f>
        <v>50364</v>
      </c>
      <c r="L26" s="1115">
        <f>K26/J26-1</f>
        <v>3.9982732130754428E-3</v>
      </c>
      <c r="M26" s="706"/>
      <c r="N26" s="925"/>
      <c r="O26" s="926"/>
      <c r="P26" s="927"/>
      <c r="Q26" s="926"/>
      <c r="R26" s="926"/>
      <c r="S26" s="927"/>
    </row>
    <row r="27" spans="2:34" ht="12.95" hidden="1" customHeight="1" outlineLevel="1">
      <c r="B27" s="771" t="s">
        <v>406</v>
      </c>
      <c r="C27" s="697"/>
      <c r="D27" s="748">
        <f>'Income Statement'!BP50</f>
        <v>0</v>
      </c>
      <c r="E27" s="748">
        <f>K27</f>
        <v>0</v>
      </c>
      <c r="F27" s="862"/>
      <c r="G27" s="748">
        <f>'Income Statement'!BS50</f>
        <v>0</v>
      </c>
      <c r="H27" s="748">
        <f>K27</f>
        <v>0</v>
      </c>
      <c r="I27" s="874"/>
      <c r="J27" s="748">
        <v>0</v>
      </c>
      <c r="K27" s="748">
        <f>'Income Statement'!AU50</f>
        <v>0</v>
      </c>
      <c r="L27" s="866"/>
      <c r="M27" s="706"/>
      <c r="N27" s="928"/>
      <c r="O27" s="929"/>
      <c r="P27" s="930"/>
      <c r="Q27" s="929"/>
      <c r="R27" s="929"/>
      <c r="S27" s="930"/>
    </row>
    <row r="28" spans="2:34" ht="12.95" customHeight="1" collapsed="1">
      <c r="B28" s="772" t="s">
        <v>397</v>
      </c>
      <c r="C28" s="761"/>
      <c r="D28" s="773">
        <f>SUM(D25:D27)</f>
        <v>122629</v>
      </c>
      <c r="E28" s="773">
        <f>K28</f>
        <v>142119</v>
      </c>
      <c r="F28" s="863">
        <f>E28/D28-1</f>
        <v>0.15893467287509488</v>
      </c>
      <c r="G28" s="773">
        <f>SUM(G25:G27)</f>
        <v>141527</v>
      </c>
      <c r="H28" s="773">
        <f>K28</f>
        <v>142119</v>
      </c>
      <c r="I28" s="875">
        <f>H28/G28-1</f>
        <v>4.1829474234598152E-3</v>
      </c>
      <c r="J28" s="773">
        <v>148719.82456800001</v>
      </c>
      <c r="K28" s="773">
        <f>SUM(K25:K27)</f>
        <v>142119</v>
      </c>
      <c r="L28" s="865">
        <f>K28/J28-1</f>
        <v>-4.4384295013620623E-2</v>
      </c>
      <c r="M28" s="707"/>
      <c r="N28" s="977"/>
      <c r="O28" s="975"/>
      <c r="P28" s="978"/>
      <c r="Q28" s="975"/>
      <c r="R28" s="975"/>
      <c r="S28" s="978"/>
    </row>
    <row r="29" spans="2:34" ht="7.5" customHeight="1">
      <c r="B29" s="769"/>
      <c r="C29" s="700"/>
      <c r="D29" s="748"/>
      <c r="E29" s="748"/>
      <c r="F29" s="862"/>
      <c r="G29" s="748"/>
      <c r="H29" s="748"/>
      <c r="I29" s="874"/>
      <c r="J29" s="748"/>
      <c r="K29" s="748"/>
      <c r="L29" s="865"/>
      <c r="M29" s="697"/>
      <c r="N29" s="916"/>
      <c r="O29" s="917"/>
      <c r="P29" s="918"/>
      <c r="Q29" s="917"/>
      <c r="R29" s="917"/>
      <c r="S29" s="918"/>
    </row>
    <row r="30" spans="2:34" ht="12.95" customHeight="1">
      <c r="B30" s="768" t="s">
        <v>767</v>
      </c>
      <c r="C30" s="701"/>
      <c r="D30" s="766">
        <f>D21-D28</f>
        <v>131771</v>
      </c>
      <c r="E30" s="766">
        <f>K30</f>
        <v>153506.03399999999</v>
      </c>
      <c r="F30" s="862">
        <f>E30/D30-1</f>
        <v>0.16494550394244545</v>
      </c>
      <c r="G30" s="766">
        <f>G21-G28</f>
        <v>158608</v>
      </c>
      <c r="H30" s="766">
        <f>K30</f>
        <v>153506.03399999999</v>
      </c>
      <c r="I30" s="874">
        <f>H30/G30-1</f>
        <v>-3.2167141632200247E-2</v>
      </c>
      <c r="J30" s="766">
        <v>148420.98260199997</v>
      </c>
      <c r="K30" s="766">
        <f>K21-K28</f>
        <v>153506.03399999999</v>
      </c>
      <c r="L30" s="865">
        <f>K30/J30-1</f>
        <v>3.4261000761838911E-2</v>
      </c>
      <c r="M30" s="708"/>
      <c r="N30" s="982"/>
      <c r="O30" s="980"/>
      <c r="P30" s="981"/>
      <c r="Q30" s="980"/>
      <c r="R30" s="980"/>
      <c r="S30" s="981"/>
    </row>
    <row r="31" spans="2:34" s="229" customFormat="1" ht="12.95" customHeight="1">
      <c r="B31" s="774" t="s">
        <v>434</v>
      </c>
      <c r="C31" s="740"/>
      <c r="D31" s="749">
        <f>D30/D11</f>
        <v>0.24351035146757438</v>
      </c>
      <c r="E31" s="749">
        <f>K31</f>
        <v>0.26011004706579999</v>
      </c>
      <c r="F31" s="1116">
        <f>E31-D31</f>
        <v>1.6599695598225606E-2</v>
      </c>
      <c r="G31" s="749">
        <f>G30/G11</f>
        <v>0.2661748442217296</v>
      </c>
      <c r="H31" s="749">
        <f>K31</f>
        <v>0.26011004706579999</v>
      </c>
      <c r="I31" s="874"/>
      <c r="J31" s="749">
        <v>0.2514936238282236</v>
      </c>
      <c r="K31" s="749">
        <f>K30/K11</f>
        <v>0.26011004706579999</v>
      </c>
      <c r="L31" s="865"/>
      <c r="M31" s="709"/>
      <c r="N31" s="979"/>
      <c r="O31" s="764"/>
      <c r="P31" s="965"/>
      <c r="Q31" s="764"/>
      <c r="R31" s="764"/>
      <c r="S31" s="965"/>
    </row>
    <row r="32" spans="2:34" s="229" customFormat="1" ht="7.5" customHeight="1">
      <c r="B32" s="775"/>
      <c r="C32" s="740"/>
      <c r="D32" s="750"/>
      <c r="E32" s="751"/>
      <c r="F32" s="862"/>
      <c r="G32" s="750"/>
      <c r="H32" s="750"/>
      <c r="I32" s="874"/>
      <c r="J32" s="750"/>
      <c r="K32" s="750"/>
      <c r="L32" s="865"/>
      <c r="M32" s="709"/>
      <c r="N32" s="928"/>
      <c r="O32" s="929"/>
      <c r="P32" s="930"/>
      <c r="Q32" s="929"/>
      <c r="R32" s="929"/>
      <c r="S32" s="930"/>
    </row>
    <row r="33" spans="2:19" ht="12.95" customHeight="1">
      <c r="B33" s="769" t="s">
        <v>429</v>
      </c>
      <c r="C33" s="700"/>
      <c r="D33" s="752">
        <f>'Income Statement'!CJ64</f>
        <v>60085</v>
      </c>
      <c r="E33" s="752">
        <f>K33</f>
        <v>63552</v>
      </c>
      <c r="F33" s="862">
        <f>E33/D33-1</f>
        <v>5.770158941499548E-2</v>
      </c>
      <c r="G33" s="752">
        <f>'Income Statement'!CN64</f>
        <v>60676</v>
      </c>
      <c r="H33" s="752">
        <f>K33</f>
        <v>63552</v>
      </c>
      <c r="I33" s="862">
        <f>H33/G33-1</f>
        <v>4.7399301206407785E-2</v>
      </c>
      <c r="J33" s="752">
        <v>62000</v>
      </c>
      <c r="K33" s="752">
        <f>'Income Statement'!CO64</f>
        <v>63552</v>
      </c>
      <c r="L33" s="865">
        <f>K33/J33-1</f>
        <v>2.5032258064516144E-2</v>
      </c>
      <c r="M33" s="710"/>
      <c r="N33" s="931"/>
      <c r="O33" s="932"/>
      <c r="P33" s="933"/>
      <c r="Q33" s="932"/>
      <c r="R33" s="932"/>
      <c r="S33" s="933"/>
    </row>
    <row r="34" spans="2:19" ht="7.5" customHeight="1">
      <c r="B34" s="769"/>
      <c r="C34" s="700"/>
      <c r="D34" s="752"/>
      <c r="E34" s="753"/>
      <c r="F34" s="864"/>
      <c r="G34" s="752"/>
      <c r="H34" s="753"/>
      <c r="I34" s="876"/>
      <c r="J34" s="752"/>
      <c r="K34" s="752"/>
      <c r="L34" s="885"/>
      <c r="M34" s="710"/>
      <c r="N34" s="934"/>
      <c r="O34" s="935"/>
      <c r="P34" s="936"/>
      <c r="Q34" s="935"/>
      <c r="R34" s="935"/>
      <c r="S34" s="936"/>
    </row>
    <row r="35" spans="2:19" ht="12.95" customHeight="1">
      <c r="B35" s="769" t="s">
        <v>32</v>
      </c>
      <c r="C35" s="700"/>
      <c r="D35" s="752">
        <f>D30-D33</f>
        <v>71686</v>
      </c>
      <c r="E35" s="752">
        <f>K35</f>
        <v>89954.033999999985</v>
      </c>
      <c r="F35" s="862">
        <f>E35/D35-1</f>
        <v>0.25483405406913473</v>
      </c>
      <c r="G35" s="752">
        <f>G30-G33</f>
        <v>97932</v>
      </c>
      <c r="H35" s="752">
        <f>K35</f>
        <v>89954.033999999985</v>
      </c>
      <c r="I35" s="862">
        <f>H35/G35-1</f>
        <v>-8.146434260507307E-2</v>
      </c>
      <c r="J35" s="752">
        <v>86420.982601999975</v>
      </c>
      <c r="K35" s="752">
        <f>K30-K33</f>
        <v>89954.033999999985</v>
      </c>
      <c r="L35" s="865">
        <f>K35/J35-1</f>
        <v>4.088187025448442E-2</v>
      </c>
      <c r="M35" s="710"/>
      <c r="N35" s="937"/>
      <c r="O35" s="938"/>
      <c r="P35" s="939"/>
      <c r="Q35" s="938"/>
      <c r="R35" s="938"/>
      <c r="S35" s="939"/>
    </row>
    <row r="36" spans="2:19" s="229" customFormat="1" ht="12.95" customHeight="1">
      <c r="B36" s="774" t="s">
        <v>398</v>
      </c>
      <c r="C36" s="740"/>
      <c r="D36" s="749">
        <f>D35/D11</f>
        <v>0.13247439159833754</v>
      </c>
      <c r="E36" s="749">
        <f>K36</f>
        <v>0.15242363708972229</v>
      </c>
      <c r="F36" s="862"/>
      <c r="G36" s="749">
        <f>G35/G11</f>
        <v>0.16434880235752561</v>
      </c>
      <c r="H36" s="749">
        <f>K36</f>
        <v>0.15242363708972229</v>
      </c>
      <c r="I36" s="874"/>
      <c r="J36" s="749">
        <v>0.14643701792255864</v>
      </c>
      <c r="K36" s="749">
        <f>K35/K11</f>
        <v>0.15242363708972229</v>
      </c>
      <c r="L36" s="865"/>
      <c r="M36" s="709"/>
      <c r="N36" s="937"/>
      <c r="O36" s="938"/>
      <c r="P36" s="939"/>
      <c r="Q36" s="938"/>
      <c r="R36" s="938"/>
      <c r="S36" s="939"/>
    </row>
    <row r="37" spans="2:19" ht="7.5" customHeight="1">
      <c r="B37" s="768"/>
      <c r="C37" s="701"/>
      <c r="D37" s="748"/>
      <c r="E37" s="748"/>
      <c r="F37" s="862"/>
      <c r="G37" s="748"/>
      <c r="H37" s="748"/>
      <c r="I37" s="874"/>
      <c r="J37" s="748"/>
      <c r="K37" s="748"/>
      <c r="L37" s="865"/>
      <c r="M37" s="704"/>
      <c r="N37" s="940"/>
      <c r="O37" s="941"/>
      <c r="P37" s="942"/>
      <c r="Q37" s="941"/>
      <c r="R37" s="941"/>
      <c r="S37" s="942"/>
    </row>
    <row r="38" spans="2:19" ht="12.95" customHeight="1">
      <c r="B38" s="769" t="s">
        <v>399</v>
      </c>
      <c r="C38" s="701"/>
      <c r="D38" s="754">
        <f>'Income Statement'!CJ71</f>
        <v>5081</v>
      </c>
      <c r="E38" s="754">
        <f>K38</f>
        <v>9988</v>
      </c>
      <c r="F38" s="865">
        <f>E38/D38-1</f>
        <v>0.96575477268254284</v>
      </c>
      <c r="G38" s="754">
        <f>'Income Statement'!CN71</f>
        <v>9620</v>
      </c>
      <c r="H38" s="754">
        <f>K38</f>
        <v>9988</v>
      </c>
      <c r="I38" s="877">
        <f>H38/G38-1</f>
        <v>3.8253638253638256E-2</v>
      </c>
      <c r="J38" s="754">
        <v>5765</v>
      </c>
      <c r="K38" s="754">
        <f>'Income Statement'!CO71</f>
        <v>9988</v>
      </c>
      <c r="L38" s="865">
        <f>K38/J38-1</f>
        <v>0.73252385082393756</v>
      </c>
      <c r="M38" s="704"/>
      <c r="N38" s="943"/>
      <c r="O38" s="944"/>
      <c r="P38" s="945"/>
      <c r="Q38" s="944"/>
      <c r="R38" s="944"/>
      <c r="S38" s="945"/>
    </row>
    <row r="39" spans="2:19" ht="7.5" customHeight="1">
      <c r="B39" s="776"/>
      <c r="C39" s="712"/>
      <c r="D39" s="755"/>
      <c r="E39" s="756">
        <f>K39</f>
        <v>0</v>
      </c>
      <c r="F39" s="865"/>
      <c r="G39" s="755"/>
      <c r="H39" s="756">
        <f>K39</f>
        <v>0</v>
      </c>
      <c r="I39" s="877"/>
      <c r="J39" s="755"/>
      <c r="K39" s="755"/>
      <c r="L39" s="878"/>
      <c r="M39" s="697"/>
      <c r="N39" s="937"/>
      <c r="O39" s="938"/>
      <c r="P39" s="939"/>
      <c r="Q39" s="938"/>
      <c r="R39" s="938"/>
      <c r="S39" s="939"/>
    </row>
    <row r="40" spans="2:19" ht="12.95" customHeight="1">
      <c r="B40" s="776" t="s">
        <v>430</v>
      </c>
      <c r="C40" s="712"/>
      <c r="D40" s="743">
        <f>D30+D38</f>
        <v>136852</v>
      </c>
      <c r="E40" s="743">
        <f>K40</f>
        <v>163494.03399999999</v>
      </c>
      <c r="F40" s="865">
        <f>E40/D40-1</f>
        <v>0.19467771022710645</v>
      </c>
      <c r="G40" s="743">
        <f>G30+G38</f>
        <v>168228</v>
      </c>
      <c r="H40" s="743">
        <f>K40</f>
        <v>163494.03399999999</v>
      </c>
      <c r="I40" s="878">
        <f>H40/G40-1</f>
        <v>-2.8140178804955229E-2</v>
      </c>
      <c r="J40" s="743">
        <v>154185.98260199997</v>
      </c>
      <c r="K40" s="743">
        <f>K30+K38</f>
        <v>163494.03399999999</v>
      </c>
      <c r="L40" s="865">
        <f>K40/J40-1</f>
        <v>6.0368985824261756E-2</v>
      </c>
      <c r="M40" s="697"/>
      <c r="N40" s="937"/>
      <c r="O40" s="938"/>
      <c r="P40" s="939"/>
      <c r="Q40" s="938"/>
      <c r="R40" s="938"/>
      <c r="S40" s="939"/>
    </row>
    <row r="41" spans="2:19" ht="12.95" customHeight="1">
      <c r="B41" s="777" t="s">
        <v>36</v>
      </c>
      <c r="C41" s="714"/>
      <c r="D41" s="757">
        <f>'Income Statement'!CJ79</f>
        <v>30107</v>
      </c>
      <c r="E41" s="757">
        <f>K41</f>
        <v>33416</v>
      </c>
      <c r="F41" s="866">
        <f>E41/D41-1</f>
        <v>0.10990799481848068</v>
      </c>
      <c r="G41" s="757">
        <f>'Income Statement'!CN79</f>
        <v>37851</v>
      </c>
      <c r="H41" s="757">
        <f>K41</f>
        <v>33416</v>
      </c>
      <c r="I41" s="879">
        <f>H41/G41-1</f>
        <v>-0.1171699558796333</v>
      </c>
      <c r="J41" s="757">
        <v>34691.846085449994</v>
      </c>
      <c r="K41" s="757">
        <f>'Income Statement'!CO79</f>
        <v>33416</v>
      </c>
      <c r="L41" s="866">
        <f>K41/J41-1</f>
        <v>-3.6776540582690198E-2</v>
      </c>
      <c r="M41" s="697"/>
      <c r="N41" s="940"/>
      <c r="O41" s="941"/>
      <c r="P41" s="942"/>
      <c r="Q41" s="941"/>
      <c r="R41" s="941"/>
      <c r="S41" s="942"/>
    </row>
    <row r="42" spans="2:19" ht="12.95" customHeight="1">
      <c r="B42" s="778" t="s">
        <v>403</v>
      </c>
      <c r="C42" s="779"/>
      <c r="D42" s="780">
        <f>D40-D41</f>
        <v>106745</v>
      </c>
      <c r="E42" s="780">
        <f>K42</f>
        <v>130078.03399999999</v>
      </c>
      <c r="F42" s="867">
        <f>E42/D42-1</f>
        <v>0.21858666916483194</v>
      </c>
      <c r="G42" s="780">
        <f>G40-G41</f>
        <v>130377</v>
      </c>
      <c r="H42" s="780">
        <f>K42</f>
        <v>130078.03399999999</v>
      </c>
      <c r="I42" s="880">
        <f>H42/G42-1</f>
        <v>-2.2930885048744187E-3</v>
      </c>
      <c r="J42" s="780">
        <v>119494.13651654997</v>
      </c>
      <c r="K42" s="780">
        <f>K40-K41</f>
        <v>130078.03399999999</v>
      </c>
      <c r="L42" s="865">
        <f>K42/J42-1</f>
        <v>8.8572525748860764E-2</v>
      </c>
      <c r="M42" s="697"/>
      <c r="N42" s="940"/>
      <c r="O42" s="941"/>
      <c r="P42" s="942"/>
      <c r="Q42" s="941"/>
      <c r="R42" s="941"/>
      <c r="S42" s="942"/>
    </row>
    <row r="43" spans="2:19" ht="7.5" customHeight="1">
      <c r="B43" s="781"/>
      <c r="C43" s="715"/>
      <c r="D43" s="758"/>
      <c r="E43" s="758"/>
      <c r="F43" s="857"/>
      <c r="G43" s="758"/>
      <c r="H43" s="758"/>
      <c r="I43" s="871"/>
      <c r="J43" s="758"/>
      <c r="K43" s="758"/>
      <c r="L43" s="865"/>
      <c r="M43" s="697"/>
      <c r="N43" s="946"/>
      <c r="O43" s="947"/>
      <c r="P43" s="948"/>
      <c r="Q43" s="947"/>
      <c r="R43" s="947"/>
      <c r="S43" s="948"/>
    </row>
    <row r="44" spans="2:19" ht="12.95" customHeight="1">
      <c r="B44" s="776" t="s">
        <v>400</v>
      </c>
      <c r="C44" s="712"/>
      <c r="D44" s="743">
        <f>D35+D38</f>
        <v>76767</v>
      </c>
      <c r="E44" s="743">
        <f>K44</f>
        <v>99942.033999999985</v>
      </c>
      <c r="F44" s="865">
        <f>E44/D44-1</f>
        <v>0.30188797269660128</v>
      </c>
      <c r="G44" s="743">
        <f>G35+G38</f>
        <v>107552</v>
      </c>
      <c r="H44" s="743">
        <f>K44</f>
        <v>99942.033999999985</v>
      </c>
      <c r="I44" s="878">
        <f>H44/G44-1</f>
        <v>-7.0756155162154277E-2</v>
      </c>
      <c r="J44" s="743">
        <v>92185.982601999975</v>
      </c>
      <c r="K44" s="743">
        <f>K35+K38</f>
        <v>99942.033999999985</v>
      </c>
      <c r="L44" s="865">
        <f>K44/J44-1</f>
        <v>8.4134823745228848E-2</v>
      </c>
      <c r="M44" s="697"/>
      <c r="N44" s="949"/>
      <c r="O44" s="697"/>
      <c r="P44" s="950"/>
      <c r="Q44" s="891"/>
      <c r="R44" s="891"/>
      <c r="S44" s="951"/>
    </row>
    <row r="45" spans="2:19" ht="12.95" customHeight="1">
      <c r="B45" s="777" t="s">
        <v>36</v>
      </c>
      <c r="C45" s="714"/>
      <c r="D45" s="757">
        <f>'Income Statement'!CJ85</f>
        <v>11546</v>
      </c>
      <c r="E45" s="757">
        <f>K45</f>
        <v>19432</v>
      </c>
      <c r="F45" s="866">
        <f>E45/D45-1</f>
        <v>0.68300710202667592</v>
      </c>
      <c r="G45" s="757">
        <f>'Income Statement'!CN85</f>
        <v>23159</v>
      </c>
      <c r="H45" s="757">
        <f>K45</f>
        <v>19432</v>
      </c>
      <c r="I45" s="879">
        <f>H45/G45-1</f>
        <v>-0.16093095556802972</v>
      </c>
      <c r="J45" s="757">
        <v>19819.986259429996</v>
      </c>
      <c r="K45" s="757">
        <f>'Income Statement'!CO85</f>
        <v>19432</v>
      </c>
      <c r="L45" s="866">
        <f>K45/J45-1</f>
        <v>-1.9575505974198104E-2</v>
      </c>
      <c r="M45" s="697"/>
      <c r="N45" s="934"/>
      <c r="O45" s="697"/>
      <c r="P45" s="950"/>
      <c r="Q45" s="891"/>
      <c r="R45" s="891"/>
      <c r="S45" s="951"/>
    </row>
    <row r="46" spans="2:19" ht="12.95" customHeight="1">
      <c r="B46" s="782" t="s">
        <v>375</v>
      </c>
      <c r="C46" s="783"/>
      <c r="D46" s="784">
        <f>D44-D45</f>
        <v>65221</v>
      </c>
      <c r="E46" s="784">
        <f>K46</f>
        <v>80510.033999999985</v>
      </c>
      <c r="F46" s="867">
        <f>E46/D46-1</f>
        <v>0.23441888348844664</v>
      </c>
      <c r="G46" s="784">
        <f>G44-G45</f>
        <v>84393</v>
      </c>
      <c r="H46" s="784">
        <f>K46</f>
        <v>80510.033999999985</v>
      </c>
      <c r="I46" s="880">
        <f>H46/G46-1</f>
        <v>-4.6010522199708692E-2</v>
      </c>
      <c r="J46" s="784">
        <v>72365.996342569983</v>
      </c>
      <c r="K46" s="784">
        <f>K44-K45</f>
        <v>80510.033999999985</v>
      </c>
      <c r="L46" s="865">
        <f>K46/J46-1</f>
        <v>0.1125395637320783</v>
      </c>
      <c r="M46" s="697"/>
      <c r="N46" s="952"/>
      <c r="O46" s="697"/>
      <c r="P46" s="950"/>
      <c r="Q46" s="891"/>
      <c r="R46" s="891"/>
      <c r="S46" s="951"/>
    </row>
    <row r="47" spans="2:19" ht="7.5" customHeight="1" thickBot="1">
      <c r="B47" s="785"/>
      <c r="C47" s="716"/>
      <c r="D47" s="759"/>
      <c r="E47" s="759"/>
      <c r="F47" s="865"/>
      <c r="G47" s="759"/>
      <c r="H47" s="759"/>
      <c r="I47" s="877"/>
      <c r="J47" s="759"/>
      <c r="K47" s="759"/>
      <c r="L47" s="865"/>
      <c r="M47" s="697"/>
      <c r="N47" s="952"/>
      <c r="O47" s="697"/>
      <c r="P47" s="950"/>
      <c r="Q47" s="891"/>
      <c r="R47" s="891"/>
      <c r="S47" s="951"/>
    </row>
    <row r="48" spans="2:19" ht="12.95" customHeight="1">
      <c r="B48" s="786" t="s">
        <v>404</v>
      </c>
      <c r="C48" s="717"/>
      <c r="D48" s="888">
        <f>D42/D52</f>
        <v>2.4308844962652576</v>
      </c>
      <c r="E48" s="888">
        <f>K48</f>
        <v>2.9873466228785337</v>
      </c>
      <c r="F48" s="868">
        <f>E48/D48-1</f>
        <v>0.22891343766773331</v>
      </c>
      <c r="G48" s="888">
        <f>G42/G52</f>
        <v>2.974334991102797</v>
      </c>
      <c r="H48" s="888">
        <f>K48</f>
        <v>2.9873466228785337</v>
      </c>
      <c r="I48" s="881">
        <f>H48/G48-1</f>
        <v>4.3746356125515806E-3</v>
      </c>
      <c r="J48" s="888">
        <v>2.7322937878206881</v>
      </c>
      <c r="K48" s="888">
        <f>K42/K52</f>
        <v>2.9873466228785337</v>
      </c>
      <c r="L48" s="868">
        <f>K48/J48-1</f>
        <v>9.3347514895635975E-2</v>
      </c>
      <c r="M48" s="697"/>
      <c r="N48" s="963"/>
      <c r="O48" s="888"/>
      <c r="P48" s="961"/>
      <c r="Q48" s="888"/>
      <c r="R48" s="888"/>
      <c r="S48" s="961"/>
    </row>
    <row r="49" spans="2:19" ht="12.95" customHeight="1" thickBot="1">
      <c r="B49" s="787" t="s">
        <v>41</v>
      </c>
      <c r="C49" s="788"/>
      <c r="D49" s="889">
        <f>D46/D52</f>
        <v>1.4852659865184916</v>
      </c>
      <c r="E49" s="889">
        <f>K49</f>
        <v>1.8489776542727874</v>
      </c>
      <c r="F49" s="869"/>
      <c r="G49" s="889">
        <f>G46/G52</f>
        <v>1.9252863074325866</v>
      </c>
      <c r="H49" s="889">
        <f>K49</f>
        <v>1.8489776542727874</v>
      </c>
      <c r="I49" s="882"/>
      <c r="J49" s="889">
        <v>1.6546850583658019</v>
      </c>
      <c r="K49" s="889">
        <f>K46/K52</f>
        <v>1.8489776542727874</v>
      </c>
      <c r="L49" s="869"/>
      <c r="M49" s="697"/>
      <c r="N49" s="964"/>
      <c r="O49" s="889"/>
      <c r="P49" s="962"/>
      <c r="Q49" s="889"/>
      <c r="R49" s="889"/>
      <c r="S49" s="962"/>
    </row>
    <row r="50" spans="2:19" ht="7.5" customHeight="1">
      <c r="B50" s="776"/>
      <c r="C50" s="712"/>
      <c r="D50" s="755"/>
      <c r="E50" s="756"/>
      <c r="F50" s="865"/>
      <c r="G50" s="755"/>
      <c r="H50" s="756"/>
      <c r="I50" s="883"/>
      <c r="J50" s="755"/>
      <c r="K50" s="755"/>
      <c r="L50" s="886"/>
      <c r="M50" s="697"/>
      <c r="N50" s="956"/>
      <c r="O50" s="697"/>
      <c r="P50" s="950"/>
      <c r="Q50" s="697"/>
      <c r="S50" s="959"/>
    </row>
    <row r="51" spans="2:19" ht="12.95" customHeight="1">
      <c r="B51" s="776" t="s">
        <v>42</v>
      </c>
      <c r="C51" s="712"/>
      <c r="D51" s="760">
        <f>'Income Statement'!CJ95</f>
        <v>42864</v>
      </c>
      <c r="E51" s="760">
        <f>K51</f>
        <v>43057</v>
      </c>
      <c r="F51" s="865"/>
      <c r="G51" s="760">
        <f>'Income Statement'!CN95</f>
        <v>43135</v>
      </c>
      <c r="H51" s="760">
        <f>K51</f>
        <v>43057</v>
      </c>
      <c r="I51" s="883"/>
      <c r="J51" s="760">
        <v>43335</v>
      </c>
      <c r="K51" s="760">
        <f>'Income Statement'!CO95</f>
        <v>43057</v>
      </c>
      <c r="L51" s="886"/>
      <c r="M51" s="697"/>
      <c r="N51" s="956"/>
      <c r="O51" s="697"/>
      <c r="P51" s="950"/>
      <c r="Q51" s="697"/>
      <c r="S51" s="959"/>
    </row>
    <row r="52" spans="2:19" ht="12.95" customHeight="1">
      <c r="B52" s="789" t="s">
        <v>43</v>
      </c>
      <c r="C52" s="713"/>
      <c r="D52" s="790">
        <f>'Income Statement'!CJ96</f>
        <v>43912</v>
      </c>
      <c r="E52" s="790">
        <f>K52</f>
        <v>43543</v>
      </c>
      <c r="F52" s="870"/>
      <c r="G52" s="790">
        <f>'Income Statement'!CN96</f>
        <v>43834</v>
      </c>
      <c r="H52" s="790">
        <f>K52</f>
        <v>43543</v>
      </c>
      <c r="I52" s="884"/>
      <c r="J52" s="790">
        <v>43734</v>
      </c>
      <c r="K52" s="790">
        <f>'Income Statement'!CO96</f>
        <v>43543</v>
      </c>
      <c r="L52" s="887"/>
      <c r="M52" s="697"/>
      <c r="N52" s="957"/>
      <c r="O52" s="955"/>
      <c r="P52" s="954"/>
      <c r="Q52" s="953"/>
      <c r="R52" s="958"/>
      <c r="S52" s="960"/>
    </row>
    <row r="53" spans="2:19">
      <c r="B53" s="712"/>
      <c r="C53" s="712"/>
      <c r="D53" s="718"/>
      <c r="E53" s="718"/>
      <c r="F53" s="719"/>
      <c r="G53" s="718"/>
      <c r="H53" s="718"/>
      <c r="I53" s="720"/>
      <c r="J53" s="718"/>
      <c r="K53" s="718"/>
      <c r="L53" s="697"/>
      <c r="M53" s="697"/>
      <c r="N53" s="697"/>
      <c r="O53" s="697"/>
      <c r="P53" s="697"/>
      <c r="Q53" s="697"/>
    </row>
    <row r="54" spans="2:19">
      <c r="B54" s="721" t="s">
        <v>520</v>
      </c>
      <c r="C54" s="697"/>
      <c r="D54" s="722"/>
      <c r="E54" s="723"/>
      <c r="F54" s="724"/>
      <c r="G54" s="722"/>
      <c r="H54" s="725"/>
      <c r="I54" s="697"/>
      <c r="J54" s="726"/>
      <c r="K54" s="722"/>
      <c r="L54" s="697"/>
      <c r="M54" s="697"/>
      <c r="N54" s="697"/>
      <c r="O54" s="697"/>
      <c r="P54" s="697"/>
      <c r="Q54" s="697"/>
    </row>
    <row r="55" spans="2:19">
      <c r="B55" s="715"/>
      <c r="C55" s="715"/>
      <c r="D55" s="727"/>
      <c r="E55" s="728"/>
      <c r="F55" s="705"/>
      <c r="G55" s="727"/>
      <c r="H55" s="698"/>
      <c r="I55" s="705"/>
      <c r="J55" s="698"/>
      <c r="K55" s="727"/>
      <c r="L55" s="705"/>
      <c r="M55" s="697"/>
      <c r="N55" s="697"/>
      <c r="O55" s="697"/>
      <c r="P55" s="697"/>
      <c r="Q55" s="715"/>
    </row>
    <row r="56" spans="2:19">
      <c r="B56" s="715"/>
      <c r="C56" s="715"/>
      <c r="D56" s="728"/>
      <c r="E56" s="728"/>
      <c r="F56" s="705"/>
      <c r="G56" s="728"/>
      <c r="H56" s="698"/>
      <c r="I56" s="705"/>
      <c r="J56" s="698"/>
      <c r="K56" s="728"/>
      <c r="L56" s="705"/>
      <c r="M56" s="697"/>
      <c r="N56" s="697"/>
      <c r="O56" s="697"/>
      <c r="P56" s="697"/>
      <c r="Q56" s="715"/>
    </row>
    <row r="57" spans="2:19" s="729" customFormat="1" ht="13.5">
      <c r="E57" s="730"/>
      <c r="H57" s="730"/>
    </row>
    <row r="58" spans="2:19">
      <c r="B58" s="702"/>
      <c r="C58" s="697"/>
      <c r="D58" s="731"/>
      <c r="E58" s="732"/>
      <c r="F58" s="711"/>
      <c r="G58" s="731"/>
      <c r="H58" s="733"/>
      <c r="I58" s="791"/>
      <c r="J58" s="734"/>
      <c r="K58" s="731"/>
      <c r="L58" s="703"/>
      <c r="M58" s="697"/>
      <c r="N58" s="697"/>
      <c r="O58" s="697"/>
      <c r="P58" s="697"/>
      <c r="Q58" s="697"/>
    </row>
    <row r="59" spans="2:19">
      <c r="B59" s="697"/>
      <c r="C59" s="697"/>
      <c r="D59" s="735"/>
      <c r="E59" s="735"/>
      <c r="F59" s="735"/>
      <c r="G59" s="736"/>
      <c r="H59" s="697"/>
      <c r="I59" s="697"/>
      <c r="J59" s="697"/>
      <c r="K59" s="697"/>
      <c r="L59" s="697"/>
      <c r="M59" s="697"/>
      <c r="N59" s="697"/>
      <c r="O59" s="697"/>
      <c r="P59" s="697"/>
      <c r="Q59" s="697"/>
    </row>
    <row r="60" spans="2:19">
      <c r="B60" s="697"/>
      <c r="C60" s="697"/>
      <c r="D60" s="737"/>
      <c r="E60" s="737"/>
      <c r="F60" s="737"/>
      <c r="G60" s="736"/>
      <c r="H60" s="697"/>
      <c r="I60" s="697"/>
      <c r="J60" s="697"/>
      <c r="K60" s="697"/>
      <c r="L60" s="697"/>
      <c r="M60" s="697"/>
      <c r="N60" s="697"/>
      <c r="O60" s="697"/>
      <c r="P60" s="697"/>
      <c r="Q60" s="697"/>
    </row>
    <row r="61" spans="2:19">
      <c r="B61" s="697"/>
      <c r="C61" s="697"/>
      <c r="D61" s="697"/>
      <c r="E61" s="697"/>
      <c r="F61" s="697"/>
      <c r="G61" s="697"/>
      <c r="H61" s="697"/>
      <c r="I61" s="697"/>
      <c r="J61" s="697"/>
      <c r="K61" s="697"/>
      <c r="L61" s="697"/>
      <c r="M61" s="697"/>
      <c r="N61" s="697"/>
      <c r="O61" s="697"/>
      <c r="P61" s="697"/>
      <c r="Q61" s="697"/>
    </row>
    <row r="62" spans="2:19">
      <c r="B62" s="702"/>
      <c r="C62" s="702"/>
      <c r="D62" s="697"/>
      <c r="E62" s="697"/>
      <c r="F62" s="697"/>
      <c r="G62" s="738"/>
      <c r="H62" s="697"/>
      <c r="I62" s="697"/>
      <c r="J62" s="697"/>
      <c r="K62" s="697"/>
      <c r="L62" s="697"/>
      <c r="M62" s="697"/>
      <c r="N62" s="697"/>
      <c r="O62" s="697"/>
      <c r="P62" s="697"/>
      <c r="Q62" s="697"/>
    </row>
    <row r="63" spans="2:19">
      <c r="B63" s="697"/>
      <c r="C63" s="697"/>
      <c r="D63" s="736"/>
      <c r="E63" s="736"/>
      <c r="F63" s="736"/>
      <c r="G63" s="739"/>
      <c r="H63" s="697"/>
      <c r="I63" s="697"/>
      <c r="J63" s="697"/>
      <c r="K63" s="697"/>
      <c r="L63" s="697"/>
      <c r="M63" s="697"/>
      <c r="N63" s="697"/>
      <c r="O63" s="697"/>
      <c r="P63" s="697"/>
      <c r="Q63" s="697"/>
    </row>
    <row r="64" spans="2:19">
      <c r="B64" s="697"/>
      <c r="C64" s="697"/>
      <c r="D64" s="736"/>
      <c r="E64" s="736"/>
      <c r="F64" s="736"/>
      <c r="G64" s="739"/>
      <c r="H64" s="697"/>
      <c r="I64" s="697"/>
      <c r="J64" s="697"/>
      <c r="K64" s="697"/>
      <c r="L64" s="697"/>
      <c r="M64" s="697"/>
      <c r="N64" s="697"/>
      <c r="O64" s="697"/>
      <c r="P64" s="697"/>
      <c r="Q64" s="697"/>
    </row>
    <row r="65" spans="2:17">
      <c r="B65" s="697"/>
      <c r="C65" s="697"/>
      <c r="D65" s="736"/>
      <c r="E65" s="736"/>
      <c r="F65" s="736"/>
      <c r="G65" s="739"/>
      <c r="H65" s="697"/>
      <c r="I65" s="697"/>
      <c r="J65" s="697"/>
      <c r="K65" s="697"/>
      <c r="L65" s="697"/>
      <c r="M65" s="697"/>
      <c r="N65" s="697"/>
      <c r="O65" s="697"/>
      <c r="P65" s="697"/>
      <c r="Q65" s="697"/>
    </row>
    <row r="66" spans="2:17">
      <c r="B66" s="697"/>
      <c r="C66" s="697"/>
      <c r="D66" s="697"/>
      <c r="E66" s="697"/>
      <c r="F66" s="697"/>
      <c r="G66" s="739"/>
      <c r="H66" s="697"/>
      <c r="I66" s="697"/>
      <c r="J66" s="697"/>
      <c r="K66" s="697"/>
      <c r="L66" s="697"/>
      <c r="M66" s="697"/>
      <c r="N66" s="697"/>
      <c r="O66" s="697"/>
      <c r="P66" s="697"/>
      <c r="Q66" s="697"/>
    </row>
    <row r="67" spans="2:17">
      <c r="B67" s="721"/>
      <c r="C67" s="721"/>
      <c r="D67" s="697"/>
      <c r="E67" s="697"/>
      <c r="F67" s="697"/>
      <c r="G67" s="697"/>
      <c r="H67" s="697"/>
      <c r="I67" s="697"/>
      <c r="J67" s="697"/>
      <c r="K67" s="697"/>
      <c r="L67" s="697"/>
      <c r="M67" s="697"/>
      <c r="N67" s="697"/>
      <c r="O67" s="697"/>
      <c r="P67" s="697"/>
      <c r="Q67" s="697"/>
    </row>
    <row r="68" spans="2:17">
      <c r="B68" s="697"/>
      <c r="C68" s="697"/>
      <c r="D68" s="697"/>
      <c r="E68" s="697"/>
      <c r="F68" s="697"/>
      <c r="G68" s="697"/>
      <c r="H68" s="697"/>
      <c r="I68" s="697"/>
      <c r="J68" s="697"/>
      <c r="K68" s="697"/>
      <c r="L68" s="697"/>
      <c r="M68" s="697"/>
      <c r="N68" s="697"/>
      <c r="O68" s="697"/>
      <c r="P68" s="697"/>
      <c r="Q68" s="697"/>
    </row>
  </sheetData>
  <pageMargins left="0.75" right="0.75" top="1" bottom="1" header="0.5" footer="0.5"/>
  <pageSetup scale="7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M162"/>
  <sheetViews>
    <sheetView showGridLines="0" zoomScaleNormal="100" workbookViewId="0">
      <pane xSplit="3" ySplit="4" topLeftCell="CL5" activePane="bottomRight" state="frozen"/>
      <selection activeCell="BL41" sqref="BL41"/>
      <selection pane="topRight" activeCell="BL41" sqref="BL41"/>
      <selection pane="bottomLeft" activeCell="BL41" sqref="BL41"/>
      <selection pane="bottomRight" activeCell="CS4" sqref="CS4"/>
    </sheetView>
  </sheetViews>
  <sheetFormatPr defaultColWidth="9.1328125" defaultRowHeight="13.15" outlineLevelRow="1" outlineLevelCol="1"/>
  <cols>
    <col min="1" max="1" width="1.59765625" style="67" customWidth="1"/>
    <col min="2" max="2" width="1.86328125" style="67" customWidth="1"/>
    <col min="3" max="3" width="35.86328125" style="67" customWidth="1"/>
    <col min="4" max="19" width="10.59765625" style="67" hidden="1" customWidth="1" outlineLevel="1"/>
    <col min="20" max="20" width="10.59765625" style="68" hidden="1" customWidth="1" outlineLevel="1"/>
    <col min="21" max="53" width="10.59765625" style="67" hidden="1" customWidth="1" outlineLevel="1"/>
    <col min="54" max="54" width="9.86328125" style="67" hidden="1" customWidth="1" collapsed="1"/>
    <col min="55" max="58" width="9.86328125" style="67" hidden="1" customWidth="1" outlineLevel="1"/>
    <col min="59" max="59" width="9.86328125" style="67" hidden="1" customWidth="1" collapsed="1"/>
    <col min="60" max="63" width="9.86328125" style="67" hidden="1" customWidth="1" outlineLevel="1"/>
    <col min="64" max="64" width="10.86328125" style="67" customWidth="1" collapsed="1"/>
    <col min="65" max="68" width="9.86328125" style="67" hidden="1" customWidth="1" outlineLevel="1"/>
    <col min="69" max="69" width="11.1328125" style="67" customWidth="1" collapsed="1"/>
    <col min="70" max="70" width="9.86328125" style="67" hidden="1" customWidth="1" outlineLevel="1"/>
    <col min="71" max="73" width="10.86328125" style="67" hidden="1" customWidth="1" outlineLevel="1"/>
    <col min="74" max="74" width="10.86328125" style="67" customWidth="1" collapsed="1"/>
    <col min="75" max="76" width="11.86328125" style="67" hidden="1" customWidth="1" outlineLevel="1"/>
    <col min="77" max="78" width="9.86328125" style="67" hidden="1" customWidth="1" outlineLevel="1"/>
    <col min="79" max="79" width="10.59765625" style="67" customWidth="1" collapsed="1"/>
    <col min="80" max="83" width="10.59765625" style="67" hidden="1" customWidth="1" outlineLevel="1"/>
    <col min="84" max="84" width="11.59765625" style="67" customWidth="1" collapsed="1"/>
    <col min="85" max="85" width="11.59765625" style="67" customWidth="1" outlineLevel="1"/>
    <col min="86" max="88" width="10.59765625" style="67" customWidth="1" outlineLevel="1"/>
    <col min="89" max="89" width="11.59765625" style="67" customWidth="1"/>
    <col min="90" max="93" width="11.59765625" style="67" customWidth="1" outlineLevel="1"/>
    <col min="94" max="94" width="11.59765625" style="67" customWidth="1"/>
    <col min="95" max="98" width="11.59765625" style="67" customWidth="1" outlineLevel="1"/>
    <col min="99" max="99" width="11.59765625" style="67" customWidth="1"/>
    <col min="100" max="100" width="11.3984375" style="67" bestFit="1" customWidth="1"/>
    <col min="101" max="101" width="10.1328125" style="67" bestFit="1" customWidth="1"/>
    <col min="102" max="102" width="12.86328125" style="67" customWidth="1"/>
    <col min="103" max="103" width="20" style="67" bestFit="1" customWidth="1"/>
    <col min="104" max="105" width="11" style="67" bestFit="1" customWidth="1"/>
    <col min="106" max="106" width="12.59765625" style="67" bestFit="1" customWidth="1"/>
    <col min="107" max="107" width="11.59765625" style="67" bestFit="1" customWidth="1"/>
    <col min="108" max="108" width="12.59765625" style="67" bestFit="1" customWidth="1"/>
    <col min="109" max="109" width="11.86328125" style="67" bestFit="1" customWidth="1"/>
    <col min="110" max="113" width="10" style="67" bestFit="1" customWidth="1"/>
    <col min="114" max="16384" width="9.1328125" style="67"/>
  </cols>
  <sheetData>
    <row r="1" spans="1:117" ht="10.35" customHeight="1">
      <c r="A1" s="7"/>
      <c r="B1" s="7"/>
      <c r="C1" s="7"/>
      <c r="D1" s="7"/>
      <c r="E1" s="7"/>
      <c r="F1" s="7"/>
      <c r="G1" s="7"/>
      <c r="H1" s="7"/>
      <c r="I1" s="7"/>
      <c r="J1" s="7"/>
      <c r="K1" s="7"/>
      <c r="L1" s="7"/>
      <c r="M1" s="7"/>
      <c r="N1" s="7"/>
      <c r="O1" s="7"/>
      <c r="P1" s="7"/>
      <c r="Q1" s="7"/>
      <c r="R1" s="7"/>
      <c r="S1" s="7"/>
      <c r="T1" s="10"/>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22"/>
      <c r="AZ1" s="7"/>
      <c r="BA1" s="7"/>
      <c r="BB1" s="7"/>
      <c r="BC1" s="7"/>
      <c r="BD1" s="7"/>
      <c r="BE1" s="7"/>
      <c r="BF1" s="7"/>
      <c r="BG1" s="7"/>
      <c r="BH1" s="7"/>
      <c r="BI1" s="7"/>
      <c r="BJ1" s="7"/>
      <c r="BK1" s="7"/>
      <c r="BL1" s="7"/>
      <c r="BM1" s="7"/>
      <c r="BN1" s="7"/>
      <c r="BO1" s="7"/>
      <c r="BP1" s="7"/>
      <c r="BQ1" s="7"/>
      <c r="BR1" s="7"/>
      <c r="BS1" s="7"/>
      <c r="BT1" s="7"/>
      <c r="BU1" s="7"/>
      <c r="BV1" s="7"/>
      <c r="BX1" s="7"/>
      <c r="BY1" s="7"/>
      <c r="BZ1" s="7"/>
      <c r="CA1" s="7"/>
      <c r="CB1" s="7"/>
      <c r="CC1" s="7"/>
      <c r="CD1" s="7"/>
      <c r="CE1" s="7"/>
      <c r="CF1" s="7"/>
      <c r="CG1" s="7"/>
      <c r="CH1" s="7"/>
      <c r="CI1" s="7"/>
      <c r="CJ1" s="7"/>
      <c r="CK1" s="7"/>
      <c r="CL1" s="7"/>
      <c r="CM1" s="491">
        <f t="shared" ref="CM1:CU1" si="0">(CM8+CM14)/CM23</f>
        <v>0.86761155947574053</v>
      </c>
      <c r="CN1" s="491">
        <f t="shared" si="0"/>
        <v>0.85991619103878469</v>
      </c>
      <c r="CO1" s="491">
        <f t="shared" si="0"/>
        <v>0.87155982697339673</v>
      </c>
      <c r="CP1" s="491">
        <f t="shared" si="0"/>
        <v>0.86556279933441715</v>
      </c>
      <c r="CQ1" s="491">
        <f t="shared" si="0"/>
        <v>0.87346491371860047</v>
      </c>
      <c r="CR1" s="491">
        <f t="shared" si="0"/>
        <v>0.87133137036882879</v>
      </c>
      <c r="CS1" s="491">
        <f t="shared" si="0"/>
        <v>0.88022055869213034</v>
      </c>
      <c r="CT1" s="491">
        <f t="shared" si="0"/>
        <v>0.88311690518662822</v>
      </c>
      <c r="CU1" s="491">
        <f t="shared" si="0"/>
        <v>0.87704758667441352</v>
      </c>
      <c r="CV1" s="7"/>
      <c r="CW1" s="7"/>
      <c r="CX1" s="7"/>
      <c r="CY1" s="7"/>
    </row>
    <row r="2" spans="1:117" ht="15">
      <c r="A2" s="7"/>
      <c r="B2" s="1" t="s">
        <v>751</v>
      </c>
      <c r="C2" s="1"/>
      <c r="D2" s="27"/>
      <c r="E2" s="27"/>
      <c r="F2" s="27"/>
      <c r="G2" s="27"/>
      <c r="H2" s="27"/>
      <c r="I2" s="27"/>
      <c r="J2" s="27"/>
      <c r="K2" s="27"/>
      <c r="L2" s="27"/>
      <c r="M2" s="27"/>
      <c r="N2" s="7"/>
      <c r="O2" s="7"/>
      <c r="P2" s="7"/>
      <c r="Q2" s="7"/>
      <c r="R2" s="7"/>
      <c r="S2" s="7"/>
      <c r="T2" s="10"/>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22"/>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f>15000/4</f>
        <v>3750</v>
      </c>
      <c r="CM2" s="7"/>
      <c r="CN2" s="7"/>
      <c r="CO2" s="7">
        <f>CP60/CP96</f>
        <v>3.4528242671855476</v>
      </c>
      <c r="CP2" s="491">
        <f>(+CP58+CP59)/CP96</f>
        <v>2.14218626069193</v>
      </c>
      <c r="CQ2" s="7"/>
      <c r="CR2" s="7"/>
      <c r="CS2" s="7"/>
      <c r="CT2" s="7">
        <f>CU60/CU96</f>
        <v>3.2227133203592646</v>
      </c>
      <c r="CU2" s="491">
        <f>(+CU58+CU59)/CU96</f>
        <v>1.9290889593699823</v>
      </c>
      <c r="CV2" s="7"/>
      <c r="CW2" s="7">
        <v>40000</v>
      </c>
      <c r="CX2" s="22">
        <f>CP8-40000</f>
        <v>1546016.034</v>
      </c>
      <c r="CY2" s="22">
        <f>CP8+CP11+CP14</f>
        <v>2283142.034</v>
      </c>
    </row>
    <row r="3" spans="1:117" ht="4.9000000000000004" customHeight="1" thickBot="1">
      <c r="A3" s="7"/>
      <c r="B3" s="7"/>
      <c r="C3" s="7"/>
      <c r="D3" s="7"/>
      <c r="E3" s="7"/>
      <c r="F3" s="7"/>
      <c r="G3" s="7"/>
      <c r="H3" s="7"/>
      <c r="I3" s="7"/>
      <c r="J3" s="7"/>
      <c r="K3" s="7"/>
      <c r="L3" s="7"/>
      <c r="M3" s="7"/>
      <c r="N3" s="7"/>
      <c r="O3" s="7"/>
      <c r="P3" s="7"/>
      <c r="Q3" s="7"/>
      <c r="R3" s="7"/>
      <c r="S3" s="7"/>
      <c r="T3" s="10"/>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6"/>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row>
    <row r="4" spans="1:117" ht="13.5" thickBot="1">
      <c r="A4" s="7"/>
      <c r="B4" s="1078" t="s">
        <v>0</v>
      </c>
      <c r="C4" s="1079"/>
      <c r="D4" s="1080">
        <v>2007</v>
      </c>
      <c r="E4" s="1081" t="s">
        <v>1</v>
      </c>
      <c r="F4" s="1081" t="s">
        <v>2</v>
      </c>
      <c r="G4" s="1081" t="s">
        <v>3</v>
      </c>
      <c r="H4" s="1081" t="s">
        <v>4</v>
      </c>
      <c r="I4" s="1080">
        <v>2008</v>
      </c>
      <c r="J4" s="1081" t="s">
        <v>5</v>
      </c>
      <c r="K4" s="1081" t="s">
        <v>6</v>
      </c>
      <c r="L4" s="1081" t="s">
        <v>7</v>
      </c>
      <c r="M4" s="1081" t="s">
        <v>8</v>
      </c>
      <c r="N4" s="1080">
        <v>2009</v>
      </c>
      <c r="O4" s="1082" t="s">
        <v>9</v>
      </c>
      <c r="P4" s="1082" t="s">
        <v>10</v>
      </c>
      <c r="Q4" s="1082" t="s">
        <v>11</v>
      </c>
      <c r="R4" s="1082" t="s">
        <v>12</v>
      </c>
      <c r="S4" s="1083">
        <v>2010</v>
      </c>
      <c r="T4" s="1084" t="s">
        <v>13</v>
      </c>
      <c r="U4" s="1082" t="s">
        <v>14</v>
      </c>
      <c r="V4" s="1082" t="s">
        <v>15</v>
      </c>
      <c r="W4" s="1082" t="s">
        <v>16</v>
      </c>
      <c r="X4" s="1083">
        <v>2011</v>
      </c>
      <c r="Y4" s="1082" t="s">
        <v>17</v>
      </c>
      <c r="Z4" s="1082" t="s">
        <v>125</v>
      </c>
      <c r="AA4" s="1082" t="s">
        <v>405</v>
      </c>
      <c r="AB4" s="1082" t="s">
        <v>413</v>
      </c>
      <c r="AC4" s="1083">
        <v>2012</v>
      </c>
      <c r="AD4" s="1082" t="s">
        <v>428</v>
      </c>
      <c r="AE4" s="1082" t="s">
        <v>431</v>
      </c>
      <c r="AF4" s="1082" t="s">
        <v>432</v>
      </c>
      <c r="AG4" s="1082" t="s">
        <v>433</v>
      </c>
      <c r="AH4" s="1083">
        <v>2013</v>
      </c>
      <c r="AI4" s="1082" t="s">
        <v>449</v>
      </c>
      <c r="AJ4" s="1082" t="s">
        <v>454</v>
      </c>
      <c r="AK4" s="1082" t="s">
        <v>455</v>
      </c>
      <c r="AL4" s="1082" t="s">
        <v>456</v>
      </c>
      <c r="AM4" s="1083">
        <v>2014</v>
      </c>
      <c r="AN4" s="1082" t="s">
        <v>471</v>
      </c>
      <c r="AO4" s="1082" t="s">
        <v>472</v>
      </c>
      <c r="AP4" s="1082" t="s">
        <v>473</v>
      </c>
      <c r="AQ4" s="1082" t="s">
        <v>474</v>
      </c>
      <c r="AR4" s="1083">
        <v>2015</v>
      </c>
      <c r="AS4" s="1082" t="s">
        <v>497</v>
      </c>
      <c r="AT4" s="1082" t="s">
        <v>498</v>
      </c>
      <c r="AU4" s="1082" t="s">
        <v>499</v>
      </c>
      <c r="AV4" s="1082" t="s">
        <v>500</v>
      </c>
      <c r="AW4" s="1085">
        <v>2016</v>
      </c>
      <c r="AX4" s="1085" t="s">
        <v>633</v>
      </c>
      <c r="AY4" s="1082" t="s">
        <v>638</v>
      </c>
      <c r="AZ4" s="1082" t="s">
        <v>639</v>
      </c>
      <c r="BA4" s="1086" t="s">
        <v>641</v>
      </c>
      <c r="BB4" s="1086">
        <v>2017</v>
      </c>
      <c r="BC4" s="1085" t="s">
        <v>645</v>
      </c>
      <c r="BD4" s="1082" t="s">
        <v>648</v>
      </c>
      <c r="BE4" s="1082" t="s">
        <v>647</v>
      </c>
      <c r="BF4" s="1086" t="s">
        <v>646</v>
      </c>
      <c r="BG4" s="1086">
        <v>2018</v>
      </c>
      <c r="BH4" s="1085" t="s">
        <v>669</v>
      </c>
      <c r="BI4" s="1082" t="s">
        <v>673</v>
      </c>
      <c r="BJ4" s="1082" t="s">
        <v>674</v>
      </c>
      <c r="BK4" s="1086" t="s">
        <v>675</v>
      </c>
      <c r="BL4" s="1086">
        <v>2019</v>
      </c>
      <c r="BM4" s="1085" t="s">
        <v>685</v>
      </c>
      <c r="BN4" s="1082" t="s">
        <v>687</v>
      </c>
      <c r="BO4" s="1082" t="s">
        <v>688</v>
      </c>
      <c r="BP4" s="1086" t="s">
        <v>689</v>
      </c>
      <c r="BQ4" s="1086">
        <v>2020</v>
      </c>
      <c r="BR4" s="1085" t="s">
        <v>738</v>
      </c>
      <c r="BS4" s="1082" t="s">
        <v>761</v>
      </c>
      <c r="BT4" s="1082" t="s">
        <v>777</v>
      </c>
      <c r="BU4" s="1086" t="s">
        <v>781</v>
      </c>
      <c r="BV4" s="1086">
        <v>2021</v>
      </c>
      <c r="BW4" s="1085" t="s">
        <v>888</v>
      </c>
      <c r="BX4" s="1082" t="s">
        <v>899</v>
      </c>
      <c r="BY4" s="1082" t="s">
        <v>905</v>
      </c>
      <c r="BZ4" s="1086" t="s">
        <v>916</v>
      </c>
      <c r="CA4" s="1086">
        <v>2022</v>
      </c>
      <c r="CB4" s="1085" t="s">
        <v>927</v>
      </c>
      <c r="CC4" s="1082" t="s">
        <v>928</v>
      </c>
      <c r="CD4" s="1082" t="s">
        <v>929</v>
      </c>
      <c r="CE4" s="1086" t="s">
        <v>964</v>
      </c>
      <c r="CF4" s="1086">
        <v>2023</v>
      </c>
      <c r="CG4" s="1085" t="s">
        <v>969</v>
      </c>
      <c r="CH4" s="1082" t="s">
        <v>975</v>
      </c>
      <c r="CI4" s="1082" t="s">
        <v>982</v>
      </c>
      <c r="CJ4" s="1086" t="s">
        <v>984</v>
      </c>
      <c r="CK4" s="1086">
        <v>2024</v>
      </c>
      <c r="CL4" s="1085" t="s">
        <v>995</v>
      </c>
      <c r="CM4" s="1082" t="s">
        <v>997</v>
      </c>
      <c r="CN4" s="1082" t="s">
        <v>998</v>
      </c>
      <c r="CO4" s="1086" t="s">
        <v>1040</v>
      </c>
      <c r="CP4" s="1086">
        <v>2025</v>
      </c>
      <c r="CQ4" s="1085" t="s">
        <v>990</v>
      </c>
      <c r="CR4" s="1082" t="s">
        <v>991</v>
      </c>
      <c r="CS4" s="1082" t="s">
        <v>992</v>
      </c>
      <c r="CT4" s="1086" t="s">
        <v>993</v>
      </c>
      <c r="CU4" s="1086" t="s">
        <v>994</v>
      </c>
      <c r="CV4" s="372"/>
      <c r="CW4" s="372"/>
      <c r="CX4" s="372"/>
      <c r="CY4" s="1118">
        <f>CP32</f>
        <v>1135423</v>
      </c>
    </row>
    <row r="5" spans="1:117" ht="18" customHeight="1">
      <c r="A5" s="10"/>
      <c r="B5" s="8" t="s">
        <v>50</v>
      </c>
      <c r="C5" s="12"/>
      <c r="D5" s="13">
        <v>35063</v>
      </c>
      <c r="E5" s="12">
        <v>8369</v>
      </c>
      <c r="F5" s="12">
        <v>11905</v>
      </c>
      <c r="G5" s="12">
        <v>11372</v>
      </c>
      <c r="H5" s="12">
        <f>I5-G5-F5-E5</f>
        <v>9844</v>
      </c>
      <c r="I5" s="13">
        <v>41490</v>
      </c>
      <c r="J5" s="12">
        <v>10756</v>
      </c>
      <c r="K5" s="12">
        <v>9912</v>
      </c>
      <c r="L5" s="12">
        <v>10167</v>
      </c>
      <c r="M5" s="12">
        <f>N5-L5-K5-J5</f>
        <v>11296</v>
      </c>
      <c r="N5" s="13">
        <v>42131</v>
      </c>
      <c r="O5" s="12">
        <v>8449</v>
      </c>
      <c r="P5" s="12">
        <v>8735</v>
      </c>
      <c r="Q5" s="12">
        <v>9260</v>
      </c>
      <c r="R5" s="12">
        <v>8469</v>
      </c>
      <c r="S5" s="13">
        <f>SUM(O5:R5)</f>
        <v>34913</v>
      </c>
      <c r="T5" s="12">
        <v>6822</v>
      </c>
      <c r="U5" s="12">
        <v>8308</v>
      </c>
      <c r="V5" s="12">
        <v>7631</v>
      </c>
      <c r="W5" s="12">
        <v>9833</v>
      </c>
      <c r="X5" s="13">
        <f>SUM(T5:W5)</f>
        <v>32594</v>
      </c>
      <c r="Y5" s="12">
        <v>7563</v>
      </c>
      <c r="Z5" s="12">
        <v>8422</v>
      </c>
      <c r="AA5" s="12">
        <v>8973</v>
      </c>
      <c r="AB5" s="12">
        <v>8970</v>
      </c>
      <c r="AC5" s="13">
        <f>SUM(Y5:AB5)</f>
        <v>33928</v>
      </c>
      <c r="AD5" s="12">
        <v>8830</v>
      </c>
      <c r="AE5" s="12">
        <v>10090</v>
      </c>
      <c r="AF5" s="12">
        <v>10495</v>
      </c>
      <c r="AG5" s="12">
        <v>11426</v>
      </c>
      <c r="AH5" s="13">
        <f>SUM(AD5:AG5)</f>
        <v>40841</v>
      </c>
      <c r="AI5" s="12">
        <v>11232</v>
      </c>
      <c r="AJ5" s="12">
        <v>12083</v>
      </c>
      <c r="AK5" s="12">
        <v>13226</v>
      </c>
      <c r="AL5" s="12">
        <v>12524</v>
      </c>
      <c r="AM5" s="13">
        <f>SUM(AI5:AL5)</f>
        <v>49065</v>
      </c>
      <c r="AN5" s="12">
        <v>14300</v>
      </c>
      <c r="AO5" s="12">
        <v>14586</v>
      </c>
      <c r="AP5" s="12">
        <v>15690</v>
      </c>
      <c r="AQ5" s="12">
        <v>14432</v>
      </c>
      <c r="AR5" s="13">
        <f>SUM(AN5:AQ5)</f>
        <v>59008</v>
      </c>
      <c r="AS5" s="81">
        <v>16850</v>
      </c>
      <c r="AT5" s="12">
        <v>17551</v>
      </c>
      <c r="AU5" s="81">
        <v>19930</v>
      </c>
      <c r="AV5" s="12">
        <v>19975</v>
      </c>
      <c r="AW5" s="13">
        <f>SUM(AS5:AV5)</f>
        <v>74306</v>
      </c>
      <c r="AX5" s="12">
        <v>18223</v>
      </c>
      <c r="AY5" s="12">
        <v>17107</v>
      </c>
      <c r="AZ5" s="12">
        <v>19842</v>
      </c>
      <c r="BA5" s="12">
        <v>20522</v>
      </c>
      <c r="BB5" s="13">
        <f>SUM(AX5:BA5)</f>
        <v>75694</v>
      </c>
      <c r="BC5" s="12">
        <v>22776</v>
      </c>
      <c r="BD5" s="12">
        <v>22400</v>
      </c>
      <c r="BE5" s="12">
        <v>22444</v>
      </c>
      <c r="BF5" s="12">
        <v>25821</v>
      </c>
      <c r="BG5" s="13">
        <f>SUM(BC5:BF5)</f>
        <v>93441</v>
      </c>
      <c r="BH5" s="12">
        <v>21793</v>
      </c>
      <c r="BI5" s="12">
        <v>20675</v>
      </c>
      <c r="BJ5" s="12">
        <v>25379</v>
      </c>
      <c r="BK5" s="12">
        <f>32358</f>
        <v>32358</v>
      </c>
      <c r="BL5" s="13">
        <f>SUM(BH5:BK5)</f>
        <v>100205</v>
      </c>
      <c r="BM5" s="12">
        <v>18737</v>
      </c>
      <c r="BN5" s="12">
        <f>17025</f>
        <v>17025</v>
      </c>
      <c r="BO5" s="12">
        <v>19937</v>
      </c>
      <c r="BP5" s="12">
        <v>17465</v>
      </c>
      <c r="BQ5" s="13">
        <f>SUM(BM5:BP5)</f>
        <v>73164</v>
      </c>
      <c r="BR5" s="12">
        <v>14933</v>
      </c>
      <c r="BS5" s="12">
        <v>17604</v>
      </c>
      <c r="BT5" s="12">
        <v>22673</v>
      </c>
      <c r="BU5" s="12">
        <v>19242</v>
      </c>
      <c r="BV5" s="13">
        <f>SUM(BR5:BU5)</f>
        <v>74452</v>
      </c>
      <c r="BW5" s="12">
        <v>16506</v>
      </c>
      <c r="BX5" s="12">
        <v>15009</v>
      </c>
      <c r="BY5" s="12">
        <v>20269</v>
      </c>
      <c r="BZ5" s="12">
        <v>7622</v>
      </c>
      <c r="CA5" s="13">
        <f>SUM(BW5:BZ5)</f>
        <v>59406</v>
      </c>
      <c r="CB5" s="12">
        <v>10130</v>
      </c>
      <c r="CC5" s="12">
        <v>9779</v>
      </c>
      <c r="CD5" s="12">
        <v>10554</v>
      </c>
      <c r="CE5" s="12">
        <v>7633</v>
      </c>
      <c r="CF5" s="13">
        <f>SUM(CB5:CE5)</f>
        <v>38096</v>
      </c>
      <c r="CG5" s="12">
        <v>8734</v>
      </c>
      <c r="CH5" s="12">
        <v>5329</v>
      </c>
      <c r="CI5" s="12">
        <v>6188</v>
      </c>
      <c r="CJ5" s="12">
        <v>6106</v>
      </c>
      <c r="CK5" s="13">
        <f>SUM(CG5:CJ5)</f>
        <v>26357</v>
      </c>
      <c r="CL5" s="12">
        <v>6994</v>
      </c>
      <c r="CM5" s="12">
        <v>3663</v>
      </c>
      <c r="CN5" s="12">
        <v>5100</v>
      </c>
      <c r="CO5" s="12">
        <f>'Revenue Build'!AF63</f>
        <v>5300</v>
      </c>
      <c r="CP5" s="13">
        <f>SUM(CL5:CO5)</f>
        <v>21057</v>
      </c>
      <c r="CQ5" s="12">
        <f>'Revenue Build'!AH63</f>
        <v>3000</v>
      </c>
      <c r="CR5" s="12">
        <f>'Revenue Build'!AI63</f>
        <v>3000</v>
      </c>
      <c r="CS5" s="12">
        <f>'Revenue Build'!AJ63</f>
        <v>4000</v>
      </c>
      <c r="CT5" s="12">
        <f>'Revenue Build'!AK63</f>
        <v>4500</v>
      </c>
      <c r="CU5" s="13">
        <f>SUM(CQ5:CT5)</f>
        <v>14500</v>
      </c>
      <c r="CV5" s="12">
        <v>0</v>
      </c>
      <c r="CW5" s="12"/>
      <c r="CX5" s="12"/>
      <c r="CY5" s="12"/>
      <c r="DA5" s="68"/>
      <c r="DB5" s="7"/>
    </row>
    <row r="6" spans="1:117" s="633" customFormat="1" ht="11.65" customHeight="1">
      <c r="A6" s="625"/>
      <c r="B6" s="626"/>
      <c r="C6" s="627" t="s">
        <v>21</v>
      </c>
      <c r="D6" s="628"/>
      <c r="E6" s="627"/>
      <c r="F6" s="627"/>
      <c r="G6" s="627"/>
      <c r="H6" s="627"/>
      <c r="I6" s="628">
        <f>I5/D5-1</f>
        <v>0.18329863388757373</v>
      </c>
      <c r="J6" s="626">
        <f>J5/E5-1</f>
        <v>0.28521926156052091</v>
      </c>
      <c r="K6" s="627">
        <f t="shared" ref="K6:Z6" si="1">K5/F5-1</f>
        <v>-0.16740865182696341</v>
      </c>
      <c r="L6" s="627">
        <f t="shared" si="1"/>
        <v>-0.10596201195919808</v>
      </c>
      <c r="M6" s="629">
        <f t="shared" si="1"/>
        <v>0.14750101584721653</v>
      </c>
      <c r="N6" s="628">
        <f t="shared" si="1"/>
        <v>1.5449505905037464E-2</v>
      </c>
      <c r="O6" s="626">
        <f t="shared" si="1"/>
        <v>-0.21448493863889917</v>
      </c>
      <c r="P6" s="627">
        <f t="shared" si="1"/>
        <v>-0.11874495560936238</v>
      </c>
      <c r="Q6" s="627">
        <f t="shared" si="1"/>
        <v>-8.9210189829841635E-2</v>
      </c>
      <c r="R6" s="629">
        <f t="shared" si="1"/>
        <v>-0.25026558073654392</v>
      </c>
      <c r="S6" s="628">
        <f t="shared" si="1"/>
        <v>-0.17132277895136594</v>
      </c>
      <c r="T6" s="626">
        <f t="shared" si="1"/>
        <v>-0.19256716771215532</v>
      </c>
      <c r="U6" s="627">
        <f t="shared" si="1"/>
        <v>-4.8883800801373778E-2</v>
      </c>
      <c r="V6" s="627">
        <f t="shared" si="1"/>
        <v>-0.17591792656587468</v>
      </c>
      <c r="W6" s="629">
        <f t="shared" si="1"/>
        <v>0.16105797614830553</v>
      </c>
      <c r="X6" s="628">
        <f t="shared" si="1"/>
        <v>-6.6422249591842619E-2</v>
      </c>
      <c r="Y6" s="627">
        <f t="shared" si="1"/>
        <v>0.10861917326297266</v>
      </c>
      <c r="Z6" s="627">
        <f t="shared" si="1"/>
        <v>1.3721714010592301E-2</v>
      </c>
      <c r="AA6" s="627">
        <f t="shared" ref="AA6:BF6" si="2">AA5/V5-1</f>
        <v>0.17586161708819281</v>
      </c>
      <c r="AB6" s="629">
        <f t="shared" si="2"/>
        <v>-8.7765686972439694E-2</v>
      </c>
      <c r="AC6" s="628">
        <f t="shared" si="2"/>
        <v>4.0927778118672098E-2</v>
      </c>
      <c r="AD6" s="626">
        <f t="shared" si="2"/>
        <v>0.16752611397593542</v>
      </c>
      <c r="AE6" s="627">
        <f t="shared" si="2"/>
        <v>0.19805271906910482</v>
      </c>
      <c r="AF6" s="627">
        <f t="shared" si="2"/>
        <v>0.16961997102418369</v>
      </c>
      <c r="AG6" s="629">
        <f t="shared" si="2"/>
        <v>0.2738015607580826</v>
      </c>
      <c r="AH6" s="628">
        <f t="shared" si="2"/>
        <v>0.20375501061070511</v>
      </c>
      <c r="AI6" s="626">
        <f t="shared" si="2"/>
        <v>0.27202718006795013</v>
      </c>
      <c r="AJ6" s="627">
        <f t="shared" si="2"/>
        <v>0.19752229930624376</v>
      </c>
      <c r="AK6" s="627">
        <f t="shared" si="2"/>
        <v>0.26021915197713197</v>
      </c>
      <c r="AL6" s="629">
        <f t="shared" si="2"/>
        <v>9.609662173989153E-2</v>
      </c>
      <c r="AM6" s="628">
        <f t="shared" si="2"/>
        <v>0.20136627408731411</v>
      </c>
      <c r="AN6" s="626">
        <f t="shared" si="2"/>
        <v>0.27314814814814814</v>
      </c>
      <c r="AO6" s="627">
        <f t="shared" si="2"/>
        <v>0.20715054208391948</v>
      </c>
      <c r="AP6" s="627">
        <f t="shared" si="2"/>
        <v>0.1862997126871313</v>
      </c>
      <c r="AQ6" s="629">
        <f t="shared" si="2"/>
        <v>0.15234749281379756</v>
      </c>
      <c r="AR6" s="628">
        <f t="shared" si="2"/>
        <v>0.20264954651992251</v>
      </c>
      <c r="AS6" s="630">
        <f t="shared" si="2"/>
        <v>0.17832167832167833</v>
      </c>
      <c r="AT6" s="631">
        <f t="shared" si="2"/>
        <v>0.20327711504182089</v>
      </c>
      <c r="AU6" s="631">
        <f t="shared" si="2"/>
        <v>0.27023581899298921</v>
      </c>
      <c r="AV6" s="629">
        <f t="shared" si="2"/>
        <v>0.38407705099778267</v>
      </c>
      <c r="AW6" s="628">
        <f t="shared" si="2"/>
        <v>0.25925298264642072</v>
      </c>
      <c r="AX6" s="630">
        <f t="shared" si="2"/>
        <v>8.1483679525222508E-2</v>
      </c>
      <c r="AY6" s="627">
        <f t="shared" si="2"/>
        <v>-2.5297703834539331E-2</v>
      </c>
      <c r="AZ6" s="627">
        <f t="shared" si="2"/>
        <v>-4.4154540893125427E-3</v>
      </c>
      <c r="BA6" s="629">
        <f t="shared" si="2"/>
        <v>2.7384230287859745E-2</v>
      </c>
      <c r="BB6" s="628">
        <f t="shared" si="2"/>
        <v>1.867951444028737E-2</v>
      </c>
      <c r="BC6" s="630">
        <f t="shared" si="2"/>
        <v>0.24984909180705706</v>
      </c>
      <c r="BD6" s="627">
        <f t="shared" si="2"/>
        <v>0.30940550651779963</v>
      </c>
      <c r="BE6" s="627">
        <f t="shared" si="2"/>
        <v>0.13113597419614953</v>
      </c>
      <c r="BF6" s="629">
        <f t="shared" si="2"/>
        <v>0.2582107007114316</v>
      </c>
      <c r="BG6" s="628">
        <f t="shared" ref="BG6:CL6" si="3">BG5/BB5-1</f>
        <v>0.23445715644568921</v>
      </c>
      <c r="BH6" s="630">
        <f t="shared" si="3"/>
        <v>-4.3159466104671584E-2</v>
      </c>
      <c r="BI6" s="627">
        <f t="shared" si="3"/>
        <v>-7.7008928571428603E-2</v>
      </c>
      <c r="BJ6" s="627">
        <f t="shared" si="3"/>
        <v>0.13076991623596501</v>
      </c>
      <c r="BK6" s="629">
        <f t="shared" si="3"/>
        <v>0.25316602765191121</v>
      </c>
      <c r="BL6" s="628">
        <f t="shared" si="3"/>
        <v>7.2387923930608666E-2</v>
      </c>
      <c r="BM6" s="630">
        <f t="shared" si="3"/>
        <v>-0.14022851374294498</v>
      </c>
      <c r="BN6" s="627">
        <f t="shared" si="3"/>
        <v>-0.17654171704957677</v>
      </c>
      <c r="BO6" s="627">
        <f t="shared" si="3"/>
        <v>-0.2144292525316206</v>
      </c>
      <c r="BP6" s="629">
        <f t="shared" si="3"/>
        <v>-0.46025712343160885</v>
      </c>
      <c r="BQ6" s="628">
        <f t="shared" si="3"/>
        <v>-0.26985679357317505</v>
      </c>
      <c r="BR6" s="630">
        <f t="shared" si="3"/>
        <v>-0.20302076106100231</v>
      </c>
      <c r="BS6" s="627">
        <f t="shared" si="3"/>
        <v>3.4008810572687231E-2</v>
      </c>
      <c r="BT6" s="627">
        <f t="shared" si="3"/>
        <v>0.13723228168731505</v>
      </c>
      <c r="BU6" s="629">
        <f t="shared" si="3"/>
        <v>0.10174634984254216</v>
      </c>
      <c r="BV6" s="628">
        <f t="shared" si="3"/>
        <v>1.7604286261002633E-2</v>
      </c>
      <c r="BW6" s="627">
        <f t="shared" si="3"/>
        <v>0.10533717270474785</v>
      </c>
      <c r="BX6" s="627">
        <f t="shared" si="3"/>
        <v>-0.14740967961826856</v>
      </c>
      <c r="BY6" s="627">
        <f t="shared" si="3"/>
        <v>-0.1060291977241653</v>
      </c>
      <c r="BZ6" s="629">
        <f t="shared" si="3"/>
        <v>-0.60388732979939719</v>
      </c>
      <c r="CA6" s="628">
        <f t="shared" si="3"/>
        <v>-0.20208993714070811</v>
      </c>
      <c r="CB6" s="627">
        <f t="shared" si="3"/>
        <v>-0.38628377559675264</v>
      </c>
      <c r="CC6" s="627">
        <f t="shared" si="3"/>
        <v>-0.34845759211139982</v>
      </c>
      <c r="CD6" s="627">
        <f t="shared" si="3"/>
        <v>-0.47930336967783316</v>
      </c>
      <c r="CE6" s="629">
        <f t="shared" si="3"/>
        <v>1.4431907635790164E-3</v>
      </c>
      <c r="CF6" s="628">
        <f t="shared" si="3"/>
        <v>-0.3587179746153587</v>
      </c>
      <c r="CG6" s="627">
        <f t="shared" si="3"/>
        <v>-0.13780848963474823</v>
      </c>
      <c r="CH6" s="627">
        <f t="shared" si="3"/>
        <v>-0.45505675426935266</v>
      </c>
      <c r="CI6" s="627">
        <f t="shared" si="3"/>
        <v>-0.41368201629713852</v>
      </c>
      <c r="CJ6" s="629">
        <f t="shared" si="3"/>
        <v>-0.20005240403511071</v>
      </c>
      <c r="CK6" s="628">
        <f t="shared" si="3"/>
        <v>-0.30814258714825704</v>
      </c>
      <c r="CL6" s="627">
        <f t="shared" si="3"/>
        <v>-0.19922143347836041</v>
      </c>
      <c r="CM6" s="627">
        <f>CM5/CH5-1</f>
        <v>-0.31262901107149554</v>
      </c>
      <c r="CN6" s="627">
        <f>CN5/CI5-1</f>
        <v>-0.17582417582417587</v>
      </c>
      <c r="CO6" s="629">
        <f>CO5/CJ5-1</f>
        <v>-0.13200131018670158</v>
      </c>
      <c r="CP6" s="628">
        <f>CP5/CK5-1</f>
        <v>-0.20108510073225327</v>
      </c>
      <c r="CQ6" s="627">
        <f t="shared" ref="CQ6" si="4">CQ5/CL5-1</f>
        <v>-0.57106090935087217</v>
      </c>
      <c r="CR6" s="627">
        <f>CR5/CM5-1</f>
        <v>-0.180999180999181</v>
      </c>
      <c r="CS6" s="627">
        <f>CS5/CN5-1</f>
        <v>-0.21568627450980393</v>
      </c>
      <c r="CT6" s="629">
        <f>CT5/CO5-1</f>
        <v>-0.15094339622641506</v>
      </c>
      <c r="CU6" s="628">
        <f>CU5/CP5-1</f>
        <v>-0.31139288597615999</v>
      </c>
      <c r="CV6" s="627"/>
      <c r="CW6" s="627"/>
      <c r="CX6" s="627" t="s">
        <v>1000</v>
      </c>
      <c r="CY6" s="627"/>
      <c r="CZ6" s="632"/>
      <c r="DA6" s="638" t="s">
        <v>616</v>
      </c>
      <c r="DB6" s="456">
        <v>215</v>
      </c>
    </row>
    <row r="7" spans="1:117" s="633" customFormat="1" ht="11.65" customHeight="1">
      <c r="A7" s="625"/>
      <c r="B7" s="626"/>
      <c r="C7" s="627" t="s">
        <v>22</v>
      </c>
      <c r="D7" s="628"/>
      <c r="E7" s="627"/>
      <c r="F7" s="627">
        <f>F5/E5-1</f>
        <v>0.42251165013741199</v>
      </c>
      <c r="G7" s="627">
        <f>G5/F5-1</f>
        <v>-4.4771104577908449E-2</v>
      </c>
      <c r="H7" s="627">
        <f>H5/G5-1</f>
        <v>-0.13436510728104112</v>
      </c>
      <c r="I7" s="628"/>
      <c r="J7" s="627">
        <f>J5/H5-1</f>
        <v>9.2645266151970773E-2</v>
      </c>
      <c r="K7" s="627">
        <f>K5/J5-1</f>
        <v>-7.8467831907772401E-2</v>
      </c>
      <c r="L7" s="627">
        <f>L5/K5-1</f>
        <v>2.5726392251816055E-2</v>
      </c>
      <c r="M7" s="627">
        <f>M5/L5-1</f>
        <v>0.11104553949050855</v>
      </c>
      <c r="N7" s="628"/>
      <c r="O7" s="627">
        <f>O5/M5-1</f>
        <v>-0.25203611898016998</v>
      </c>
      <c r="P7" s="627">
        <f>P5/O5-1</f>
        <v>3.3850159782222722E-2</v>
      </c>
      <c r="Q7" s="627">
        <f>Q5/P5-1</f>
        <v>6.0103033772180847E-2</v>
      </c>
      <c r="R7" s="627">
        <f>R5/Q5-1</f>
        <v>-8.5421166306695495E-2</v>
      </c>
      <c r="S7" s="628"/>
      <c r="T7" s="627">
        <f>T5/R5-1</f>
        <v>-0.19447396386822524</v>
      </c>
      <c r="U7" s="627">
        <f>U5/T5-1</f>
        <v>0.21782468484315443</v>
      </c>
      <c r="V7" s="627">
        <f>V5/U5-1</f>
        <v>-8.1487722676937935E-2</v>
      </c>
      <c r="W7" s="627">
        <f>W5/V5-1</f>
        <v>0.28855982177958328</v>
      </c>
      <c r="X7" s="628"/>
      <c r="Y7" s="627">
        <f>Y5/W5-1</f>
        <v>-0.23085528322993998</v>
      </c>
      <c r="Z7" s="627">
        <f>Z5/Y5-1</f>
        <v>0.11357926748644709</v>
      </c>
      <c r="AA7" s="627">
        <f>AA5/Z5-1</f>
        <v>6.5423889812395997E-2</v>
      </c>
      <c r="AB7" s="627">
        <f>AB5/AA5-1</f>
        <v>-3.3433634236046395E-4</v>
      </c>
      <c r="AC7" s="634"/>
      <c r="AD7" s="627">
        <f>AD5/AB5-1</f>
        <v>-1.5607580824972156E-2</v>
      </c>
      <c r="AE7" s="627">
        <f>AE5/AD5-1</f>
        <v>0.14269535673839195</v>
      </c>
      <c r="AF7" s="627">
        <f>AF5/AE5-1</f>
        <v>4.0138751238850245E-2</v>
      </c>
      <c r="AG7" s="627">
        <f>AG5/AF5-1</f>
        <v>8.870890900428785E-2</v>
      </c>
      <c r="AH7" s="634"/>
      <c r="AI7" s="627">
        <f>AI5/AG5-1</f>
        <v>-1.6978820234552772E-2</v>
      </c>
      <c r="AJ7" s="627">
        <f>AJ5/AI5-1</f>
        <v>7.5765669515669432E-2</v>
      </c>
      <c r="AK7" s="627">
        <f>AK5/AJ5-1</f>
        <v>9.4595712985185765E-2</v>
      </c>
      <c r="AL7" s="627">
        <f>AL5/AK5-1</f>
        <v>-5.3077272039921408E-2</v>
      </c>
      <c r="AM7" s="634"/>
      <c r="AN7" s="627">
        <f>AN5/AL5-1</f>
        <v>0.14180772916001283</v>
      </c>
      <c r="AO7" s="627">
        <f>AO5/AN5-1</f>
        <v>2.0000000000000018E-2</v>
      </c>
      <c r="AP7" s="627">
        <f>AP5/AO5-1</f>
        <v>7.5689016865487346E-2</v>
      </c>
      <c r="AQ7" s="627">
        <f>AQ5/AP5-1</f>
        <v>-8.0178457616316146E-2</v>
      </c>
      <c r="AR7" s="634"/>
      <c r="AS7" s="631">
        <f>AS5/AQ5-1</f>
        <v>0.16754434589800438</v>
      </c>
      <c r="AT7" s="627">
        <f>AT5/AS5-1</f>
        <v>4.1602373887240418E-2</v>
      </c>
      <c r="AU7" s="627">
        <f>AU5/AT5-1</f>
        <v>0.13554783203236287</v>
      </c>
      <c r="AV7" s="627">
        <f>AV5/AU5-1</f>
        <v>2.2579026593074758E-3</v>
      </c>
      <c r="AW7" s="634"/>
      <c r="AX7" s="631">
        <f>AX5/AV5-1</f>
        <v>-8.7709637046307853E-2</v>
      </c>
      <c r="AY7" s="627">
        <f>AY5/AX5-1</f>
        <v>-6.1241288481589162E-2</v>
      </c>
      <c r="AZ7" s="627">
        <f>AZ5/AY5-1</f>
        <v>0.15987607412170446</v>
      </c>
      <c r="BA7" s="627">
        <f>BA5/AZ5-1</f>
        <v>3.4270738836810866E-2</v>
      </c>
      <c r="BB7" s="634"/>
      <c r="BC7" s="631">
        <f>BC5/BA5-1</f>
        <v>0.10983334957606461</v>
      </c>
      <c r="BD7" s="627">
        <f>BD5/BC5-1</f>
        <v>-1.6508605549701461E-2</v>
      </c>
      <c r="BE7" s="627">
        <f>BE5/BD5-1</f>
        <v>1.9642857142856407E-3</v>
      </c>
      <c r="BF7" s="627">
        <f>BF5/BE5-1</f>
        <v>0.15046337551238631</v>
      </c>
      <c r="BG7" s="634"/>
      <c r="BH7" s="631">
        <f>BH5/BF5-1</f>
        <v>-0.1559970566593083</v>
      </c>
      <c r="BI7" s="627">
        <f>BI5/BH5-1</f>
        <v>-5.1300876428210906E-2</v>
      </c>
      <c r="BJ7" s="627">
        <f>BJ5/BI5-1</f>
        <v>0.22752116082224916</v>
      </c>
      <c r="BK7" s="627">
        <f>BK5/BJ5-1</f>
        <v>0.2749911344024587</v>
      </c>
      <c r="BL7" s="634"/>
      <c r="BM7" s="631">
        <f>BM5/BK5-1</f>
        <v>-0.42094690648371347</v>
      </c>
      <c r="BN7" s="627">
        <f>BN5/BM5-1</f>
        <v>-9.1370016544804367E-2</v>
      </c>
      <c r="BO7" s="627">
        <f>BO5/BN5-1</f>
        <v>0.17104258443465481</v>
      </c>
      <c r="BP7" s="627">
        <f>BP5/BO5-1</f>
        <v>-0.12399057029643379</v>
      </c>
      <c r="BQ7" s="634"/>
      <c r="BR7" s="631">
        <f>BR5/BP5-1</f>
        <v>-0.14497566561694819</v>
      </c>
      <c r="BS7" s="627">
        <f>BS5/BR5-1</f>
        <v>0.17886559967856419</v>
      </c>
      <c r="BT7" s="627">
        <f>BT5/BS5-1</f>
        <v>0.2879459213815041</v>
      </c>
      <c r="BU7" s="627">
        <f>BU5/BT5-1</f>
        <v>-0.15132536497155202</v>
      </c>
      <c r="BV7" s="634"/>
      <c r="BW7" s="627">
        <f>BW5/BV5-1</f>
        <v>-0.77830011282437006</v>
      </c>
      <c r="BX7" s="627">
        <f>BX5/BW5-1</f>
        <v>-9.0694292984369373E-2</v>
      </c>
      <c r="BY7" s="627">
        <f>BY5/BX5-1</f>
        <v>0.35045639283096808</v>
      </c>
      <c r="BZ7" s="627">
        <f>BZ5/BY5-1</f>
        <v>-0.62395776802012926</v>
      </c>
      <c r="CA7" s="634"/>
      <c r="CB7" s="627">
        <f>CB5/BZ5-1</f>
        <v>0.32904749409603773</v>
      </c>
      <c r="CC7" s="627">
        <f>CC5/CB5-1</f>
        <v>-3.4649555774926011E-2</v>
      </c>
      <c r="CD7" s="627">
        <f>CD5/CC5-1</f>
        <v>7.9251457204213116E-2</v>
      </c>
      <c r="CE7" s="627">
        <f>CE5/CD5-1</f>
        <v>-0.2767671025203714</v>
      </c>
      <c r="CF7" s="634"/>
      <c r="CG7" s="649">
        <f>CG5/CE5-1</f>
        <v>0.14424210664221149</v>
      </c>
      <c r="CH7" s="627">
        <f>CH5/CG5-1</f>
        <v>-0.38985573620334324</v>
      </c>
      <c r="CI7" s="627">
        <f>CI5/CH5-1</f>
        <v>0.1611934696941264</v>
      </c>
      <c r="CJ7" s="627">
        <f>CJ5/CI5-1</f>
        <v>-1.3251454427924969E-2</v>
      </c>
      <c r="CK7" s="634"/>
      <c r="CL7" s="649">
        <f>CL5/CJ5-1</f>
        <v>0.1454307238781527</v>
      </c>
      <c r="CM7" s="627">
        <f>CM5/CL5-1</f>
        <v>-0.47626537031741489</v>
      </c>
      <c r="CN7" s="627">
        <f>CN5/CM5-1</f>
        <v>0.39230139230139227</v>
      </c>
      <c r="CO7" s="627">
        <f>CO5/CN5-1</f>
        <v>3.9215686274509887E-2</v>
      </c>
      <c r="CP7" s="634"/>
      <c r="CQ7" s="649">
        <f>CQ5/CO5-1</f>
        <v>-0.43396226415094341</v>
      </c>
      <c r="CR7" s="627">
        <f>CR5/CQ5-1</f>
        <v>0</v>
      </c>
      <c r="CS7" s="627">
        <f>CS5/CR5-1</f>
        <v>0.33333333333333326</v>
      </c>
      <c r="CT7" s="627">
        <f>CT5/CS5-1</f>
        <v>0.125</v>
      </c>
      <c r="CU7" s="634"/>
      <c r="CV7" s="635"/>
      <c r="CW7" s="635"/>
      <c r="CX7" s="635"/>
      <c r="CY7" s="635"/>
      <c r="CZ7" s="632"/>
      <c r="DA7" s="638" t="s">
        <v>617</v>
      </c>
      <c r="DB7" s="454">
        <v>42200</v>
      </c>
      <c r="DD7" s="636"/>
      <c r="DE7" s="636"/>
      <c r="DF7" s="636"/>
      <c r="DG7" s="636"/>
      <c r="DH7" s="636"/>
      <c r="DI7" s="636"/>
      <c r="DJ7" s="636"/>
      <c r="DK7" s="636"/>
      <c r="DL7" s="636"/>
    </row>
    <row r="8" spans="1:117" ht="18" customHeight="1">
      <c r="A8" s="7"/>
      <c r="B8" s="8" t="s">
        <v>49</v>
      </c>
      <c r="C8" s="7"/>
      <c r="D8" s="64">
        <v>10406</v>
      </c>
      <c r="E8" s="63">
        <v>3265</v>
      </c>
      <c r="F8" s="63">
        <v>3712</v>
      </c>
      <c r="G8" s="63">
        <v>3526</v>
      </c>
      <c r="H8" s="63">
        <f>I8-G8-F8-E8</f>
        <v>3871</v>
      </c>
      <c r="I8" s="64">
        <v>14374</v>
      </c>
      <c r="J8" s="63">
        <v>3976</v>
      </c>
      <c r="K8" s="63">
        <v>4160</v>
      </c>
      <c r="L8" s="56">
        <v>4558</v>
      </c>
      <c r="M8" s="56">
        <f>N8-L8-K8-J8</f>
        <v>4487</v>
      </c>
      <c r="N8" s="61">
        <v>17181</v>
      </c>
      <c r="O8" s="56">
        <v>5253</v>
      </c>
      <c r="P8" s="56">
        <v>5807</v>
      </c>
      <c r="Q8" s="56">
        <v>6020</v>
      </c>
      <c r="R8" s="56">
        <v>6218</v>
      </c>
      <c r="S8" s="61">
        <f>SUM(O8:R8)</f>
        <v>23298</v>
      </c>
      <c r="T8" s="56">
        <v>6964</v>
      </c>
      <c r="U8" s="56">
        <v>7277</v>
      </c>
      <c r="V8" s="56">
        <v>7989</v>
      </c>
      <c r="W8" s="56">
        <v>8930</v>
      </c>
      <c r="X8" s="61">
        <f>SUM(T8:W8)</f>
        <v>31160</v>
      </c>
      <c r="Y8" s="56">
        <v>9968</v>
      </c>
      <c r="Z8" s="12">
        <v>10553</v>
      </c>
      <c r="AA8" s="12">
        <v>11335</v>
      </c>
      <c r="AB8" s="12">
        <v>12762</v>
      </c>
      <c r="AC8" s="13">
        <f>SUM(Y8:AB8)</f>
        <v>44618</v>
      </c>
      <c r="AD8" s="12">
        <v>13473</v>
      </c>
      <c r="AE8" s="12">
        <v>13863</v>
      </c>
      <c r="AF8" s="12">
        <v>15214</v>
      </c>
      <c r="AG8" s="12">
        <v>19314</v>
      </c>
      <c r="AH8" s="13">
        <f>SUM(AD8:AG8)</f>
        <v>61864</v>
      </c>
      <c r="AI8" s="12">
        <v>20507</v>
      </c>
      <c r="AJ8" s="12">
        <v>20934</v>
      </c>
      <c r="AK8" s="12">
        <v>22694</v>
      </c>
      <c r="AL8" s="12">
        <v>23713</v>
      </c>
      <c r="AM8" s="13">
        <f>SUM(AI8:AL8)</f>
        <v>87848</v>
      </c>
      <c r="AN8" s="12">
        <v>25288</v>
      </c>
      <c r="AO8" s="12">
        <v>26949</v>
      </c>
      <c r="AP8" s="12">
        <v>29036</v>
      </c>
      <c r="AQ8" s="12">
        <v>30660</v>
      </c>
      <c r="AR8" s="13">
        <f>SUM(AN8:AQ8)</f>
        <v>111933</v>
      </c>
      <c r="AS8" s="81">
        <v>34089</v>
      </c>
      <c r="AT8" s="12">
        <v>33968</v>
      </c>
      <c r="AU8" s="81">
        <v>36869</v>
      </c>
      <c r="AV8" s="12">
        <v>37778</v>
      </c>
      <c r="AW8" s="13">
        <f>SUM(AS8:AV8)</f>
        <v>142704</v>
      </c>
      <c r="AX8" s="12">
        <v>40102</v>
      </c>
      <c r="AY8" s="12">
        <v>40947</v>
      </c>
      <c r="AZ8" s="12">
        <v>44840</v>
      </c>
      <c r="BA8" s="12">
        <v>47621</v>
      </c>
      <c r="BB8" s="13">
        <f>SUM(AX8:BA8)</f>
        <v>173510</v>
      </c>
      <c r="BC8" s="12">
        <v>49028</v>
      </c>
      <c r="BD8" s="12">
        <f>53009+1551+111</f>
        <v>54671</v>
      </c>
      <c r="BE8" s="12">
        <f>58699+1397+104</f>
        <v>60200</v>
      </c>
      <c r="BF8" s="12">
        <f>59811+952+100</f>
        <v>60863</v>
      </c>
      <c r="BG8" s="13">
        <f>SUM(BC8:BF8)</f>
        <v>224762</v>
      </c>
      <c r="BH8" s="12">
        <v>67275</v>
      </c>
      <c r="BI8" s="12">
        <v>73475</v>
      </c>
      <c r="BJ8" s="12">
        <v>75272</v>
      </c>
      <c r="BK8" s="12">
        <f>80330</f>
        <v>80330</v>
      </c>
      <c r="BL8" s="13">
        <f>SUM(BH8:BK8)</f>
        <v>296352</v>
      </c>
      <c r="BM8" s="12">
        <v>81723</v>
      </c>
      <c r="BN8" s="12">
        <f>85638</f>
        <v>85638</v>
      </c>
      <c r="BO8" s="12">
        <v>89290</v>
      </c>
      <c r="BP8" s="12">
        <v>93997</v>
      </c>
      <c r="BQ8" s="13">
        <f>SUM(BM8:BP8)</f>
        <v>350648</v>
      </c>
      <c r="BR8" s="12">
        <v>102479</v>
      </c>
      <c r="BS8" s="12">
        <f>199558+1288</f>
        <v>200846</v>
      </c>
      <c r="BT8" s="12">
        <f>252942+751</f>
        <v>253693</v>
      </c>
      <c r="BU8" s="12">
        <f>229456+639</f>
        <v>230095</v>
      </c>
      <c r="BV8" s="13">
        <f>SUM(BR8:BU8)</f>
        <v>787113</v>
      </c>
      <c r="BW8" s="12">
        <v>245443</v>
      </c>
      <c r="BX8" s="12">
        <v>255816</v>
      </c>
      <c r="BY8" s="12">
        <v>254346</v>
      </c>
      <c r="BZ8" s="12">
        <v>256699</v>
      </c>
      <c r="CA8" s="13">
        <f>SUM(BW8:BZ8)</f>
        <v>1012304</v>
      </c>
      <c r="CB8" s="12">
        <v>280465</v>
      </c>
      <c r="CC8" s="12">
        <v>297789</v>
      </c>
      <c r="CD8" s="12">
        <v>295190</v>
      </c>
      <c r="CE8" s="12">
        <v>286068</v>
      </c>
      <c r="CF8" s="13">
        <f>SUM(CB8:CE8)</f>
        <v>1159512</v>
      </c>
      <c r="CG8" s="12">
        <v>313243</v>
      </c>
      <c r="CH8" s="12">
        <v>333682</v>
      </c>
      <c r="CI8" s="12">
        <v>347170</v>
      </c>
      <c r="CJ8" s="12">
        <v>348836</v>
      </c>
      <c r="CK8" s="13">
        <f>SUM(CG8:CJ8)</f>
        <v>1342931</v>
      </c>
      <c r="CL8" s="12">
        <v>374989</v>
      </c>
      <c r="CM8" s="12">
        <v>405075</v>
      </c>
      <c r="CN8" s="12">
        <v>401094</v>
      </c>
      <c r="CO8" s="12">
        <f>'Revenue Build'!AF65</f>
        <v>404858.03399999999</v>
      </c>
      <c r="CP8" s="13">
        <f>SUM(CL8:CO8)</f>
        <v>1586016.034</v>
      </c>
      <c r="CQ8" s="12">
        <f>'Revenue Build'!AH65</f>
        <v>424526.87</v>
      </c>
      <c r="CR8" s="12">
        <f>'Revenue Build'!AI65</f>
        <v>458453.82999999996</v>
      </c>
      <c r="CS8" s="12">
        <f>'Revenue Build'!AJ65</f>
        <v>456704.14</v>
      </c>
      <c r="CT8" s="12">
        <f>'Revenue Build'!AK65</f>
        <v>461889.00924000004</v>
      </c>
      <c r="CU8" s="13">
        <f>SUM(CQ8:CT8)</f>
        <v>1801573.8492399999</v>
      </c>
      <c r="CV8" s="12">
        <f>2095+2135</f>
        <v>4230</v>
      </c>
      <c r="CW8" s="12"/>
      <c r="CX8" s="12">
        <f>CF8+CF14</f>
        <v>1626173</v>
      </c>
      <c r="CY8" s="12">
        <f>CK8+CK14</f>
        <v>1806063</v>
      </c>
      <c r="DA8" s="449" t="s">
        <v>618</v>
      </c>
      <c r="DB8" s="454">
        <f>DB7*DB6</f>
        <v>9073000</v>
      </c>
      <c r="DC8" s="103"/>
    </row>
    <row r="9" spans="1:117" s="633" customFormat="1" ht="11.65" customHeight="1">
      <c r="A9" s="625"/>
      <c r="B9" s="626"/>
      <c r="C9" s="627" t="s">
        <v>21</v>
      </c>
      <c r="D9" s="628"/>
      <c r="E9" s="627"/>
      <c r="F9" s="627"/>
      <c r="G9" s="627"/>
      <c r="H9" s="627"/>
      <c r="I9" s="628">
        <f>I8/D8-1</f>
        <v>0.38131847011339604</v>
      </c>
      <c r="J9" s="626">
        <f t="shared" ref="J9:X9" si="5">J8/E8-1</f>
        <v>0.21776416539050536</v>
      </c>
      <c r="K9" s="627">
        <f t="shared" si="5"/>
        <v>0.1206896551724137</v>
      </c>
      <c r="L9" s="627">
        <f t="shared" si="5"/>
        <v>0.29268292682926833</v>
      </c>
      <c r="M9" s="629">
        <f t="shared" si="5"/>
        <v>0.15913200723327314</v>
      </c>
      <c r="N9" s="628">
        <f t="shared" si="5"/>
        <v>0.195283150132183</v>
      </c>
      <c r="O9" s="626">
        <f t="shared" si="5"/>
        <v>0.32117706237424537</v>
      </c>
      <c r="P9" s="627">
        <f t="shared" si="5"/>
        <v>0.39591346153846163</v>
      </c>
      <c r="Q9" s="627">
        <f t="shared" si="5"/>
        <v>0.320754716981132</v>
      </c>
      <c r="R9" s="629">
        <f t="shared" si="5"/>
        <v>0.38578114553153564</v>
      </c>
      <c r="S9" s="628">
        <f t="shared" si="5"/>
        <v>0.35603282696001393</v>
      </c>
      <c r="T9" s="626">
        <f t="shared" si="5"/>
        <v>0.32571863696935077</v>
      </c>
      <c r="U9" s="627">
        <f t="shared" si="5"/>
        <v>0.25314275873945236</v>
      </c>
      <c r="V9" s="627">
        <f t="shared" si="5"/>
        <v>0.32707641196013282</v>
      </c>
      <c r="W9" s="629">
        <f t="shared" si="5"/>
        <v>0.43615310389192663</v>
      </c>
      <c r="X9" s="628">
        <f t="shared" si="5"/>
        <v>0.33745385870031752</v>
      </c>
      <c r="Y9" s="626">
        <f t="shared" ref="Y9:BD9" si="6">Y8/T8-1</f>
        <v>0.43136128661688677</v>
      </c>
      <c r="Z9" s="627">
        <f t="shared" si="6"/>
        <v>0.45018551600934442</v>
      </c>
      <c r="AA9" s="627">
        <f t="shared" si="6"/>
        <v>0.41882588559268985</v>
      </c>
      <c r="AB9" s="629">
        <f t="shared" si="6"/>
        <v>0.4291153415453528</v>
      </c>
      <c r="AC9" s="628">
        <f t="shared" si="6"/>
        <v>0.43189987163029531</v>
      </c>
      <c r="AD9" s="626">
        <f t="shared" si="6"/>
        <v>0.3516252006420546</v>
      </c>
      <c r="AE9" s="627">
        <f t="shared" si="6"/>
        <v>0.31365488486686255</v>
      </c>
      <c r="AF9" s="627">
        <f t="shared" si="6"/>
        <v>0.34221438023820028</v>
      </c>
      <c r="AG9" s="629">
        <f t="shared" si="6"/>
        <v>0.51339915373765876</v>
      </c>
      <c r="AH9" s="628">
        <f t="shared" si="6"/>
        <v>0.38652561746380387</v>
      </c>
      <c r="AI9" s="626">
        <f t="shared" si="6"/>
        <v>0.52208119943590892</v>
      </c>
      <c r="AJ9" s="627">
        <f t="shared" si="6"/>
        <v>0.51006275697900882</v>
      </c>
      <c r="AK9" s="627">
        <f t="shared" si="6"/>
        <v>0.49165242539765996</v>
      </c>
      <c r="AL9" s="629">
        <f t="shared" si="6"/>
        <v>0.2277622450036243</v>
      </c>
      <c r="AM9" s="628">
        <f t="shared" si="6"/>
        <v>0.42001810422863062</v>
      </c>
      <c r="AN9" s="626">
        <f t="shared" si="6"/>
        <v>0.23313990344760316</v>
      </c>
      <c r="AO9" s="627">
        <f t="shared" si="6"/>
        <v>0.28733161364287763</v>
      </c>
      <c r="AP9" s="627">
        <f t="shared" si="6"/>
        <v>0.2794571252313387</v>
      </c>
      <c r="AQ9" s="629">
        <f t="shared" si="6"/>
        <v>0.29296166659638168</v>
      </c>
      <c r="AR9" s="628">
        <f t="shared" si="6"/>
        <v>0.27416674255532292</v>
      </c>
      <c r="AS9" s="630">
        <f t="shared" si="6"/>
        <v>0.3480306864916165</v>
      </c>
      <c r="AT9" s="631">
        <f t="shared" si="6"/>
        <v>0.26045493339270465</v>
      </c>
      <c r="AU9" s="631">
        <f t="shared" si="6"/>
        <v>0.26976856316297004</v>
      </c>
      <c r="AV9" s="629">
        <f t="shared" si="6"/>
        <v>0.23215916503587741</v>
      </c>
      <c r="AW9" s="628">
        <f t="shared" si="6"/>
        <v>0.27490552384015432</v>
      </c>
      <c r="AX9" s="630">
        <f t="shared" si="6"/>
        <v>0.17639121124116275</v>
      </c>
      <c r="AY9" s="627">
        <f t="shared" si="6"/>
        <v>0.20545807819123874</v>
      </c>
      <c r="AZ9" s="627">
        <f t="shared" si="6"/>
        <v>0.21619788982614119</v>
      </c>
      <c r="BA9" s="629">
        <f t="shared" si="6"/>
        <v>0.26054846736195669</v>
      </c>
      <c r="BB9" s="628">
        <f t="shared" si="6"/>
        <v>0.21587341630227597</v>
      </c>
      <c r="BC9" s="630">
        <f t="shared" si="6"/>
        <v>0.22258241484215247</v>
      </c>
      <c r="BD9" s="627">
        <f t="shared" si="6"/>
        <v>0.33516496935062401</v>
      </c>
      <c r="BE9" s="627">
        <f t="shared" ref="BE9:CL9" si="7">BE8/AZ8-1</f>
        <v>0.3425512934879571</v>
      </c>
      <c r="BF9" s="629">
        <f t="shared" si="7"/>
        <v>0.27807059910543663</v>
      </c>
      <c r="BG9" s="628">
        <f t="shared" si="7"/>
        <v>0.29538355138032379</v>
      </c>
      <c r="BH9" s="630">
        <f t="shared" si="7"/>
        <v>0.37217508362568319</v>
      </c>
      <c r="BI9" s="627">
        <f t="shared" si="7"/>
        <v>0.34394834555797416</v>
      </c>
      <c r="BJ9" s="627">
        <f t="shared" si="7"/>
        <v>0.25036544850498332</v>
      </c>
      <c r="BK9" s="629">
        <f t="shared" si="7"/>
        <v>0.31984949805300422</v>
      </c>
      <c r="BL9" s="628">
        <f t="shared" si="7"/>
        <v>0.31851469554462053</v>
      </c>
      <c r="BM9" s="630">
        <f t="shared" si="7"/>
        <v>0.21476031215161639</v>
      </c>
      <c r="BN9" s="627">
        <f t="shared" si="7"/>
        <v>0.16553929908132026</v>
      </c>
      <c r="BO9" s="627">
        <f t="shared" si="7"/>
        <v>0.18623126793495581</v>
      </c>
      <c r="BP9" s="629">
        <f t="shared" si="7"/>
        <v>0.17013569027760478</v>
      </c>
      <c r="BQ9" s="628">
        <f t="shared" si="7"/>
        <v>0.18321455566353517</v>
      </c>
      <c r="BR9" s="630">
        <f t="shared" si="7"/>
        <v>0.25397990773711188</v>
      </c>
      <c r="BS9" s="627">
        <f t="shared" si="7"/>
        <v>1.3452906420047177</v>
      </c>
      <c r="BT9" s="627">
        <f t="shared" si="7"/>
        <v>1.8412252211893829</v>
      </c>
      <c r="BU9" s="629">
        <f t="shared" si="7"/>
        <v>1.4478972733172335</v>
      </c>
      <c r="BV9" s="628">
        <f t="shared" si="7"/>
        <v>1.2447383130660947</v>
      </c>
      <c r="BW9" s="627">
        <f t="shared" si="7"/>
        <v>1.3950565481708446</v>
      </c>
      <c r="BX9" s="627">
        <f t="shared" si="7"/>
        <v>0.27369228164862625</v>
      </c>
      <c r="BY9" s="627">
        <f t="shared" si="7"/>
        <v>2.5739772086734725E-3</v>
      </c>
      <c r="BZ9" s="629">
        <f t="shared" si="7"/>
        <v>0.11562180838349367</v>
      </c>
      <c r="CA9" s="628">
        <f t="shared" si="7"/>
        <v>0.28609742184413167</v>
      </c>
      <c r="CB9" s="627">
        <f t="shared" si="7"/>
        <v>0.14268893388689019</v>
      </c>
      <c r="CC9" s="627">
        <f t="shared" si="7"/>
        <v>0.16407496012759171</v>
      </c>
      <c r="CD9" s="627">
        <f t="shared" si="7"/>
        <v>0.1605844007768944</v>
      </c>
      <c r="CE9" s="629">
        <f t="shared" si="7"/>
        <v>0.11441026260328235</v>
      </c>
      <c r="CF9" s="628">
        <f t="shared" si="7"/>
        <v>0.14541876748486615</v>
      </c>
      <c r="CG9" s="627">
        <f t="shared" si="7"/>
        <v>0.11687019770737872</v>
      </c>
      <c r="CH9" s="627">
        <f t="shared" si="7"/>
        <v>0.12053165160566714</v>
      </c>
      <c r="CI9" s="627">
        <f t="shared" si="7"/>
        <v>0.1760899759476946</v>
      </c>
      <c r="CJ9" s="629">
        <f t="shared" si="7"/>
        <v>0.21941636254317154</v>
      </c>
      <c r="CK9" s="628">
        <f t="shared" ref="CK9:CP9" si="8">CK8/CF8-1</f>
        <v>0.15818637495774079</v>
      </c>
      <c r="CL9" s="627">
        <f t="shared" si="7"/>
        <v>0.19711853098074017</v>
      </c>
      <c r="CM9" s="627">
        <f t="shared" si="8"/>
        <v>0.21395520285781067</v>
      </c>
      <c r="CN9" s="627">
        <f t="shared" si="8"/>
        <v>0.15532448080191252</v>
      </c>
      <c r="CO9" s="629">
        <f t="shared" si="8"/>
        <v>0.1605970542031212</v>
      </c>
      <c r="CP9" s="628">
        <f t="shared" si="8"/>
        <v>0.18101081440520761</v>
      </c>
      <c r="CQ9" s="627">
        <f t="shared" ref="CQ9" si="9">CQ8/CL8-1</f>
        <v>0.13210486174261105</v>
      </c>
      <c r="CR9" s="627">
        <f t="shared" ref="CR9" si="10">CR8/CM8-1</f>
        <v>0.1317751774362772</v>
      </c>
      <c r="CS9" s="627">
        <f t="shared" ref="CS9" si="11">CS8/CN8-1</f>
        <v>0.13864615277216807</v>
      </c>
      <c r="CT9" s="629">
        <f t="shared" ref="CT9" si="12">CT8/CO8-1</f>
        <v>0.14086660125410799</v>
      </c>
      <c r="CU9" s="628">
        <f t="shared" ref="CU9" si="13">CU8/CP8-1</f>
        <v>0.1359114981305416</v>
      </c>
      <c r="CV9" s="1031">
        <f>CV8/2</f>
        <v>2115</v>
      </c>
      <c r="CW9" s="627"/>
      <c r="CX9" s="627"/>
      <c r="CY9" s="627">
        <f>CY8/CX8-1</f>
        <v>0.11062168662251803</v>
      </c>
      <c r="CZ9" s="632"/>
      <c r="DA9" s="449" t="s">
        <v>619</v>
      </c>
      <c r="DB9" s="454">
        <f>BS100</f>
        <v>-1332692</v>
      </c>
      <c r="DD9" s="636"/>
      <c r="DE9" s="636"/>
      <c r="DF9" s="636"/>
      <c r="DG9" s="636"/>
      <c r="DH9" s="636"/>
      <c r="DI9" s="636"/>
      <c r="DJ9" s="636"/>
      <c r="DK9" s="636"/>
      <c r="DL9" s="636"/>
    </row>
    <row r="10" spans="1:117" s="633" customFormat="1" ht="11.65" customHeight="1">
      <c r="A10" s="625"/>
      <c r="B10" s="626"/>
      <c r="C10" s="627" t="s">
        <v>22</v>
      </c>
      <c r="D10" s="628"/>
      <c r="E10" s="627"/>
      <c r="F10" s="627">
        <f>F8/E8-1</f>
        <v>0.13690658499234298</v>
      </c>
      <c r="G10" s="627">
        <f>G8/F8-1</f>
        <v>-5.0107758620689613E-2</v>
      </c>
      <c r="H10" s="627">
        <f>H8/G8-1</f>
        <v>9.7844583096993842E-2</v>
      </c>
      <c r="I10" s="628"/>
      <c r="J10" s="627">
        <f>J8/H8-1</f>
        <v>2.7124773960216952E-2</v>
      </c>
      <c r="K10" s="627">
        <f>K8/J8-1</f>
        <v>4.6277665995975825E-2</v>
      </c>
      <c r="L10" s="627">
        <f>L8/K8-1</f>
        <v>9.5673076923076916E-2</v>
      </c>
      <c r="M10" s="627">
        <f>M8/L8-1</f>
        <v>-1.557700745941204E-2</v>
      </c>
      <c r="N10" s="628"/>
      <c r="O10" s="627">
        <f>O8/M8-1</f>
        <v>0.1707154000445732</v>
      </c>
      <c r="P10" s="627">
        <f>P8/O8-1</f>
        <v>0.10546354464115737</v>
      </c>
      <c r="Q10" s="627">
        <f>Q8/P8-1</f>
        <v>3.6679869123471764E-2</v>
      </c>
      <c r="R10" s="627">
        <f>R8/Q8-1</f>
        <v>3.2890365448504877E-2</v>
      </c>
      <c r="S10" s="628"/>
      <c r="T10" s="627">
        <f>T8/R8-1</f>
        <v>0.11997426825345769</v>
      </c>
      <c r="U10" s="627">
        <f>U8/T8-1</f>
        <v>4.4945433658816869E-2</v>
      </c>
      <c r="V10" s="627">
        <f>V8/U8-1</f>
        <v>9.7842517520956518E-2</v>
      </c>
      <c r="W10" s="627">
        <f>W8/V8-1</f>
        <v>0.11778695706596576</v>
      </c>
      <c r="X10" s="628"/>
      <c r="Y10" s="627">
        <f>Y8/W8-1</f>
        <v>0.11623740201567756</v>
      </c>
      <c r="Z10" s="627">
        <f>Z8/Y8-1</f>
        <v>5.8687800963081793E-2</v>
      </c>
      <c r="AA10" s="627">
        <f>AA8/Z8-1</f>
        <v>7.410215104709561E-2</v>
      </c>
      <c r="AB10" s="627">
        <f>AB8/AA8-1</f>
        <v>0.12589325099250104</v>
      </c>
      <c r="AC10" s="634"/>
      <c r="AD10" s="627">
        <f>AD8/AB8-1</f>
        <v>5.5712270803949249E-2</v>
      </c>
      <c r="AE10" s="627">
        <f>AE8/AD8-1</f>
        <v>2.894678245379656E-2</v>
      </c>
      <c r="AF10" s="627">
        <f>AF8/AE8-1</f>
        <v>9.7453653610329649E-2</v>
      </c>
      <c r="AG10" s="627">
        <f>AG8/AF8-1</f>
        <v>0.26948862889443936</v>
      </c>
      <c r="AH10" s="634"/>
      <c r="AI10" s="627">
        <f>AI8/AG8-1</f>
        <v>6.1768665216941132E-2</v>
      </c>
      <c r="AJ10" s="627">
        <f>AJ8/AI8-1</f>
        <v>2.0822158287413961E-2</v>
      </c>
      <c r="AK10" s="627">
        <f>AK8/AJ8-1</f>
        <v>8.4073755612878553E-2</v>
      </c>
      <c r="AL10" s="627">
        <f>AL8/AK8-1</f>
        <v>4.4901736141711446E-2</v>
      </c>
      <c r="AM10" s="634"/>
      <c r="AN10" s="627">
        <f>AN8/AL8-1</f>
        <v>6.6419263695019604E-2</v>
      </c>
      <c r="AO10" s="627">
        <f>AO8/AN8-1</f>
        <v>6.5683328060740287E-2</v>
      </c>
      <c r="AP10" s="627">
        <f>AP8/AO8-1</f>
        <v>7.7442576718987688E-2</v>
      </c>
      <c r="AQ10" s="627">
        <f>AQ8/AP8-1</f>
        <v>5.5930568948890924E-2</v>
      </c>
      <c r="AR10" s="634"/>
      <c r="AS10" s="631">
        <f>AS8/AQ8-1</f>
        <v>0.11183953033268113</v>
      </c>
      <c r="AT10" s="627">
        <f>AT8/AS8-1</f>
        <v>-3.5495321071313812E-3</v>
      </c>
      <c r="AU10" s="627">
        <f>AU8/AT8-1</f>
        <v>8.540390956194055E-2</v>
      </c>
      <c r="AV10" s="627">
        <f>AV8/AU8-1</f>
        <v>2.4654859095717185E-2</v>
      </c>
      <c r="AW10" s="634"/>
      <c r="AX10" s="631">
        <f>AX8/AV8-1</f>
        <v>6.1517285192440152E-2</v>
      </c>
      <c r="AY10" s="627">
        <f>AY8/AX8-1</f>
        <v>2.1071268265921983E-2</v>
      </c>
      <c r="AZ10" s="627">
        <f>AZ8/AY8-1</f>
        <v>9.5074120204166279E-2</v>
      </c>
      <c r="BA10" s="627">
        <f>BA8/AZ8-1</f>
        <v>6.2020517395182884E-2</v>
      </c>
      <c r="BB10" s="634"/>
      <c r="BC10" s="631">
        <f>BC8/BA8-1</f>
        <v>2.9545788622666436E-2</v>
      </c>
      <c r="BD10" s="627">
        <f>BD8/BC8-1</f>
        <v>0.11509749530880309</v>
      </c>
      <c r="BE10" s="627">
        <f>BE8/BD8-1</f>
        <v>0.10113222732344385</v>
      </c>
      <c r="BF10" s="627">
        <f>BF8/BE8-1</f>
        <v>1.101328903654486E-2</v>
      </c>
      <c r="BG10" s="634"/>
      <c r="BH10" s="631">
        <f>BH8/BF8-1</f>
        <v>0.1053513628969982</v>
      </c>
      <c r="BI10" s="627">
        <f>BI8/BH8-1</f>
        <v>9.2159048680787725E-2</v>
      </c>
      <c r="BJ10" s="627">
        <f>BJ8/BI8-1</f>
        <v>2.4457298400816674E-2</v>
      </c>
      <c r="BK10" s="627">
        <f>BK8/BJ8-1</f>
        <v>6.719630141354016E-2</v>
      </c>
      <c r="BL10" s="634"/>
      <c r="BM10" s="631">
        <f>BM8/BK8-1</f>
        <v>1.7340968504917287E-2</v>
      </c>
      <c r="BN10" s="627">
        <f>BN8/BM8-1</f>
        <v>4.7905730332953977E-2</v>
      </c>
      <c r="BO10" s="627">
        <f>BO8/BN8-1</f>
        <v>4.2644620378803788E-2</v>
      </c>
      <c r="BP10" s="627">
        <f>BP8/BO8-1</f>
        <v>5.2715869638257473E-2</v>
      </c>
      <c r="BQ10" s="634"/>
      <c r="BR10" s="631">
        <f>BR8/BP8-1</f>
        <v>9.0236922454971946E-2</v>
      </c>
      <c r="BS10" s="627">
        <f>BS8/BR8-1</f>
        <v>0.95987470603733449</v>
      </c>
      <c r="BT10" s="627">
        <f>BT8/BS8-1</f>
        <v>0.26312199396552582</v>
      </c>
      <c r="BU10" s="627">
        <f>BU8/BT8-1</f>
        <v>-9.3017939005017869E-2</v>
      </c>
      <c r="BV10" s="634"/>
      <c r="BW10" s="627">
        <f>BW8/BV8-1</f>
        <v>-0.68817310856255709</v>
      </c>
      <c r="BX10" s="627">
        <f>BX8/BW8-1</f>
        <v>4.2262358266481392E-2</v>
      </c>
      <c r="BY10" s="627">
        <f>BY8/BX8-1</f>
        <v>-5.7463176658223425E-3</v>
      </c>
      <c r="BZ10" s="627">
        <f>BZ8/BY8-1</f>
        <v>9.2511775298216303E-3</v>
      </c>
      <c r="CA10" s="634"/>
      <c r="CB10" s="627">
        <f>CB8/BZ8-1</f>
        <v>9.2583142123654483E-2</v>
      </c>
      <c r="CC10" s="627">
        <f>CC8/CB8-1</f>
        <v>6.1768848162872425E-2</v>
      </c>
      <c r="CD10" s="627">
        <f>CD8/CC8-1</f>
        <v>-8.727656159226882E-3</v>
      </c>
      <c r="CE10" s="627">
        <f>CE8/CD8-1</f>
        <v>-3.0902130830990249E-2</v>
      </c>
      <c r="CF10" s="634"/>
      <c r="CG10" s="649">
        <f>CG8/CE8-1</f>
        <v>9.499489631835778E-2</v>
      </c>
      <c r="CH10" s="627">
        <f>CH8/CG8-1</f>
        <v>6.5249662402671493E-2</v>
      </c>
      <c r="CI10" s="627">
        <f>CI8/CH8-1</f>
        <v>4.0421718882049484E-2</v>
      </c>
      <c r="CJ10" s="627">
        <f>CJ8/CI8-1</f>
        <v>4.7988017397817551E-3</v>
      </c>
      <c r="CK10" s="634"/>
      <c r="CL10" s="649">
        <f>CL8/CJ8-1</f>
        <v>7.4972193236936491E-2</v>
      </c>
      <c r="CM10" s="627">
        <f>CM8/CL8-1</f>
        <v>8.0231686796146118E-2</v>
      </c>
      <c r="CN10" s="627">
        <f>CN8/CM8-1</f>
        <v>-9.8278096648768409E-3</v>
      </c>
      <c r="CO10" s="627">
        <f>CO8/CN8-1</f>
        <v>9.384418615087764E-3</v>
      </c>
      <c r="CP10" s="634"/>
      <c r="CQ10" s="649">
        <f>CQ8/CO8-1</f>
        <v>4.8582056790800854E-2</v>
      </c>
      <c r="CR10" s="627">
        <f>CR8/CQ8-1</f>
        <v>7.9917108662638903E-2</v>
      </c>
      <c r="CS10" s="627">
        <f>CS8/CR8-1</f>
        <v>-3.81650208920703E-3</v>
      </c>
      <c r="CT10" s="627">
        <f>CT8/CS8-1</f>
        <v>1.1352796670509813E-2</v>
      </c>
      <c r="CU10" s="634"/>
      <c r="CV10" s="635"/>
      <c r="CW10" s="635"/>
      <c r="CX10" s="635">
        <f>2500+2550</f>
        <v>5050</v>
      </c>
      <c r="CY10" s="635"/>
      <c r="CZ10" s="632"/>
      <c r="DA10" s="449" t="s">
        <v>620</v>
      </c>
      <c r="DB10" s="454">
        <f>DB8-DB9</f>
        <v>10405692</v>
      </c>
      <c r="DC10" s="639"/>
      <c r="DD10" s="639"/>
      <c r="DE10" s="639"/>
      <c r="DF10" s="639"/>
      <c r="DG10" s="639"/>
      <c r="DH10" s="639"/>
      <c r="DI10" s="639"/>
      <c r="DJ10" s="639"/>
      <c r="DK10" s="639"/>
      <c r="DL10" s="639"/>
      <c r="DM10" s="639"/>
    </row>
    <row r="11" spans="1:117" s="68" customFormat="1" ht="18" customHeight="1">
      <c r="A11" s="10"/>
      <c r="B11" s="8" t="s">
        <v>48</v>
      </c>
      <c r="C11" s="12"/>
      <c r="D11" s="13">
        <v>60283</v>
      </c>
      <c r="E11" s="12">
        <v>16525</v>
      </c>
      <c r="F11" s="12">
        <v>19848</v>
      </c>
      <c r="G11" s="12">
        <v>18600</v>
      </c>
      <c r="H11" s="12">
        <f>I11-G11-F11-E11</f>
        <v>20024</v>
      </c>
      <c r="I11" s="13">
        <v>74997</v>
      </c>
      <c r="J11" s="12">
        <v>19232</v>
      </c>
      <c r="K11" s="12">
        <v>21330</v>
      </c>
      <c r="L11" s="12">
        <v>20383</v>
      </c>
      <c r="M11" s="12">
        <f>N11-L11-K11-J11</f>
        <v>19460</v>
      </c>
      <c r="N11" s="13">
        <v>80405</v>
      </c>
      <c r="O11" s="12">
        <v>17056</v>
      </c>
      <c r="P11" s="12">
        <v>18506</v>
      </c>
      <c r="Q11" s="12">
        <v>16718</v>
      </c>
      <c r="R11" s="12">
        <v>16060</v>
      </c>
      <c r="S11" s="13">
        <f>SUM(O11:R11)</f>
        <v>68340</v>
      </c>
      <c r="T11" s="12">
        <v>16764</v>
      </c>
      <c r="U11" s="12">
        <v>17992</v>
      </c>
      <c r="V11" s="12">
        <v>17644</v>
      </c>
      <c r="W11" s="12">
        <v>17217</v>
      </c>
      <c r="X11" s="13">
        <f>SUM(T11:W11)</f>
        <v>69617</v>
      </c>
      <c r="Y11" s="12">
        <v>18530</v>
      </c>
      <c r="Z11" s="12">
        <v>21737</v>
      </c>
      <c r="AA11" s="12">
        <v>22099</v>
      </c>
      <c r="AB11" s="12">
        <v>21042</v>
      </c>
      <c r="AC11" s="13">
        <f>SUM(Y11:AB11)</f>
        <v>83408</v>
      </c>
      <c r="AD11" s="12">
        <v>20461</v>
      </c>
      <c r="AE11" s="12">
        <v>24085</v>
      </c>
      <c r="AF11" s="12">
        <v>24860</v>
      </c>
      <c r="AG11" s="12">
        <v>23861</v>
      </c>
      <c r="AH11" s="13">
        <f>SUM(AD11:AG11)</f>
        <v>93267</v>
      </c>
      <c r="AI11" s="35">
        <v>24307</v>
      </c>
      <c r="AJ11" s="35">
        <v>30128</v>
      </c>
      <c r="AK11" s="35">
        <v>31159</v>
      </c>
      <c r="AL11" s="35">
        <v>28227</v>
      </c>
      <c r="AM11" s="13">
        <f>SUM(AI11:AL11)</f>
        <v>113821</v>
      </c>
      <c r="AN11" s="35">
        <v>30804</v>
      </c>
      <c r="AO11" s="35">
        <v>34563</v>
      </c>
      <c r="AP11" s="35">
        <v>36398</v>
      </c>
      <c r="AQ11" s="35">
        <v>38087</v>
      </c>
      <c r="AR11" s="13">
        <f>SUM(AN11:AQ11)</f>
        <v>139852</v>
      </c>
      <c r="AS11" s="60">
        <v>42430</v>
      </c>
      <c r="AT11" s="35">
        <v>46040</v>
      </c>
      <c r="AU11" s="60">
        <v>44738</v>
      </c>
      <c r="AV11" s="35">
        <v>41595</v>
      </c>
      <c r="AW11" s="13">
        <f>SUM(AS11:AV11)</f>
        <v>174803</v>
      </c>
      <c r="AX11" s="35">
        <v>45018</v>
      </c>
      <c r="AY11" s="35">
        <v>47372</v>
      </c>
      <c r="AZ11" s="35">
        <v>47479</v>
      </c>
      <c r="BA11" s="35">
        <v>47280</v>
      </c>
      <c r="BB11" s="13">
        <f>SUM(AX11:BA11)</f>
        <v>187149</v>
      </c>
      <c r="BC11" s="35">
        <v>45939</v>
      </c>
      <c r="BD11" s="35">
        <v>50674</v>
      </c>
      <c r="BE11" s="35">
        <v>48199</v>
      </c>
      <c r="BF11" s="35">
        <v>46457</v>
      </c>
      <c r="BG11" s="13">
        <f>SUM(BC11:BF11)</f>
        <v>191269</v>
      </c>
      <c r="BH11" s="35">
        <v>48443</v>
      </c>
      <c r="BI11" s="35">
        <v>57401</v>
      </c>
      <c r="BJ11" s="35">
        <f>54997</f>
        <v>54997</v>
      </c>
      <c r="BK11" s="35">
        <f>52220</f>
        <v>52220</v>
      </c>
      <c r="BL11" s="13">
        <f>SUM(BH11:BK11)</f>
        <v>213061</v>
      </c>
      <c r="BM11" s="35">
        <v>52133</v>
      </c>
      <c r="BN11" s="35">
        <f>43654</f>
        <v>43654</v>
      </c>
      <c r="BO11" s="35">
        <v>47946</v>
      </c>
      <c r="BP11" s="35">
        <v>42676</v>
      </c>
      <c r="BQ11" s="13">
        <f>SUM(BM11:BP11)</f>
        <v>186409</v>
      </c>
      <c r="BR11" s="35">
        <v>47640</v>
      </c>
      <c r="BS11" s="35">
        <f>53337</f>
        <v>53337</v>
      </c>
      <c r="BT11" s="35">
        <v>54624</v>
      </c>
      <c r="BU11" s="35">
        <v>53790</v>
      </c>
      <c r="BV11" s="13">
        <f>SUM(BR11:BU11)</f>
        <v>209391</v>
      </c>
      <c r="BW11" s="35">
        <v>61497</v>
      </c>
      <c r="BX11" s="35">
        <v>63125</v>
      </c>
      <c r="BY11" s="35">
        <v>63180</v>
      </c>
      <c r="BZ11" s="35">
        <v>55315</v>
      </c>
      <c r="CA11" s="13">
        <f>SUM(BW11:BZ11)</f>
        <v>243117</v>
      </c>
      <c r="CB11" s="35">
        <v>60929</v>
      </c>
      <c r="CC11" s="35">
        <v>66420</v>
      </c>
      <c r="CD11" s="35">
        <v>61126</v>
      </c>
      <c r="CE11" s="35">
        <v>61501</v>
      </c>
      <c r="CF11" s="13">
        <f>SUM(CB11:CE11)</f>
        <v>249976</v>
      </c>
      <c r="CG11" s="35">
        <v>64806</v>
      </c>
      <c r="CH11" s="35">
        <v>71928</v>
      </c>
      <c r="CI11" s="35">
        <v>64462</v>
      </c>
      <c r="CJ11" s="35">
        <f>62795</f>
        <v>62795</v>
      </c>
      <c r="CK11" s="13">
        <f>SUM(CG11:CJ11)</f>
        <v>263991</v>
      </c>
      <c r="CL11" s="35">
        <v>64050</v>
      </c>
      <c r="CM11" s="35">
        <v>58612</v>
      </c>
      <c r="CN11" s="35">
        <v>64728</v>
      </c>
      <c r="CO11" s="35">
        <f>'Revenue Build'!AF67</f>
        <v>64000</v>
      </c>
      <c r="CP11" s="13">
        <f>SUM(CL11:CO11)</f>
        <v>251390</v>
      </c>
      <c r="CQ11" s="35">
        <f>'Revenue Build'!AH67</f>
        <v>66000</v>
      </c>
      <c r="CR11" s="35">
        <f>'Revenue Build'!AI67</f>
        <v>66000</v>
      </c>
      <c r="CS11" s="35">
        <f>'Revenue Build'!AJ67</f>
        <v>65500</v>
      </c>
      <c r="CT11" s="35">
        <f>'Revenue Build'!AK67</f>
        <v>64000</v>
      </c>
      <c r="CU11" s="13">
        <f>SUM(CQ11:CT11)</f>
        <v>261500</v>
      </c>
      <c r="CV11" s="12"/>
      <c r="CW11" s="12"/>
      <c r="CX11" s="12">
        <f>CX10/2</f>
        <v>2525</v>
      </c>
      <c r="CY11" s="12"/>
      <c r="CZ11" s="80"/>
      <c r="DA11" s="449" t="s">
        <v>621</v>
      </c>
      <c r="DB11" s="448">
        <f>BL23</f>
        <v>1091356</v>
      </c>
      <c r="DC11" s="204"/>
      <c r="DD11" s="103"/>
      <c r="DE11" s="206"/>
      <c r="DF11" s="206"/>
      <c r="DG11" s="206"/>
      <c r="DH11" s="206"/>
      <c r="DI11" s="206"/>
      <c r="DJ11" s="206"/>
      <c r="DK11" s="206"/>
      <c r="DL11" s="206"/>
      <c r="DM11" s="206"/>
    </row>
    <row r="12" spans="1:117" s="633" customFormat="1" ht="11.65" customHeight="1">
      <c r="A12" s="625"/>
      <c r="B12" s="626"/>
      <c r="C12" s="627" t="s">
        <v>21</v>
      </c>
      <c r="D12" s="628"/>
      <c r="E12" s="627"/>
      <c r="F12" s="627"/>
      <c r="G12" s="627"/>
      <c r="H12" s="627"/>
      <c r="I12" s="628">
        <f>I11/D11-1</f>
        <v>0.24408207952490746</v>
      </c>
      <c r="J12" s="626">
        <f t="shared" ref="J12:X12" si="14">J11/E11-1</f>
        <v>0.1638124054462935</v>
      </c>
      <c r="K12" s="627">
        <f t="shared" si="14"/>
        <v>7.4667472793228606E-2</v>
      </c>
      <c r="L12" s="627">
        <f t="shared" si="14"/>
        <v>9.586021505376352E-2</v>
      </c>
      <c r="M12" s="629">
        <f t="shared" si="14"/>
        <v>-2.8166200559328836E-2</v>
      </c>
      <c r="N12" s="628">
        <f t="shared" si="14"/>
        <v>7.2109551048708642E-2</v>
      </c>
      <c r="O12" s="626">
        <f t="shared" si="14"/>
        <v>-0.11314475873544094</v>
      </c>
      <c r="P12" s="627">
        <f t="shared" si="14"/>
        <v>-0.13239568682606662</v>
      </c>
      <c r="Q12" s="627">
        <f t="shared" si="14"/>
        <v>-0.17980670166315071</v>
      </c>
      <c r="R12" s="629">
        <f t="shared" si="14"/>
        <v>-0.17471736896197332</v>
      </c>
      <c r="S12" s="628">
        <f t="shared" si="14"/>
        <v>-0.15005285740936514</v>
      </c>
      <c r="T12" s="626">
        <f t="shared" si="14"/>
        <v>-1.7120075046904271E-2</v>
      </c>
      <c r="U12" s="627">
        <f t="shared" si="14"/>
        <v>-2.7774775748405922E-2</v>
      </c>
      <c r="V12" s="627">
        <f t="shared" si="14"/>
        <v>5.5389400646010278E-2</v>
      </c>
      <c r="W12" s="629">
        <f t="shared" si="14"/>
        <v>7.2042341220423411E-2</v>
      </c>
      <c r="X12" s="628">
        <f t="shared" si="14"/>
        <v>1.8685981855428802E-2</v>
      </c>
      <c r="Y12" s="626">
        <f t="shared" ref="Y12:BD12" si="15">Y11/T11-1</f>
        <v>0.10534478644714862</v>
      </c>
      <c r="Z12" s="627">
        <f t="shared" si="15"/>
        <v>0.20814806580702538</v>
      </c>
      <c r="AA12" s="627">
        <f t="shared" si="15"/>
        <v>0.25249376558603487</v>
      </c>
      <c r="AB12" s="629">
        <f t="shared" si="15"/>
        <v>0.22216414009409302</v>
      </c>
      <c r="AC12" s="628">
        <f t="shared" si="15"/>
        <v>0.19809816567792349</v>
      </c>
      <c r="AD12" s="626">
        <f t="shared" si="15"/>
        <v>0.10420939017808961</v>
      </c>
      <c r="AE12" s="627">
        <f t="shared" si="15"/>
        <v>0.10801858582141044</v>
      </c>
      <c r="AF12" s="627">
        <f t="shared" si="15"/>
        <v>0.12493777999004485</v>
      </c>
      <c r="AG12" s="629">
        <f t="shared" si="15"/>
        <v>0.13397015492823883</v>
      </c>
      <c r="AH12" s="628">
        <f t="shared" si="15"/>
        <v>0.11820209092652978</v>
      </c>
      <c r="AI12" s="626">
        <f t="shared" si="15"/>
        <v>0.18796735252431462</v>
      </c>
      <c r="AJ12" s="627">
        <f t="shared" si="15"/>
        <v>0.25090305169192439</v>
      </c>
      <c r="AK12" s="627">
        <f t="shared" si="15"/>
        <v>0.25337892196299272</v>
      </c>
      <c r="AL12" s="629">
        <f t="shared" si="15"/>
        <v>0.18297640501236323</v>
      </c>
      <c r="AM12" s="628">
        <f t="shared" si="15"/>
        <v>0.22037805440295077</v>
      </c>
      <c r="AN12" s="626">
        <f t="shared" si="15"/>
        <v>0.26728925823836747</v>
      </c>
      <c r="AO12" s="627">
        <f t="shared" si="15"/>
        <v>0.14720525756771119</v>
      </c>
      <c r="AP12" s="627">
        <f t="shared" si="15"/>
        <v>0.16813761673994665</v>
      </c>
      <c r="AQ12" s="629">
        <f t="shared" si="15"/>
        <v>0.34931094342296376</v>
      </c>
      <c r="AR12" s="628">
        <f t="shared" si="15"/>
        <v>0.22870120628003621</v>
      </c>
      <c r="AS12" s="630">
        <f t="shared" si="15"/>
        <v>0.37741851707570451</v>
      </c>
      <c r="AT12" s="631">
        <f t="shared" si="15"/>
        <v>0.33206029569192497</v>
      </c>
      <c r="AU12" s="631">
        <f t="shared" si="15"/>
        <v>0.22913346887191599</v>
      </c>
      <c r="AV12" s="629">
        <f t="shared" si="15"/>
        <v>9.2104917688450083E-2</v>
      </c>
      <c r="AW12" s="628">
        <f t="shared" si="15"/>
        <v>0.24991419500614942</v>
      </c>
      <c r="AX12" s="630">
        <f t="shared" si="15"/>
        <v>6.0994579307094066E-2</v>
      </c>
      <c r="AY12" s="627">
        <f t="shared" si="15"/>
        <v>2.8931364031277162E-2</v>
      </c>
      <c r="AZ12" s="627">
        <f t="shared" si="15"/>
        <v>6.1267826009209214E-2</v>
      </c>
      <c r="BA12" s="629">
        <f t="shared" si="15"/>
        <v>0.13667508113956006</v>
      </c>
      <c r="BB12" s="628">
        <f t="shared" si="15"/>
        <v>7.0628078465472477E-2</v>
      </c>
      <c r="BC12" s="630">
        <f t="shared" si="15"/>
        <v>2.045848327335742E-2</v>
      </c>
      <c r="BD12" s="627">
        <f t="shared" si="15"/>
        <v>6.9703622392974784E-2</v>
      </c>
      <c r="BE12" s="627">
        <f t="shared" ref="BE12:CL12" si="16">BE11/AZ11-1</f>
        <v>1.5164599085911723E-2</v>
      </c>
      <c r="BF12" s="629">
        <f t="shared" si="16"/>
        <v>-1.7406937394247035E-2</v>
      </c>
      <c r="BG12" s="628">
        <f t="shared" si="16"/>
        <v>2.2014544560751137E-2</v>
      </c>
      <c r="BH12" s="630">
        <f t="shared" si="16"/>
        <v>5.4507063714926307E-2</v>
      </c>
      <c r="BI12" s="627">
        <f t="shared" si="16"/>
        <v>0.13275052295062562</v>
      </c>
      <c r="BJ12" s="627">
        <f t="shared" si="16"/>
        <v>0.14104027054503199</v>
      </c>
      <c r="BK12" s="629">
        <f t="shared" si="16"/>
        <v>0.12405019695632524</v>
      </c>
      <c r="BL12" s="628">
        <f t="shared" si="16"/>
        <v>0.11393377912782521</v>
      </c>
      <c r="BM12" s="630">
        <f t="shared" si="16"/>
        <v>7.6171995954007699E-2</v>
      </c>
      <c r="BN12" s="627">
        <f t="shared" si="16"/>
        <v>-0.2394906012090382</v>
      </c>
      <c r="BO12" s="627">
        <f t="shared" si="16"/>
        <v>-0.12820699310871497</v>
      </c>
      <c r="BP12" s="629">
        <f t="shared" si="16"/>
        <v>-0.18276522405208728</v>
      </c>
      <c r="BQ12" s="628">
        <f t="shared" si="16"/>
        <v>-0.12509093639849622</v>
      </c>
      <c r="BR12" s="630">
        <f t="shared" si="16"/>
        <v>-8.6183415494983984E-2</v>
      </c>
      <c r="BS12" s="627">
        <f t="shared" si="16"/>
        <v>0.22181243414120133</v>
      </c>
      <c r="BT12" s="627">
        <f t="shared" si="16"/>
        <v>0.13928169190339124</v>
      </c>
      <c r="BU12" s="629">
        <f t="shared" si="16"/>
        <v>0.2604274065048271</v>
      </c>
      <c r="BV12" s="628">
        <f t="shared" si="16"/>
        <v>0.12328803866766092</v>
      </c>
      <c r="BW12" s="627">
        <f t="shared" si="16"/>
        <v>0.29086901763224171</v>
      </c>
      <c r="BX12" s="627">
        <f t="shared" si="16"/>
        <v>0.18351238352363275</v>
      </c>
      <c r="BY12" s="627">
        <f t="shared" si="16"/>
        <v>0.15663444639718804</v>
      </c>
      <c r="BZ12" s="629">
        <f t="shared" si="16"/>
        <v>2.8350994608663305E-2</v>
      </c>
      <c r="CA12" s="628">
        <f t="shared" si="16"/>
        <v>0.16106709457426538</v>
      </c>
      <c r="CB12" s="627">
        <f t="shared" si="16"/>
        <v>-9.2362229051823341E-3</v>
      </c>
      <c r="CC12" s="627">
        <f t="shared" si="16"/>
        <v>5.2198019801980244E-2</v>
      </c>
      <c r="CD12" s="627">
        <f t="shared" si="16"/>
        <v>-3.2510288065843662E-2</v>
      </c>
      <c r="CE12" s="629">
        <f t="shared" si="16"/>
        <v>0.11183223357136396</v>
      </c>
      <c r="CF12" s="628">
        <f t="shared" si="16"/>
        <v>2.8212753530193257E-2</v>
      </c>
      <c r="CG12" s="627">
        <f t="shared" si="16"/>
        <v>6.3631439872638751E-2</v>
      </c>
      <c r="CH12" s="627">
        <f t="shared" si="16"/>
        <v>8.2926829268292757E-2</v>
      </c>
      <c r="CI12" s="627">
        <f t="shared" si="16"/>
        <v>5.4575794261034538E-2</v>
      </c>
      <c r="CJ12" s="629">
        <f t="shared" si="16"/>
        <v>2.1040308287670229E-2</v>
      </c>
      <c r="CK12" s="628">
        <f t="shared" ref="CK12:CP12" si="17">CK11/CF11-1</f>
        <v>5.606538227669855E-2</v>
      </c>
      <c r="CL12" s="627">
        <f t="shared" si="16"/>
        <v>-1.166558651976668E-2</v>
      </c>
      <c r="CM12" s="627">
        <f t="shared" si="17"/>
        <v>-0.18512957401846286</v>
      </c>
      <c r="CN12" s="627">
        <f t="shared" si="17"/>
        <v>4.1264621017034209E-3</v>
      </c>
      <c r="CO12" s="629">
        <f t="shared" si="17"/>
        <v>1.9189425909706292E-2</v>
      </c>
      <c r="CP12" s="628">
        <f t="shared" si="17"/>
        <v>-4.7732687856782974E-2</v>
      </c>
      <c r="CQ12" s="627">
        <f t="shared" ref="CQ12" si="18">CQ11/CL11-1</f>
        <v>3.0444964871194413E-2</v>
      </c>
      <c r="CR12" s="627">
        <f t="shared" ref="CR12" si="19">CR11/CM11-1</f>
        <v>0.12604927318637826</v>
      </c>
      <c r="CS12" s="627">
        <f t="shared" ref="CS12" si="20">CS11/CN11-1</f>
        <v>1.192683228278324E-2</v>
      </c>
      <c r="CT12" s="629">
        <f t="shared" ref="CT12" si="21">CT11/CO11-1</f>
        <v>0</v>
      </c>
      <c r="CU12" s="628">
        <f t="shared" ref="CU12" si="22">CU11/CP11-1</f>
        <v>4.0216396833605117E-2</v>
      </c>
      <c r="CV12" s="627"/>
      <c r="CW12" s="627">
        <f>BL8/BL23</f>
        <v>0.27154475716448162</v>
      </c>
      <c r="CX12" s="627"/>
      <c r="CY12" s="627"/>
      <c r="CZ12" s="632"/>
      <c r="DA12" s="455" t="s">
        <v>622</v>
      </c>
      <c r="DB12" s="447">
        <f>DB10/DB11</f>
        <v>9.5346449737757428</v>
      </c>
    </row>
    <row r="13" spans="1:117" s="633" customFormat="1" ht="11.65" customHeight="1">
      <c r="A13" s="625"/>
      <c r="B13" s="626"/>
      <c r="C13" s="627" t="s">
        <v>22</v>
      </c>
      <c r="D13" s="628"/>
      <c r="E13" s="627"/>
      <c r="F13" s="627">
        <f>F11/E11-1</f>
        <v>0.20108925869894101</v>
      </c>
      <c r="G13" s="627">
        <f>G11/F11-1</f>
        <v>-6.2877871825876674E-2</v>
      </c>
      <c r="H13" s="627">
        <f>H11/G11-1</f>
        <v>7.6559139784946328E-2</v>
      </c>
      <c r="I13" s="628"/>
      <c r="J13" s="627">
        <f>J11/H11-1</f>
        <v>-3.9552536955653195E-2</v>
      </c>
      <c r="K13" s="627">
        <f>K11/J11-1</f>
        <v>0.10908901830282858</v>
      </c>
      <c r="L13" s="627">
        <f>L11/K11-1</f>
        <v>-4.439756211908108E-2</v>
      </c>
      <c r="M13" s="627">
        <f>M11/L11-1</f>
        <v>-4.5282833733993999E-2</v>
      </c>
      <c r="N13" s="628"/>
      <c r="O13" s="627">
        <f>O11/M11-1</f>
        <v>-0.12353545734840699</v>
      </c>
      <c r="P13" s="627">
        <f>P11/O11-1</f>
        <v>8.5014071294559068E-2</v>
      </c>
      <c r="Q13" s="627">
        <f>Q11/P11-1</f>
        <v>-9.6617313303793417E-2</v>
      </c>
      <c r="R13" s="627">
        <f>R11/Q11-1</f>
        <v>-3.9358774973082933E-2</v>
      </c>
      <c r="S13" s="628"/>
      <c r="T13" s="627">
        <f>T11/R11-1</f>
        <v>4.3835616438356206E-2</v>
      </c>
      <c r="U13" s="627">
        <f>U11/T11-1</f>
        <v>7.3252207110474865E-2</v>
      </c>
      <c r="V13" s="627">
        <f>V11/U11-1</f>
        <v>-1.9341929746554021E-2</v>
      </c>
      <c r="W13" s="627">
        <f>W11/V11-1</f>
        <v>-2.4200861482656988E-2</v>
      </c>
      <c r="X13" s="628"/>
      <c r="Y13" s="627">
        <f>Y11/W11-1</f>
        <v>7.6261834233606329E-2</v>
      </c>
      <c r="Z13" s="627">
        <f>Z11/Y11-1</f>
        <v>0.17307069616837567</v>
      </c>
      <c r="AA13" s="627">
        <f>AA11/Z11-1</f>
        <v>1.6653632055941392E-2</v>
      </c>
      <c r="AB13" s="627">
        <f>AB11/AA11-1</f>
        <v>-4.783021856192593E-2</v>
      </c>
      <c r="AC13" s="634"/>
      <c r="AD13" s="627">
        <f>AD11/AB11-1</f>
        <v>-2.7611443779108402E-2</v>
      </c>
      <c r="AE13" s="627">
        <f>AE11/AD11-1</f>
        <v>0.1771174429402278</v>
      </c>
      <c r="AF13" s="627">
        <f>AF11/AE11-1</f>
        <v>3.2177703965123428E-2</v>
      </c>
      <c r="AG13" s="627">
        <f>AG11/AF11-1</f>
        <v>-4.018503620273528E-2</v>
      </c>
      <c r="AH13" s="634"/>
      <c r="AI13" s="627">
        <f>AI11/AG11-1</f>
        <v>1.8691588785046731E-2</v>
      </c>
      <c r="AJ13" s="627">
        <f>AJ11/AI11-1</f>
        <v>0.2394783395729625</v>
      </c>
      <c r="AK13" s="627">
        <f>AK11/AJ11-1</f>
        <v>3.422065852363243E-2</v>
      </c>
      <c r="AL13" s="627">
        <f>AL11/AK11-1</f>
        <v>-9.409801341506463E-2</v>
      </c>
      <c r="AM13" s="634"/>
      <c r="AN13" s="627">
        <f>AN11/AL11-1</f>
        <v>9.1295568073121558E-2</v>
      </c>
      <c r="AO13" s="627">
        <f>AO11/AN11-1</f>
        <v>0.12202960654460471</v>
      </c>
      <c r="AP13" s="627">
        <f>AP11/AO11-1</f>
        <v>5.3091456181465713E-2</v>
      </c>
      <c r="AQ13" s="627">
        <f>AQ11/AP11-1</f>
        <v>4.6403648552118204E-2</v>
      </c>
      <c r="AR13" s="634"/>
      <c r="AS13" s="631">
        <f>AS11/AQ11-1</f>
        <v>0.11402840864336916</v>
      </c>
      <c r="AT13" s="627">
        <f>AT11/AS11-1</f>
        <v>8.508131039358946E-2</v>
      </c>
      <c r="AU13" s="627">
        <f>AU11/AT11-1</f>
        <v>-2.827975673327543E-2</v>
      </c>
      <c r="AV13" s="627">
        <f>AV11/AU11-1</f>
        <v>-7.0253475792391273E-2</v>
      </c>
      <c r="AW13" s="634"/>
      <c r="AX13" s="631">
        <f>AX11/AV11-1</f>
        <v>8.2293544897223292E-2</v>
      </c>
      <c r="AY13" s="627">
        <f>AY11/AX11-1</f>
        <v>5.2290195033097842E-2</v>
      </c>
      <c r="AZ13" s="627">
        <f>AZ11/AY11-1</f>
        <v>2.2587182301780917E-3</v>
      </c>
      <c r="BA13" s="627">
        <f>BA11/AZ11-1</f>
        <v>-4.1913266918005565E-3</v>
      </c>
      <c r="BB13" s="634"/>
      <c r="BC13" s="631">
        <f>BC11/BA11-1</f>
        <v>-2.8362944162436565E-2</v>
      </c>
      <c r="BD13" s="627">
        <f>BD11/BC11-1</f>
        <v>0.10307146433313741</v>
      </c>
      <c r="BE13" s="627">
        <f>BE11/BD11-1</f>
        <v>-4.8841615029403651E-2</v>
      </c>
      <c r="BF13" s="627">
        <f>BF11/BE11-1</f>
        <v>-3.6141828668644571E-2</v>
      </c>
      <c r="BG13" s="634"/>
      <c r="BH13" s="631">
        <f>BH11/BF11-1</f>
        <v>4.2749208945906947E-2</v>
      </c>
      <c r="BI13" s="627">
        <f>BI11/BH11-1</f>
        <v>0.18491835765745313</v>
      </c>
      <c r="BJ13" s="627">
        <f>BJ11/BI11-1</f>
        <v>-4.1880803470322858E-2</v>
      </c>
      <c r="BK13" s="627">
        <f>BK11/BJ11-1</f>
        <v>-5.0493663290724911E-2</v>
      </c>
      <c r="BL13" s="634"/>
      <c r="BM13" s="631">
        <f>BM11/BK11-1</f>
        <v>-1.6660283416315425E-3</v>
      </c>
      <c r="BN13" s="627">
        <f>BN11/BM11-1</f>
        <v>-0.16264170487023577</v>
      </c>
      <c r="BO13" s="627">
        <f>BO11/BN11-1</f>
        <v>9.831859623402206E-2</v>
      </c>
      <c r="BP13" s="627">
        <f>BP11/BO11-1</f>
        <v>-0.10991532140324534</v>
      </c>
      <c r="BQ13" s="634"/>
      <c r="BR13" s="631">
        <f>BR11/BP11-1</f>
        <v>0.1163183053707002</v>
      </c>
      <c r="BS13" s="627">
        <f>BS11/BR11-1</f>
        <v>0.11958438287153661</v>
      </c>
      <c r="BT13" s="627">
        <f>BT11/BS11-1</f>
        <v>2.4129591090612523E-2</v>
      </c>
      <c r="BU13" s="627">
        <f>BU11/BT11-1</f>
        <v>-1.5268014059753976E-2</v>
      </c>
      <c r="BV13" s="634"/>
      <c r="BW13" s="627">
        <f>BW11/BV11-1</f>
        <v>-0.70630542860008316</v>
      </c>
      <c r="BX13" s="627">
        <f>BX11/BW11-1</f>
        <v>2.6472836073304418E-2</v>
      </c>
      <c r="BY13" s="627">
        <f>BY11/BX11-1</f>
        <v>8.7128712871287206E-4</v>
      </c>
      <c r="BZ13" s="627">
        <f>BZ11/BY11-1</f>
        <v>-0.12448559670781889</v>
      </c>
      <c r="CA13" s="634"/>
      <c r="CB13" s="627">
        <f>CB11/BZ11-1</f>
        <v>0.10149145801319714</v>
      </c>
      <c r="CC13" s="627">
        <f>CC11/CB11-1</f>
        <v>9.0121288713092218E-2</v>
      </c>
      <c r="CD13" s="627">
        <f>CD11/CC11-1</f>
        <v>-7.9704908160192711E-2</v>
      </c>
      <c r="CE13" s="627">
        <f>CE11/CD11-1</f>
        <v>6.1348689591991246E-3</v>
      </c>
      <c r="CF13" s="634"/>
      <c r="CG13" s="649">
        <f>CG11/CE11-1</f>
        <v>5.3738963594087918E-2</v>
      </c>
      <c r="CH13" s="627">
        <f>CH11/CG11-1</f>
        <v>0.10989723173780197</v>
      </c>
      <c r="CI13" s="627">
        <f>CI11/CH11-1</f>
        <v>-0.10379824268713156</v>
      </c>
      <c r="CJ13" s="627">
        <f>CJ11/CI11-1</f>
        <v>-2.5860196705035476E-2</v>
      </c>
      <c r="CK13" s="634"/>
      <c r="CL13" s="649">
        <f>CL11/CJ11-1</f>
        <v>1.9985667648698247E-2</v>
      </c>
      <c r="CM13" s="627">
        <f>CM11/CL11-1</f>
        <v>-8.490241998438719E-2</v>
      </c>
      <c r="CN13" s="627">
        <f>CN11/CM11-1</f>
        <v>0.10434723264860435</v>
      </c>
      <c r="CO13" s="627">
        <f>CO11/CN11-1</f>
        <v>-1.1247064639723137E-2</v>
      </c>
      <c r="CP13" s="634"/>
      <c r="CQ13" s="649">
        <f>CQ11/CO11-1</f>
        <v>3.125E-2</v>
      </c>
      <c r="CR13" s="627">
        <f>CR11/CQ11-1</f>
        <v>0</v>
      </c>
      <c r="CS13" s="627">
        <f>CS11/CR11-1</f>
        <v>-7.575757575757569E-3</v>
      </c>
      <c r="CT13" s="627">
        <f>CT11/CS11-1</f>
        <v>-2.2900763358778664E-2</v>
      </c>
      <c r="CU13" s="634"/>
      <c r="CV13" s="635"/>
      <c r="CW13" s="640">
        <f>BL14/BL23</f>
        <v>0.39881303625947906</v>
      </c>
      <c r="CX13" s="635"/>
      <c r="CY13" s="635"/>
      <c r="CZ13" s="632"/>
      <c r="DA13" s="449"/>
      <c r="DB13" s="452"/>
      <c r="DC13" s="641"/>
      <c r="DD13" s="642"/>
      <c r="DE13" s="642"/>
      <c r="DF13" s="642"/>
      <c r="DG13" s="642"/>
      <c r="DH13" s="642"/>
      <c r="DI13" s="642"/>
      <c r="DJ13" s="642"/>
      <c r="DK13" s="642"/>
      <c r="DL13" s="642"/>
      <c r="DM13" s="642"/>
    </row>
    <row r="14" spans="1:117" s="68" customFormat="1" ht="18" customHeight="1">
      <c r="A14" s="10"/>
      <c r="B14" s="8" t="s">
        <v>47</v>
      </c>
      <c r="C14" s="12"/>
      <c r="D14" s="13">
        <v>85411</v>
      </c>
      <c r="E14" s="12">
        <v>24849</v>
      </c>
      <c r="F14" s="12">
        <v>25900</v>
      </c>
      <c r="G14" s="12">
        <v>28353</v>
      </c>
      <c r="H14" s="12">
        <f>I14-G14-F14-E14</f>
        <v>28356</v>
      </c>
      <c r="I14" s="13">
        <v>107458</v>
      </c>
      <c r="J14" s="12">
        <v>29138</v>
      </c>
      <c r="K14" s="12">
        <v>30224</v>
      </c>
      <c r="L14" s="12">
        <v>32744</v>
      </c>
      <c r="M14" s="12">
        <f>N14-L14-K14-J14</f>
        <v>32406</v>
      </c>
      <c r="N14" s="13">
        <v>124512</v>
      </c>
      <c r="O14" s="12">
        <v>33416</v>
      </c>
      <c r="P14" s="12">
        <v>33212</v>
      </c>
      <c r="Q14" s="12">
        <v>34729</v>
      </c>
      <c r="R14" s="12">
        <v>34298</v>
      </c>
      <c r="S14" s="13">
        <f>SUM(O14:R14)</f>
        <v>135655</v>
      </c>
      <c r="T14" s="12">
        <v>35512</v>
      </c>
      <c r="U14" s="12">
        <v>35056</v>
      </c>
      <c r="V14" s="12">
        <v>37011</v>
      </c>
      <c r="W14" s="12">
        <v>38919</v>
      </c>
      <c r="X14" s="13">
        <f>SUM(T14:W14)</f>
        <v>146498</v>
      </c>
      <c r="Y14" s="12">
        <v>39850</v>
      </c>
      <c r="Z14" s="12">
        <v>42060</v>
      </c>
      <c r="AA14" s="12">
        <v>44452</v>
      </c>
      <c r="AB14" s="12">
        <v>45489</v>
      </c>
      <c r="AC14" s="13">
        <f>SUM(Y14:AB14)</f>
        <v>171851</v>
      </c>
      <c r="AD14" s="12">
        <v>46050</v>
      </c>
      <c r="AE14" s="12">
        <v>46639</v>
      </c>
      <c r="AF14" s="12">
        <v>49291</v>
      </c>
      <c r="AG14" s="12">
        <v>49740</v>
      </c>
      <c r="AH14" s="13">
        <f>SUM(AD14:AG14)</f>
        <v>191720</v>
      </c>
      <c r="AI14" s="12">
        <v>50240</v>
      </c>
      <c r="AJ14" s="12">
        <v>51951</v>
      </c>
      <c r="AK14" s="12">
        <v>54713</v>
      </c>
      <c r="AL14" s="12">
        <v>55792</v>
      </c>
      <c r="AM14" s="13">
        <f>SUM(AI14:AL14)</f>
        <v>212696</v>
      </c>
      <c r="AN14" s="12">
        <v>57348</v>
      </c>
      <c r="AO14" s="12">
        <v>59463</v>
      </c>
      <c r="AP14" s="12">
        <v>61018</v>
      </c>
      <c r="AQ14" s="12">
        <f>67708+3186+37</f>
        <v>70931</v>
      </c>
      <c r="AR14" s="13">
        <f>SUM(AN14:AQ14)</f>
        <v>248760</v>
      </c>
      <c r="AS14" s="81">
        <f>76032+5584+111</f>
        <v>81727</v>
      </c>
      <c r="AT14" s="12">
        <f>78743+4666+111</f>
        <v>83520</v>
      </c>
      <c r="AU14" s="81">
        <f>83000+3149+111</f>
        <v>86260</v>
      </c>
      <c r="AV14" s="12">
        <f>85194+1664+111</f>
        <v>86969</v>
      </c>
      <c r="AW14" s="13">
        <f>SUM(AS14:AV14)</f>
        <v>338476</v>
      </c>
      <c r="AX14" s="12">
        <f>86859+204+111</f>
        <v>87174</v>
      </c>
      <c r="AY14" s="12">
        <f>89412+184+111</f>
        <v>89707</v>
      </c>
      <c r="AZ14" s="12">
        <f>92285+151+111</f>
        <v>92547</v>
      </c>
      <c r="BA14" s="12">
        <f>93013+124+111</f>
        <v>93248</v>
      </c>
      <c r="BB14" s="13">
        <f>SUM(AX14:BA14)</f>
        <v>362676</v>
      </c>
      <c r="BC14" s="12">
        <f>93897+100+111</f>
        <v>94108</v>
      </c>
      <c r="BD14" s="12">
        <v>96076</v>
      </c>
      <c r="BE14" s="12">
        <v>96215</v>
      </c>
      <c r="BF14" s="12">
        <v>98333</v>
      </c>
      <c r="BG14" s="13">
        <f>SUM(BC14:BF14)</f>
        <v>384732</v>
      </c>
      <c r="BH14" s="12">
        <f>100152+1597+100</f>
        <v>101849</v>
      </c>
      <c r="BI14" s="12">
        <f>106689+2757+100</f>
        <v>109546</v>
      </c>
      <c r="BJ14" s="12">
        <f>109833+1698+89</f>
        <v>111620</v>
      </c>
      <c r="BK14" s="12">
        <f>113644-1495+83</f>
        <v>112232</v>
      </c>
      <c r="BL14" s="13">
        <f>SUM(BH14:BK14)</f>
        <v>435247</v>
      </c>
      <c r="BM14" s="12">
        <f>114365+160+79</f>
        <v>114604</v>
      </c>
      <c r="BN14" s="12">
        <f>116760+160+78</f>
        <v>116998</v>
      </c>
      <c r="BO14" s="12">
        <f>117979+113+78</f>
        <v>118170</v>
      </c>
      <c r="BP14" s="12">
        <f>118409+45+78</f>
        <v>118532</v>
      </c>
      <c r="BQ14" s="13">
        <f>SUM(BM14:BP14)</f>
        <v>468304</v>
      </c>
      <c r="BR14" s="12">
        <v>119112</v>
      </c>
      <c r="BS14" s="12">
        <v>119621</v>
      </c>
      <c r="BT14" s="12">
        <v>117833</v>
      </c>
      <c r="BU14" s="12">
        <v>117721</v>
      </c>
      <c r="BV14" s="13">
        <f>SUM(BR14:BU14)</f>
        <v>474287</v>
      </c>
      <c r="BW14" s="12">
        <v>117029</v>
      </c>
      <c r="BX14" s="12">
        <v>116815</v>
      </c>
      <c r="BY14" s="12">
        <v>117338</v>
      </c>
      <c r="BZ14" s="12">
        <v>117273</v>
      </c>
      <c r="CA14" s="13">
        <f>SUM(BW14:BZ14)</f>
        <v>468455</v>
      </c>
      <c r="CB14" s="12">
        <v>115130</v>
      </c>
      <c r="CC14" s="12">
        <v>116539</v>
      </c>
      <c r="CD14" s="12">
        <v>117484</v>
      </c>
      <c r="CE14" s="12">
        <v>117508</v>
      </c>
      <c r="CF14" s="13">
        <f>SUM(CB14:CE14)</f>
        <v>466661</v>
      </c>
      <c r="CG14" s="12">
        <v>117218</v>
      </c>
      <c r="CH14" s="12">
        <v>115309</v>
      </c>
      <c r="CI14" s="12">
        <v>115587</v>
      </c>
      <c r="CJ14" s="12">
        <v>115018</v>
      </c>
      <c r="CK14" s="13">
        <f>SUM(CG14:CJ14)</f>
        <v>463132</v>
      </c>
      <c r="CL14" s="12">
        <v>112801</v>
      </c>
      <c r="CM14" s="12">
        <v>112123</v>
      </c>
      <c r="CN14" s="12">
        <v>111312</v>
      </c>
      <c r="CO14" s="12">
        <f>'Revenue Build'!AF69</f>
        <v>109500</v>
      </c>
      <c r="CP14" s="13">
        <f>SUM(CL14:CO14)</f>
        <v>445736</v>
      </c>
      <c r="CQ14" s="12">
        <f>'Revenue Build'!AH69</f>
        <v>107000</v>
      </c>
      <c r="CR14" s="12">
        <f>'Revenue Build'!AI69</f>
        <v>107000</v>
      </c>
      <c r="CS14" s="12">
        <f>'Revenue Build'!AJ69</f>
        <v>104000</v>
      </c>
      <c r="CT14" s="12">
        <f>'Revenue Build'!AK69</f>
        <v>101000</v>
      </c>
      <c r="CU14" s="13">
        <f>SUM(CQ14:CT14)</f>
        <v>419000</v>
      </c>
      <c r="CV14" s="12">
        <v>900</v>
      </c>
      <c r="CW14" s="12"/>
      <c r="CX14" s="12"/>
      <c r="CY14" s="12"/>
      <c r="CZ14" s="80"/>
      <c r="DA14" s="453" t="s">
        <v>623</v>
      </c>
      <c r="DB14" s="461">
        <v>14.5</v>
      </c>
      <c r="DC14" s="103"/>
      <c r="DD14" s="103"/>
      <c r="DE14" s="103"/>
      <c r="DF14" s="103"/>
      <c r="DG14" s="103"/>
      <c r="DH14" s="103"/>
      <c r="DI14" s="103"/>
      <c r="DJ14" s="103"/>
      <c r="DK14" s="103"/>
      <c r="DL14" s="103"/>
      <c r="DM14" s="103"/>
    </row>
    <row r="15" spans="1:117" s="633" customFormat="1" ht="11.65" customHeight="1">
      <c r="A15" s="625"/>
      <c r="B15" s="626"/>
      <c r="C15" s="627" t="s">
        <v>21</v>
      </c>
      <c r="D15" s="628"/>
      <c r="E15" s="627"/>
      <c r="F15" s="627"/>
      <c r="G15" s="627"/>
      <c r="H15" s="627"/>
      <c r="I15" s="628">
        <f>I14/D14-1</f>
        <v>0.2581283441242932</v>
      </c>
      <c r="J15" s="626">
        <f t="shared" ref="J15:X15" si="23">J14/E14-1</f>
        <v>0.17260251921606495</v>
      </c>
      <c r="K15" s="627">
        <f t="shared" si="23"/>
        <v>0.16694980694980699</v>
      </c>
      <c r="L15" s="627">
        <f t="shared" si="23"/>
        <v>0.15486897330088523</v>
      </c>
      <c r="M15" s="629">
        <f t="shared" si="23"/>
        <v>0.14282691493863742</v>
      </c>
      <c r="N15" s="628">
        <f t="shared" si="23"/>
        <v>0.15870386569636508</v>
      </c>
      <c r="O15" s="626">
        <f t="shared" si="23"/>
        <v>0.14681858741162745</v>
      </c>
      <c r="P15" s="627">
        <f t="shared" si="23"/>
        <v>9.8861831656961385E-2</v>
      </c>
      <c r="Q15" s="627">
        <f t="shared" si="23"/>
        <v>6.0621793305643878E-2</v>
      </c>
      <c r="R15" s="629">
        <f t="shared" si="23"/>
        <v>5.8384249830278234E-2</v>
      </c>
      <c r="S15" s="628">
        <f t="shared" si="23"/>
        <v>8.9493382163968072E-2</v>
      </c>
      <c r="T15" s="626">
        <f t="shared" si="23"/>
        <v>6.2724443380416606E-2</v>
      </c>
      <c r="U15" s="627">
        <f t="shared" si="23"/>
        <v>5.5522100445622113E-2</v>
      </c>
      <c r="V15" s="627">
        <f t="shared" si="23"/>
        <v>6.5708773647384033E-2</v>
      </c>
      <c r="W15" s="629">
        <f t="shared" si="23"/>
        <v>0.13473088809843148</v>
      </c>
      <c r="X15" s="628">
        <f t="shared" si="23"/>
        <v>7.9930706571818222E-2</v>
      </c>
      <c r="Y15" s="626">
        <f t="shared" ref="Y15:BD15" si="24">Y14/T14-1</f>
        <v>0.12215589096643398</v>
      </c>
      <c r="Z15" s="627">
        <f t="shared" si="24"/>
        <v>0.19979461433135559</v>
      </c>
      <c r="AA15" s="627">
        <f t="shared" si="24"/>
        <v>0.20104833698089752</v>
      </c>
      <c r="AB15" s="629">
        <f t="shared" si="24"/>
        <v>0.16881214830802427</v>
      </c>
      <c r="AC15" s="628">
        <f t="shared" si="24"/>
        <v>0.17306038307690197</v>
      </c>
      <c r="AD15" s="626">
        <f t="shared" si="24"/>
        <v>0.15558343789209528</v>
      </c>
      <c r="AE15" s="627">
        <f t="shared" si="24"/>
        <v>0.10886828340465993</v>
      </c>
      <c r="AF15" s="627">
        <f t="shared" si="24"/>
        <v>0.10885899397102494</v>
      </c>
      <c r="AG15" s="629">
        <f t="shared" si="24"/>
        <v>9.3451164017674504E-2</v>
      </c>
      <c r="AH15" s="628">
        <f t="shared" si="24"/>
        <v>0.11561759896654666</v>
      </c>
      <c r="AI15" s="626">
        <f t="shared" si="24"/>
        <v>9.0988056460369116E-2</v>
      </c>
      <c r="AJ15" s="627">
        <f t="shared" si="24"/>
        <v>0.11389609554235736</v>
      </c>
      <c r="AK15" s="627">
        <f t="shared" si="24"/>
        <v>0.10999979712320718</v>
      </c>
      <c r="AL15" s="629">
        <f t="shared" si="24"/>
        <v>0.12167269802975467</v>
      </c>
      <c r="AM15" s="628">
        <f t="shared" si="24"/>
        <v>0.10940955560191945</v>
      </c>
      <c r="AN15" s="626">
        <f t="shared" si="24"/>
        <v>0.14148089171974521</v>
      </c>
      <c r="AO15" s="627">
        <f t="shared" si="24"/>
        <v>0.14459779407518614</v>
      </c>
      <c r="AP15" s="627">
        <f t="shared" si="24"/>
        <v>0.11523769488055846</v>
      </c>
      <c r="AQ15" s="629">
        <f t="shared" si="24"/>
        <v>0.27134714654430736</v>
      </c>
      <c r="AR15" s="628">
        <f t="shared" si="24"/>
        <v>0.16955655019370375</v>
      </c>
      <c r="AS15" s="630">
        <f t="shared" si="24"/>
        <v>0.4251063681383831</v>
      </c>
      <c r="AT15" s="631">
        <f t="shared" si="24"/>
        <v>0.4045709096412895</v>
      </c>
      <c r="AU15" s="631">
        <f t="shared" si="24"/>
        <v>0.41368120882362591</v>
      </c>
      <c r="AV15" s="629">
        <f t="shared" si="24"/>
        <v>0.22610706179244611</v>
      </c>
      <c r="AW15" s="628">
        <f t="shared" si="24"/>
        <v>0.36065283807686122</v>
      </c>
      <c r="AX15" s="630">
        <f t="shared" si="24"/>
        <v>6.6648720741003586E-2</v>
      </c>
      <c r="AY15" s="627">
        <f t="shared" si="24"/>
        <v>7.4078065134099536E-2</v>
      </c>
      <c r="AZ15" s="627">
        <f t="shared" si="24"/>
        <v>7.2884303269186157E-2</v>
      </c>
      <c r="BA15" s="629">
        <f t="shared" si="24"/>
        <v>7.2198139566972186E-2</v>
      </c>
      <c r="BB15" s="628">
        <f t="shared" si="24"/>
        <v>7.149694513052629E-2</v>
      </c>
      <c r="BC15" s="630">
        <f t="shared" si="24"/>
        <v>7.9542065294697872E-2</v>
      </c>
      <c r="BD15" s="627">
        <f t="shared" si="24"/>
        <v>7.0997803961786676E-2</v>
      </c>
      <c r="BE15" s="627">
        <f t="shared" ref="BE15:CL15" si="25">BE14/AZ14-1</f>
        <v>3.9633915740110437E-2</v>
      </c>
      <c r="BF15" s="629">
        <f t="shared" si="25"/>
        <v>5.4532000686341897E-2</v>
      </c>
      <c r="BG15" s="628">
        <f t="shared" si="25"/>
        <v>6.0814611388677386E-2</v>
      </c>
      <c r="BH15" s="630">
        <f t="shared" si="25"/>
        <v>8.2256556297020555E-2</v>
      </c>
      <c r="BI15" s="627">
        <f t="shared" si="25"/>
        <v>0.14020150714018076</v>
      </c>
      <c r="BJ15" s="627">
        <f t="shared" si="25"/>
        <v>0.1601101699319234</v>
      </c>
      <c r="BK15" s="629">
        <f t="shared" si="25"/>
        <v>0.14134624185166733</v>
      </c>
      <c r="BL15" s="628">
        <f t="shared" si="25"/>
        <v>0.13129919008556601</v>
      </c>
      <c r="BM15" s="630">
        <f t="shared" si="25"/>
        <v>0.12523441565454752</v>
      </c>
      <c r="BN15" s="627">
        <f t="shared" si="25"/>
        <v>6.8026217296843328E-2</v>
      </c>
      <c r="BO15" s="627">
        <f t="shared" si="25"/>
        <v>5.8681239921161144E-2</v>
      </c>
      <c r="BP15" s="629">
        <f t="shared" si="25"/>
        <v>5.6133723002352198E-2</v>
      </c>
      <c r="BQ15" s="628">
        <f t="shared" si="25"/>
        <v>7.5949977828681181E-2</v>
      </c>
      <c r="BR15" s="630">
        <f t="shared" si="25"/>
        <v>3.933545076960665E-2</v>
      </c>
      <c r="BS15" s="627">
        <f t="shared" si="25"/>
        <v>2.2419186652763212E-2</v>
      </c>
      <c r="BT15" s="627">
        <f t="shared" si="25"/>
        <v>-2.8518236439029065E-3</v>
      </c>
      <c r="BU15" s="629">
        <f t="shared" si="25"/>
        <v>-6.8420342186076288E-3</v>
      </c>
      <c r="BV15" s="628">
        <f t="shared" si="25"/>
        <v>1.2775889166011911E-2</v>
      </c>
      <c r="BW15" s="627">
        <f t="shared" si="25"/>
        <v>-1.7487742628786385E-2</v>
      </c>
      <c r="BX15" s="627">
        <f t="shared" si="25"/>
        <v>-2.3457419683834746E-2</v>
      </c>
      <c r="BY15" s="627">
        <f t="shared" si="25"/>
        <v>-4.2008605399166399E-3</v>
      </c>
      <c r="BZ15" s="629">
        <f t="shared" si="25"/>
        <v>-3.8056081752618764E-3</v>
      </c>
      <c r="CA15" s="628">
        <f t="shared" si="25"/>
        <v>-1.2296352208683747E-2</v>
      </c>
      <c r="CB15" s="627">
        <f t="shared" si="25"/>
        <v>-1.6226747216501858E-2</v>
      </c>
      <c r="CC15" s="627">
        <f t="shared" si="25"/>
        <v>-2.3627102683730916E-3</v>
      </c>
      <c r="CD15" s="627">
        <f t="shared" si="25"/>
        <v>1.2442686938587411E-3</v>
      </c>
      <c r="CE15" s="629">
        <f t="shared" si="25"/>
        <v>2.0038713088263993E-3</v>
      </c>
      <c r="CF15" s="628">
        <f t="shared" si="25"/>
        <v>-3.8296101012904593E-3</v>
      </c>
      <c r="CG15" s="627">
        <f t="shared" si="25"/>
        <v>1.8136020151133581E-2</v>
      </c>
      <c r="CH15" s="627">
        <f t="shared" si="25"/>
        <v>-1.055440667930907E-2</v>
      </c>
      <c r="CI15" s="627">
        <f t="shared" si="25"/>
        <v>-1.6146879575091089E-2</v>
      </c>
      <c r="CJ15" s="629">
        <f t="shared" si="25"/>
        <v>-2.1190046635122695E-2</v>
      </c>
      <c r="CK15" s="628">
        <f t="shared" ref="CK15:CP15" si="26">CK14/CF14-1</f>
        <v>-7.5622346842783017E-3</v>
      </c>
      <c r="CL15" s="627">
        <f t="shared" si="25"/>
        <v>-3.7681925984063835E-2</v>
      </c>
      <c r="CM15" s="627">
        <f t="shared" si="26"/>
        <v>-2.7630106930074838E-2</v>
      </c>
      <c r="CN15" s="627">
        <f t="shared" si="26"/>
        <v>-3.698512808533827E-2</v>
      </c>
      <c r="CO15" s="629">
        <f t="shared" si="26"/>
        <v>-4.7975099549635747E-2</v>
      </c>
      <c r="CP15" s="628">
        <f t="shared" si="26"/>
        <v>-3.7561645491997919E-2</v>
      </c>
      <c r="CQ15" s="627">
        <f t="shared" ref="CQ15" si="27">CQ14/CL14-1</f>
        <v>-5.1426849052756629E-2</v>
      </c>
      <c r="CR15" s="627">
        <f t="shared" ref="CR15" si="28">CR14/CM14-1</f>
        <v>-4.5690893037111047E-2</v>
      </c>
      <c r="CS15" s="627">
        <f t="shared" ref="CS15" si="29">CS14/CN14-1</f>
        <v>-6.5689233865171781E-2</v>
      </c>
      <c r="CT15" s="629">
        <f t="shared" ref="CT15" si="30">CT14/CO14-1</f>
        <v>-7.7625570776255759E-2</v>
      </c>
      <c r="CU15" s="628">
        <f t="shared" ref="CU15" si="31">CU14/CP14-1</f>
        <v>-5.9981693199562036E-2</v>
      </c>
      <c r="CV15" s="627"/>
      <c r="CW15" s="627"/>
      <c r="CX15" s="627"/>
      <c r="CY15" s="627"/>
      <c r="CZ15" s="632"/>
      <c r="DA15" s="449" t="s">
        <v>620</v>
      </c>
      <c r="DB15" s="454">
        <f>DB14*1800000</f>
        <v>26100000</v>
      </c>
      <c r="DC15" s="643"/>
    </row>
    <row r="16" spans="1:117" s="633" customFormat="1" ht="11.65" customHeight="1">
      <c r="A16" s="625"/>
      <c r="B16" s="626"/>
      <c r="C16" s="627" t="s">
        <v>22</v>
      </c>
      <c r="D16" s="628"/>
      <c r="E16" s="627"/>
      <c r="F16" s="627">
        <f>F14/E14-1</f>
        <v>4.2295464606221689E-2</v>
      </c>
      <c r="G16" s="627">
        <f>G14/F14-1</f>
        <v>9.4710424710424679E-2</v>
      </c>
      <c r="H16" s="627">
        <f>H14/G14-1</f>
        <v>1.0580890911016105E-4</v>
      </c>
      <c r="I16" s="628"/>
      <c r="J16" s="627">
        <f>J14/H14-1</f>
        <v>2.7577937649880147E-2</v>
      </c>
      <c r="K16" s="627">
        <f>K14/J14-1</f>
        <v>3.7270917701969886E-2</v>
      </c>
      <c r="L16" s="627">
        <f>L14/K14-1</f>
        <v>8.3377448385389075E-2</v>
      </c>
      <c r="M16" s="627">
        <f>M14/L14-1</f>
        <v>-1.0322501832396802E-2</v>
      </c>
      <c r="N16" s="628"/>
      <c r="O16" s="627">
        <f>O14/M14-1</f>
        <v>3.116706782694556E-2</v>
      </c>
      <c r="P16" s="627">
        <f>P14/O14-1</f>
        <v>-6.1048599473305654E-3</v>
      </c>
      <c r="Q16" s="627">
        <f>Q14/P14-1</f>
        <v>4.5676261592195511E-2</v>
      </c>
      <c r="R16" s="627">
        <f>R14/Q14-1</f>
        <v>-1.2410377494313063E-2</v>
      </c>
      <c r="S16" s="628"/>
      <c r="T16" s="627">
        <f>T14/R14-1</f>
        <v>3.5395649892121961E-2</v>
      </c>
      <c r="U16" s="627">
        <f>U14/T14-1</f>
        <v>-1.2840729894120329E-2</v>
      </c>
      <c r="V16" s="627">
        <f>V14/U14-1</f>
        <v>5.5767914194431834E-2</v>
      </c>
      <c r="W16" s="627">
        <f>W14/V14-1</f>
        <v>5.1552241225581552E-2</v>
      </c>
      <c r="X16" s="628"/>
      <c r="Y16" s="627">
        <f>Y14/W14-1</f>
        <v>2.3921477941365454E-2</v>
      </c>
      <c r="Z16" s="627">
        <f>Z14/Y14-1</f>
        <v>5.5457967377666284E-2</v>
      </c>
      <c r="AA16" s="627">
        <f>AA14/Z14-1</f>
        <v>5.6871136471707162E-2</v>
      </c>
      <c r="AB16" s="627">
        <f>AB14/AA14-1</f>
        <v>2.3328534149194669E-2</v>
      </c>
      <c r="AC16" s="634"/>
      <c r="AD16" s="627">
        <f>AD14/AB14-1</f>
        <v>1.2332651849897847E-2</v>
      </c>
      <c r="AE16" s="627">
        <f>AE14/AD14-1</f>
        <v>1.2790445168295417E-2</v>
      </c>
      <c r="AF16" s="627">
        <f>AF14/AE14-1</f>
        <v>5.6862282638993067E-2</v>
      </c>
      <c r="AG16" s="627">
        <f>AG14/AF14-1</f>
        <v>9.1091680022721278E-3</v>
      </c>
      <c r="AH16" s="634"/>
      <c r="AI16" s="627">
        <f>AI14/AG14-1</f>
        <v>1.0052271813429936E-2</v>
      </c>
      <c r="AJ16" s="627">
        <f>AJ14/AI14-1</f>
        <v>3.4056528662420371E-2</v>
      </c>
      <c r="AK16" s="627">
        <f>AK14/AJ14-1</f>
        <v>5.3165482858847701E-2</v>
      </c>
      <c r="AL16" s="627">
        <f>AL14/AK14-1</f>
        <v>1.9721090051724399E-2</v>
      </c>
      <c r="AM16" s="634"/>
      <c r="AN16" s="627">
        <f>AN14/AL14-1</f>
        <v>2.7889303125896214E-2</v>
      </c>
      <c r="AO16" s="627">
        <f>AO14/AN14-1</f>
        <v>3.6880100439422581E-2</v>
      </c>
      <c r="AP16" s="627">
        <f>AP14/AO14-1</f>
        <v>2.6150715571027439E-2</v>
      </c>
      <c r="AQ16" s="627">
        <f>AQ14/AP14-1</f>
        <v>0.16246025762889649</v>
      </c>
      <c r="AR16" s="634"/>
      <c r="AS16" s="631">
        <f>AS14/AQ14-1</f>
        <v>0.15220425483920996</v>
      </c>
      <c r="AT16" s="627">
        <f>AT14/AS14-1</f>
        <v>2.1938894123117114E-2</v>
      </c>
      <c r="AU16" s="627">
        <f>AU14/AT14-1</f>
        <v>3.2806513409961768E-2</v>
      </c>
      <c r="AV16" s="627">
        <f>AV14/AU14-1</f>
        <v>8.2193368884766471E-3</v>
      </c>
      <c r="AW16" s="634"/>
      <c r="AX16" s="631">
        <f>AX14/AV14-1</f>
        <v>2.3571617472892825E-3</v>
      </c>
      <c r="AY16" s="627">
        <f>AY14/AX14-1</f>
        <v>2.905682887099359E-2</v>
      </c>
      <c r="AZ16" s="627">
        <f>AZ14/AY14-1</f>
        <v>3.1658621958152722E-2</v>
      </c>
      <c r="BA16" s="627">
        <f>BA14/AZ14-1</f>
        <v>7.5745296984235377E-3</v>
      </c>
      <c r="BB16" s="634"/>
      <c r="BC16" s="631">
        <f>BC14/BA14-1</f>
        <v>9.222717913520917E-3</v>
      </c>
      <c r="BD16" s="627">
        <f>BD14/BC14-1</f>
        <v>2.0912143494708157E-2</v>
      </c>
      <c r="BE16" s="627">
        <f>BE14/BD14-1</f>
        <v>1.4467713060493104E-3</v>
      </c>
      <c r="BF16" s="627">
        <f>BF14/BE14-1</f>
        <v>2.2013199605051215E-2</v>
      </c>
      <c r="BG16" s="634"/>
      <c r="BH16" s="631">
        <f>BH14/BF14-1</f>
        <v>3.5756053410350486E-2</v>
      </c>
      <c r="BI16" s="627">
        <f>BI14/BH14-1</f>
        <v>7.557266148906705E-2</v>
      </c>
      <c r="BJ16" s="627">
        <f>BJ14/BI14-1</f>
        <v>1.8932685812352856E-2</v>
      </c>
      <c r="BK16" s="627">
        <f>BK14/BJ14-1</f>
        <v>5.4828883712596532E-3</v>
      </c>
      <c r="BL16" s="634"/>
      <c r="BM16" s="631">
        <f>BM14/BK14-1</f>
        <v>2.1134792216123799E-2</v>
      </c>
      <c r="BN16" s="627">
        <f>BN14/BM14-1</f>
        <v>2.0889323234791091E-2</v>
      </c>
      <c r="BO16" s="627">
        <f>BO14/BN14-1</f>
        <v>1.0017265252397545E-2</v>
      </c>
      <c r="BP16" s="627">
        <f>BP14/BO14-1</f>
        <v>3.0633832614030965E-3</v>
      </c>
      <c r="BQ16" s="634"/>
      <c r="BR16" s="631">
        <f>BR14/BP14-1</f>
        <v>4.8931933992508725E-3</v>
      </c>
      <c r="BS16" s="627">
        <f>BS14/BR14-1</f>
        <v>4.2732890053058803E-3</v>
      </c>
      <c r="BT16" s="627">
        <f>BT14/BS14-1</f>
        <v>-1.494720826610707E-2</v>
      </c>
      <c r="BU16" s="627">
        <f>BU14/BT14-1</f>
        <v>-9.5049773832456275E-4</v>
      </c>
      <c r="BV16" s="634"/>
      <c r="BW16" s="627">
        <f>BW14/BV14-1</f>
        <v>-0.75325277732680851</v>
      </c>
      <c r="BX16" s="627">
        <f>BX14/BW14-1</f>
        <v>-1.828606584692638E-3</v>
      </c>
      <c r="BY16" s="627">
        <f>BY14/BX14-1</f>
        <v>4.4771647476780085E-3</v>
      </c>
      <c r="BZ16" s="627">
        <f>BZ14/BY14-1</f>
        <v>-5.539552404165704E-4</v>
      </c>
      <c r="CA16" s="634"/>
      <c r="CB16" s="627">
        <f>CB14/BZ14-1</f>
        <v>-1.8273600914106347E-2</v>
      </c>
      <c r="CC16" s="627">
        <f>CC14/CB14-1</f>
        <v>1.223833926865292E-2</v>
      </c>
      <c r="CD16" s="627">
        <f>CD14/CC14-1</f>
        <v>8.108873424347296E-3</v>
      </c>
      <c r="CE16" s="627">
        <f>CE14/CD14-1</f>
        <v>2.0428313642706364E-4</v>
      </c>
      <c r="CF16" s="634"/>
      <c r="CG16" s="649">
        <f>CG14/CE14-1</f>
        <v>-2.4679170779862147E-3</v>
      </c>
      <c r="CH16" s="627">
        <f>CH14/CG14-1</f>
        <v>-1.6285894657817046E-2</v>
      </c>
      <c r="CI16" s="627">
        <f>CI14/CH14-1</f>
        <v>2.4109132851728443E-3</v>
      </c>
      <c r="CJ16" s="627">
        <f>CJ14/CI14-1</f>
        <v>-4.9226989194286475E-3</v>
      </c>
      <c r="CK16" s="634"/>
      <c r="CL16" s="649">
        <f>CL14/CJ14-1</f>
        <v>-1.9275243874871784E-2</v>
      </c>
      <c r="CM16" s="627">
        <f>CM14/CL14-1</f>
        <v>-6.0105850125442561E-3</v>
      </c>
      <c r="CN16" s="627">
        <f>CN14/CM14-1</f>
        <v>-7.2331279041766283E-3</v>
      </c>
      <c r="CO16" s="627">
        <f>CO14/CN14-1</f>
        <v>-1.6278568348426004E-2</v>
      </c>
      <c r="CP16" s="634"/>
      <c r="CQ16" s="649">
        <f>CQ14/CO14-1</f>
        <v>-2.2831050228310557E-2</v>
      </c>
      <c r="CR16" s="627">
        <f>CR14/CQ14-1</f>
        <v>0</v>
      </c>
      <c r="CS16" s="627">
        <f>CS14/CR14-1</f>
        <v>-2.8037383177570097E-2</v>
      </c>
      <c r="CT16" s="627">
        <f>CT14/CS14-1</f>
        <v>-2.8846153846153855E-2</v>
      </c>
      <c r="CU16" s="634"/>
      <c r="CV16" s="635"/>
      <c r="CW16" s="635"/>
      <c r="CX16" s="635">
        <f>0.22*CA23</f>
        <v>407044.88</v>
      </c>
      <c r="CY16" s="635"/>
      <c r="CZ16" s="632"/>
      <c r="DA16" s="449" t="s">
        <v>377</v>
      </c>
      <c r="DB16" s="454">
        <f>DB9</f>
        <v>-1332692</v>
      </c>
      <c r="DC16" s="642"/>
      <c r="DD16" s="642"/>
      <c r="DE16" s="642"/>
      <c r="DF16" s="642"/>
      <c r="DG16" s="642"/>
      <c r="DH16" s="642"/>
      <c r="DI16" s="642"/>
      <c r="DJ16" s="642"/>
      <c r="DK16" s="642"/>
      <c r="DL16" s="642"/>
      <c r="DM16" s="642"/>
    </row>
    <row r="17" spans="1:117" s="68" customFormat="1" ht="18" customHeight="1">
      <c r="A17" s="10"/>
      <c r="B17" s="8" t="s">
        <v>51</v>
      </c>
      <c r="C17" s="12"/>
      <c r="D17" s="13">
        <v>21318</v>
      </c>
      <c r="E17" s="12">
        <v>4582</v>
      </c>
      <c r="F17" s="12">
        <v>4378</v>
      </c>
      <c r="G17" s="12">
        <v>5289</v>
      </c>
      <c r="H17" s="12">
        <f>I17-G17-F17-E17</f>
        <v>4849</v>
      </c>
      <c r="I17" s="13">
        <v>19098</v>
      </c>
      <c r="J17" s="12">
        <v>4892</v>
      </c>
      <c r="K17" s="12">
        <v>5054</v>
      </c>
      <c r="L17" s="12">
        <v>4692</v>
      </c>
      <c r="M17" s="12">
        <f>N17-L17-K17-J17</f>
        <v>4102</v>
      </c>
      <c r="N17" s="13">
        <v>18740</v>
      </c>
      <c r="O17" s="12">
        <v>4275</v>
      </c>
      <c r="P17" s="12">
        <v>4925</v>
      </c>
      <c r="Q17" s="12">
        <v>5612</v>
      </c>
      <c r="R17" s="12">
        <v>5742</v>
      </c>
      <c r="S17" s="13">
        <f>SUM(O17:R17)</f>
        <v>20554</v>
      </c>
      <c r="T17" s="12">
        <v>6197</v>
      </c>
      <c r="U17" s="12">
        <v>5987</v>
      </c>
      <c r="V17" s="12">
        <v>5761</v>
      </c>
      <c r="W17" s="12">
        <v>5283</v>
      </c>
      <c r="X17" s="13">
        <f>SUM(T17:W17)</f>
        <v>23228</v>
      </c>
      <c r="Y17" s="12">
        <v>5682</v>
      </c>
      <c r="Z17" s="12">
        <v>5771</v>
      </c>
      <c r="AA17" s="12">
        <v>5594</v>
      </c>
      <c r="AB17" s="12">
        <v>5496</v>
      </c>
      <c r="AC17" s="13">
        <f>SUM(Y17:AB17)</f>
        <v>22543</v>
      </c>
      <c r="AD17" s="12">
        <v>5591</v>
      </c>
      <c r="AE17" s="12">
        <v>5056</v>
      </c>
      <c r="AF17" s="12">
        <v>5207</v>
      </c>
      <c r="AG17" s="12">
        <v>4971</v>
      </c>
      <c r="AH17" s="13">
        <f>SUM(AD17:AG17)</f>
        <v>20825</v>
      </c>
      <c r="AI17" s="12">
        <v>4851</v>
      </c>
      <c r="AJ17" s="12">
        <v>5444</v>
      </c>
      <c r="AK17" s="12">
        <v>5802</v>
      </c>
      <c r="AL17" s="12">
        <v>5705</v>
      </c>
      <c r="AM17" s="13">
        <f>SUM(AI17:AL17)</f>
        <v>21802</v>
      </c>
      <c r="AN17" s="12">
        <v>6089</v>
      </c>
      <c r="AO17" s="12">
        <v>6691</v>
      </c>
      <c r="AP17" s="12">
        <v>6557</v>
      </c>
      <c r="AQ17" s="12">
        <v>5728</v>
      </c>
      <c r="AR17" s="13">
        <f>SUM(AN17:AQ17)</f>
        <v>25065</v>
      </c>
      <c r="AS17" s="81">
        <v>6558</v>
      </c>
      <c r="AT17" s="12">
        <v>6984</v>
      </c>
      <c r="AU17" s="81">
        <v>6541</v>
      </c>
      <c r="AV17" s="12">
        <v>6204</v>
      </c>
      <c r="AW17" s="13">
        <f>SUM(AS17:AV17)</f>
        <v>26287</v>
      </c>
      <c r="AX17" s="12">
        <v>6612</v>
      </c>
      <c r="AY17" s="12">
        <v>6366</v>
      </c>
      <c r="AZ17" s="12">
        <v>6290</v>
      </c>
      <c r="BA17" s="12">
        <v>5755</v>
      </c>
      <c r="BB17" s="13">
        <f>SUM(AX17:BA17)</f>
        <v>25023</v>
      </c>
      <c r="BC17" s="12">
        <v>5394</v>
      </c>
      <c r="BD17" s="12">
        <v>5532</v>
      </c>
      <c r="BE17" s="12">
        <v>5544</v>
      </c>
      <c r="BF17" s="12">
        <v>5376</v>
      </c>
      <c r="BG17" s="13">
        <f>SUM(BC17:BF17)</f>
        <v>21846</v>
      </c>
      <c r="BH17" s="12">
        <v>5214</v>
      </c>
      <c r="BI17" s="12">
        <v>6233</v>
      </c>
      <c r="BJ17" s="12">
        <f>6008</f>
        <v>6008</v>
      </c>
      <c r="BK17" s="12">
        <f>6024</f>
        <v>6024</v>
      </c>
      <c r="BL17" s="13">
        <f>SUM(BH17:BK17)</f>
        <v>23479</v>
      </c>
      <c r="BM17" s="12">
        <v>5763</v>
      </c>
      <c r="BN17" s="12">
        <f>4696</f>
        <v>4696</v>
      </c>
      <c r="BO17" s="12">
        <v>5394</v>
      </c>
      <c r="BP17" s="12">
        <v>5274</v>
      </c>
      <c r="BQ17" s="13">
        <f>SUM(BM17:BP17)</f>
        <v>21127</v>
      </c>
      <c r="BR17" s="12">
        <v>6465</v>
      </c>
      <c r="BS17" s="12">
        <v>6265</v>
      </c>
      <c r="BT17" s="12">
        <v>7146</v>
      </c>
      <c r="BU17" s="12">
        <v>7912</v>
      </c>
      <c r="BV17" s="13">
        <f>SUM(BR17:BU17)</f>
        <v>27788</v>
      </c>
      <c r="BW17" s="12">
        <v>8518</v>
      </c>
      <c r="BX17" s="12">
        <v>8812</v>
      </c>
      <c r="BY17" s="12">
        <v>8638</v>
      </c>
      <c r="BZ17" s="12">
        <v>8540</v>
      </c>
      <c r="CA17" s="13">
        <f>SUM(BW17:BZ17)</f>
        <v>34508</v>
      </c>
      <c r="CB17" s="12"/>
      <c r="CC17" s="12"/>
      <c r="CD17" s="12"/>
      <c r="CE17" s="12"/>
      <c r="CF17" s="13"/>
      <c r="CG17" s="12"/>
      <c r="CH17" s="12"/>
      <c r="CI17" s="12"/>
      <c r="CJ17" s="12"/>
      <c r="CK17" s="13"/>
      <c r="CL17" s="12"/>
      <c r="CM17" s="12"/>
      <c r="CN17" s="12"/>
      <c r="CO17" s="12"/>
      <c r="CP17" s="13"/>
      <c r="CQ17" s="12"/>
      <c r="CR17" s="12"/>
      <c r="CS17" s="12"/>
      <c r="CT17" s="12"/>
      <c r="CU17" s="13"/>
      <c r="CV17" s="12"/>
      <c r="CW17" s="12">
        <v>1952</v>
      </c>
      <c r="CX17" s="12">
        <f>CW17*1.1</f>
        <v>2147.2000000000003</v>
      </c>
      <c r="CY17" s="12">
        <f>CX17*1.1</f>
        <v>2361.9200000000005</v>
      </c>
      <c r="CZ17" s="80"/>
      <c r="DA17" s="449" t="s">
        <v>624</v>
      </c>
      <c r="DB17" s="448">
        <f>DB16+DB15</f>
        <v>24767308</v>
      </c>
      <c r="DC17" s="103"/>
      <c r="DD17" s="103"/>
      <c r="DE17" s="103"/>
      <c r="DF17" s="103"/>
      <c r="DG17" s="103"/>
      <c r="DH17" s="103"/>
      <c r="DI17" s="103"/>
      <c r="DJ17" s="103"/>
      <c r="DK17" s="103"/>
      <c r="DL17" s="103"/>
      <c r="DM17" s="103"/>
    </row>
    <row r="18" spans="1:117" s="633" customFormat="1" ht="11.65" customHeight="1">
      <c r="A18" s="625"/>
      <c r="B18" s="626"/>
      <c r="C18" s="627" t="s">
        <v>21</v>
      </c>
      <c r="D18" s="628"/>
      <c r="E18" s="627"/>
      <c r="F18" s="627"/>
      <c r="G18" s="627"/>
      <c r="H18" s="627"/>
      <c r="I18" s="628">
        <f>I17/D17-1</f>
        <v>-0.10413734871939206</v>
      </c>
      <c r="J18" s="626">
        <f t="shared" ref="J18:X18" si="32">J17/E17-1</f>
        <v>6.76560453950239E-2</v>
      </c>
      <c r="K18" s="627">
        <f t="shared" si="32"/>
        <v>0.15440840566468705</v>
      </c>
      <c r="L18" s="627">
        <f t="shared" si="32"/>
        <v>-0.11287577992058995</v>
      </c>
      <c r="M18" s="629">
        <f t="shared" si="32"/>
        <v>-0.1540523819344195</v>
      </c>
      <c r="N18" s="628">
        <f t="shared" si="32"/>
        <v>-1.874541836841559E-2</v>
      </c>
      <c r="O18" s="626">
        <f t="shared" si="32"/>
        <v>-0.12612428454619784</v>
      </c>
      <c r="P18" s="627">
        <f t="shared" si="32"/>
        <v>-2.5524337158686183E-2</v>
      </c>
      <c r="Q18" s="627">
        <f t="shared" si="32"/>
        <v>0.19607843137254899</v>
      </c>
      <c r="R18" s="629">
        <f t="shared" si="32"/>
        <v>0.3998049731838127</v>
      </c>
      <c r="S18" s="628">
        <f t="shared" si="32"/>
        <v>9.6798292422625387E-2</v>
      </c>
      <c r="T18" s="626">
        <f t="shared" si="32"/>
        <v>0.44959064327485376</v>
      </c>
      <c r="U18" s="627">
        <f t="shared" si="32"/>
        <v>0.21563451776649756</v>
      </c>
      <c r="V18" s="627">
        <f t="shared" si="32"/>
        <v>2.6550249465431275E-2</v>
      </c>
      <c r="W18" s="629">
        <f t="shared" si="32"/>
        <v>-7.9937304075235138E-2</v>
      </c>
      <c r="X18" s="628">
        <f t="shared" si="32"/>
        <v>0.13009633161428424</v>
      </c>
      <c r="Y18" s="626">
        <f t="shared" ref="Y18:BD18" si="33">Y17/T17-1</f>
        <v>-8.3104728094239189E-2</v>
      </c>
      <c r="Z18" s="627">
        <f t="shared" si="33"/>
        <v>-3.6078169366961732E-2</v>
      </c>
      <c r="AA18" s="627">
        <f t="shared" si="33"/>
        <v>-2.898802291268876E-2</v>
      </c>
      <c r="AB18" s="629">
        <f t="shared" si="33"/>
        <v>4.0318001135718262E-2</v>
      </c>
      <c r="AC18" s="628">
        <f t="shared" si="33"/>
        <v>-2.9490270363354609E-2</v>
      </c>
      <c r="AD18" s="626">
        <f t="shared" si="33"/>
        <v>-1.601548750439985E-2</v>
      </c>
      <c r="AE18" s="627">
        <f t="shared" si="33"/>
        <v>-0.12389533876277936</v>
      </c>
      <c r="AF18" s="627">
        <f t="shared" si="33"/>
        <v>-6.9181265641759082E-2</v>
      </c>
      <c r="AG18" s="629">
        <f t="shared" si="33"/>
        <v>-9.5524017467248923E-2</v>
      </c>
      <c r="AH18" s="628">
        <f t="shared" si="33"/>
        <v>-7.6209909949873533E-2</v>
      </c>
      <c r="AI18" s="626">
        <f t="shared" si="33"/>
        <v>-0.13235557145412269</v>
      </c>
      <c r="AJ18" s="627">
        <f t="shared" si="33"/>
        <v>7.6740506329114E-2</v>
      </c>
      <c r="AK18" s="627">
        <f t="shared" si="33"/>
        <v>0.11426925292874968</v>
      </c>
      <c r="AL18" s="629">
        <f t="shared" si="33"/>
        <v>0.14765640716153694</v>
      </c>
      <c r="AM18" s="628">
        <f t="shared" si="33"/>
        <v>4.6914765906362454E-2</v>
      </c>
      <c r="AN18" s="626">
        <f t="shared" si="33"/>
        <v>0.2552051123479695</v>
      </c>
      <c r="AO18" s="627">
        <f t="shared" si="33"/>
        <v>0.22905951506245414</v>
      </c>
      <c r="AP18" s="627">
        <f t="shared" si="33"/>
        <v>0.13012754222681844</v>
      </c>
      <c r="AQ18" s="629">
        <f t="shared" si="33"/>
        <v>4.0315512708151147E-3</v>
      </c>
      <c r="AR18" s="628">
        <f t="shared" si="33"/>
        <v>0.14966516833318044</v>
      </c>
      <c r="AS18" s="630">
        <f t="shared" si="33"/>
        <v>7.7024141895220888E-2</v>
      </c>
      <c r="AT18" s="631">
        <f t="shared" si="33"/>
        <v>4.3790165894485034E-2</v>
      </c>
      <c r="AU18" s="631">
        <f t="shared" si="33"/>
        <v>-2.4401403080677175E-3</v>
      </c>
      <c r="AV18" s="629">
        <f t="shared" si="33"/>
        <v>8.3100558659217949E-2</v>
      </c>
      <c r="AW18" s="628">
        <f t="shared" si="33"/>
        <v>4.8753241571912964E-2</v>
      </c>
      <c r="AX18" s="630">
        <f t="shared" si="33"/>
        <v>8.2342177493137658E-3</v>
      </c>
      <c r="AY18" s="627">
        <f t="shared" si="33"/>
        <v>-8.8487972508591084E-2</v>
      </c>
      <c r="AZ18" s="627">
        <f t="shared" si="33"/>
        <v>-3.8373337410181896E-2</v>
      </c>
      <c r="BA18" s="629">
        <f t="shared" si="33"/>
        <v>-7.2372662798194765E-2</v>
      </c>
      <c r="BB18" s="628">
        <f t="shared" si="33"/>
        <v>-4.8084604557385835E-2</v>
      </c>
      <c r="BC18" s="630">
        <f t="shared" si="33"/>
        <v>-0.18421052631578949</v>
      </c>
      <c r="BD18" s="627">
        <f t="shared" si="33"/>
        <v>-0.13100848256361919</v>
      </c>
      <c r="BE18" s="627">
        <f t="shared" ref="BE18:CA18" si="34">BE17/AZ17-1</f>
        <v>-0.11860095389507153</v>
      </c>
      <c r="BF18" s="629">
        <f t="shared" si="34"/>
        <v>-6.5855777584708952E-2</v>
      </c>
      <c r="BG18" s="628">
        <f t="shared" si="34"/>
        <v>-0.12696319386164734</v>
      </c>
      <c r="BH18" s="630">
        <f t="shared" si="34"/>
        <v>-3.3370411568409364E-2</v>
      </c>
      <c r="BI18" s="627">
        <f t="shared" si="34"/>
        <v>0.12671728127259585</v>
      </c>
      <c r="BJ18" s="627">
        <f t="shared" si="34"/>
        <v>8.3694083694083599E-2</v>
      </c>
      <c r="BK18" s="629">
        <f t="shared" si="34"/>
        <v>0.12053571428571419</v>
      </c>
      <c r="BL18" s="628">
        <f t="shared" si="34"/>
        <v>7.4750526412157736E-2</v>
      </c>
      <c r="BM18" s="630">
        <f t="shared" si="34"/>
        <v>0.10529344073647873</v>
      </c>
      <c r="BN18" s="627">
        <f t="shared" si="34"/>
        <v>-0.24659072677683302</v>
      </c>
      <c r="BO18" s="627">
        <f t="shared" si="34"/>
        <v>-0.10219707057256988</v>
      </c>
      <c r="BP18" s="629">
        <f t="shared" si="34"/>
        <v>-0.12450199203187251</v>
      </c>
      <c r="BQ18" s="628">
        <f t="shared" si="34"/>
        <v>-0.10017462413220324</v>
      </c>
      <c r="BR18" s="630">
        <f t="shared" si="34"/>
        <v>0.12181155648099939</v>
      </c>
      <c r="BS18" s="627">
        <f t="shared" si="34"/>
        <v>0.33411413969335602</v>
      </c>
      <c r="BT18" s="627">
        <f t="shared" si="34"/>
        <v>0.32480533926585098</v>
      </c>
      <c r="BU18" s="629">
        <f t="shared" si="34"/>
        <v>0.50018960940462653</v>
      </c>
      <c r="BV18" s="628">
        <f t="shared" si="34"/>
        <v>0.31528376011738524</v>
      </c>
      <c r="BW18" s="627">
        <f t="shared" si="34"/>
        <v>0.31755607115235884</v>
      </c>
      <c r="BX18" s="627">
        <f t="shared" si="34"/>
        <v>0.40654429369513179</v>
      </c>
      <c r="BY18" s="627">
        <f t="shared" si="34"/>
        <v>0.20878813322138257</v>
      </c>
      <c r="BZ18" s="629">
        <f t="shared" si="34"/>
        <v>7.9373104145601614E-2</v>
      </c>
      <c r="CA18" s="628">
        <f t="shared" si="34"/>
        <v>0.2418310061897222</v>
      </c>
      <c r="CB18" s="627"/>
      <c r="CC18" s="627"/>
      <c r="CD18" s="627"/>
      <c r="CE18" s="629"/>
      <c r="CF18" s="628"/>
      <c r="CG18" s="627"/>
      <c r="CH18" s="627"/>
      <c r="CI18" s="627"/>
      <c r="CJ18" s="629"/>
      <c r="CK18" s="628"/>
      <c r="CL18" s="627"/>
      <c r="CM18" s="627"/>
      <c r="CN18" s="627"/>
      <c r="CO18" s="629"/>
      <c r="CP18" s="628"/>
      <c r="CQ18" s="627"/>
      <c r="CR18" s="627"/>
      <c r="CS18" s="627"/>
      <c r="CT18" s="629"/>
      <c r="CU18" s="628"/>
      <c r="CV18" s="627"/>
      <c r="CW18" s="627"/>
      <c r="CX18" s="644"/>
      <c r="CY18" s="627"/>
      <c r="CZ18" s="632"/>
      <c r="DA18" s="449" t="s">
        <v>625</v>
      </c>
      <c r="DB18" s="454">
        <f>DB7</f>
        <v>42200</v>
      </c>
    </row>
    <row r="19" spans="1:117" s="633" customFormat="1" ht="11.65" customHeight="1">
      <c r="A19" s="625"/>
      <c r="B19" s="626"/>
      <c r="C19" s="627" t="s">
        <v>22</v>
      </c>
      <c r="D19" s="628"/>
      <c r="E19" s="627"/>
      <c r="F19" s="627">
        <f>F17/E17-1</f>
        <v>-4.4522042776080295E-2</v>
      </c>
      <c r="G19" s="627">
        <f>G17/F17-1</f>
        <v>0.20808588396528105</v>
      </c>
      <c r="H19" s="627">
        <f>H17/G17-1</f>
        <v>-8.3191529589714541E-2</v>
      </c>
      <c r="I19" s="628"/>
      <c r="J19" s="627">
        <f>J17/H17-1</f>
        <v>8.8678077954218448E-3</v>
      </c>
      <c r="K19" s="627">
        <f>K17/J17-1</f>
        <v>3.3115290269828401E-2</v>
      </c>
      <c r="L19" s="627">
        <f>L17/K17-1</f>
        <v>-7.162643450732098E-2</v>
      </c>
      <c r="M19" s="627">
        <f>M17/L17-1</f>
        <v>-0.12574595055413473</v>
      </c>
      <c r="N19" s="628"/>
      <c r="O19" s="627">
        <f>O17/M17-1</f>
        <v>4.2174549000487671E-2</v>
      </c>
      <c r="P19" s="627">
        <f>P17/O17-1</f>
        <v>0.1520467836257311</v>
      </c>
      <c r="Q19" s="627">
        <f>Q17/P17-1</f>
        <v>0.13949238578680201</v>
      </c>
      <c r="R19" s="627">
        <f>R17/Q17-1</f>
        <v>2.3164647184604314E-2</v>
      </c>
      <c r="S19" s="628"/>
      <c r="T19" s="627">
        <f>T17/R17-1</f>
        <v>7.9240682688958453E-2</v>
      </c>
      <c r="U19" s="627">
        <f>U17/T17-1</f>
        <v>-3.3887364853961599E-2</v>
      </c>
      <c r="V19" s="627">
        <f>V17/U17-1</f>
        <v>-3.7748454985802593E-2</v>
      </c>
      <c r="W19" s="627">
        <f>W17/V17-1</f>
        <v>-8.2971706300989378E-2</v>
      </c>
      <c r="X19" s="628"/>
      <c r="Y19" s="627">
        <f>Y17/W17-1</f>
        <v>7.5525269733106137E-2</v>
      </c>
      <c r="Z19" s="627">
        <f>Z17/Y17-1</f>
        <v>1.5663498768039519E-2</v>
      </c>
      <c r="AA19" s="627">
        <f>AA17/Z17-1</f>
        <v>-3.0670594351065672E-2</v>
      </c>
      <c r="AB19" s="627">
        <f>AB17/AA17-1</f>
        <v>-1.7518770110833026E-2</v>
      </c>
      <c r="AC19" s="634"/>
      <c r="AD19" s="627">
        <f>AD17/AB17-1</f>
        <v>1.7285298398835414E-2</v>
      </c>
      <c r="AE19" s="627">
        <f>AE17/AD17-1</f>
        <v>-9.5689500983723863E-2</v>
      </c>
      <c r="AF19" s="627">
        <f>AF17/AE17-1</f>
        <v>2.9865506329114E-2</v>
      </c>
      <c r="AG19" s="627">
        <f>AG17/AF17-1</f>
        <v>-4.5323602842327615E-2</v>
      </c>
      <c r="AH19" s="634"/>
      <c r="AI19" s="627">
        <f>AI17/AG17-1</f>
        <v>-2.4140012070006045E-2</v>
      </c>
      <c r="AJ19" s="627">
        <f>AJ17/AI17-1</f>
        <v>0.12224283652855084</v>
      </c>
      <c r="AK19" s="627">
        <f>AK17/AJ17-1</f>
        <v>6.5760470242468783E-2</v>
      </c>
      <c r="AL19" s="627">
        <f>AL17/AK17-1</f>
        <v>-1.6718372974836249E-2</v>
      </c>
      <c r="AM19" s="634"/>
      <c r="AN19" s="627">
        <f>AN17/AL17-1</f>
        <v>6.7309377738825615E-2</v>
      </c>
      <c r="AO19" s="627">
        <f>AO17/AN17-1</f>
        <v>9.8866808999835687E-2</v>
      </c>
      <c r="AP19" s="627">
        <f>AP17/AO17-1</f>
        <v>-2.0026901808399389E-2</v>
      </c>
      <c r="AQ19" s="627">
        <f>AQ17/AP17-1</f>
        <v>-0.12642976971175846</v>
      </c>
      <c r="AR19" s="634"/>
      <c r="AS19" s="631">
        <f>AS17/AQ17-1</f>
        <v>0.14490223463687157</v>
      </c>
      <c r="AT19" s="627">
        <f>AT17/AS17-1</f>
        <v>6.4958828911253486E-2</v>
      </c>
      <c r="AU19" s="627">
        <f>AU17/AT17-1</f>
        <v>-6.3430698739977087E-2</v>
      </c>
      <c r="AV19" s="627">
        <f>AV17/AU17-1</f>
        <v>-5.1521174132395653E-2</v>
      </c>
      <c r="AW19" s="634"/>
      <c r="AX19" s="631">
        <f>AX17/AV17-1</f>
        <v>6.5764023210831635E-2</v>
      </c>
      <c r="AY19" s="627">
        <f>AY17/AX17-1</f>
        <v>-3.7205081669691498E-2</v>
      </c>
      <c r="AZ19" s="627">
        <f>AZ17/AY17-1</f>
        <v>-1.1938422871504817E-2</v>
      </c>
      <c r="BA19" s="627">
        <f>BA17/AZ17-1</f>
        <v>-8.5055643879173304E-2</v>
      </c>
      <c r="BB19" s="634"/>
      <c r="BC19" s="631">
        <f>BC17/BA17-1</f>
        <v>-6.2728062554300634E-2</v>
      </c>
      <c r="BD19" s="627">
        <f>BD17/BC17-1</f>
        <v>2.5583982202447064E-2</v>
      </c>
      <c r="BE19" s="627">
        <f>BE17/BD17-1</f>
        <v>2.1691973969630851E-3</v>
      </c>
      <c r="BF19" s="627">
        <f>BF17/BE17-1</f>
        <v>-3.0303030303030276E-2</v>
      </c>
      <c r="BG19" s="634"/>
      <c r="BH19" s="631">
        <f>BH17/BF17-1</f>
        <v>-3.0133928571428603E-2</v>
      </c>
      <c r="BI19" s="627">
        <f>BI17/BH17-1</f>
        <v>0.19543536632144232</v>
      </c>
      <c r="BJ19" s="627">
        <f>BJ17/BI17-1</f>
        <v>-3.609818706882717E-2</v>
      </c>
      <c r="BK19" s="627">
        <f>BK17/BJ17-1</f>
        <v>2.6631158455392434E-3</v>
      </c>
      <c r="BL19" s="634"/>
      <c r="BM19" s="631">
        <f>BM17/BK17-1</f>
        <v>-4.3326693227091595E-2</v>
      </c>
      <c r="BN19" s="627">
        <f>BN17/BM17-1</f>
        <v>-0.1851466250216901</v>
      </c>
      <c r="BO19" s="627">
        <f>BO17/BN17-1</f>
        <v>0.14863713798977862</v>
      </c>
      <c r="BP19" s="627">
        <f>BP17/BO17-1</f>
        <v>-2.2246941045606206E-2</v>
      </c>
      <c r="BQ19" s="634"/>
      <c r="BR19" s="631">
        <f>BR17/BP17-1</f>
        <v>0.22582480091012513</v>
      </c>
      <c r="BS19" s="627">
        <f>BS17/BR17-1</f>
        <v>-3.0935808197989134E-2</v>
      </c>
      <c r="BT19" s="627">
        <f>BT17/BS17-1</f>
        <v>0.14062250598563453</v>
      </c>
      <c r="BU19" s="627">
        <f>BU17/BT17-1</f>
        <v>0.10719283515253286</v>
      </c>
      <c r="BV19" s="634"/>
      <c r="BW19" s="627">
        <f>BW17/BV17-1</f>
        <v>-0.69346480495177776</v>
      </c>
      <c r="BX19" s="627">
        <f>BX17/BW17-1</f>
        <v>3.4515144400093956E-2</v>
      </c>
      <c r="BY19" s="627">
        <f>BY17/BX17-1</f>
        <v>-1.9745801180208855E-2</v>
      </c>
      <c r="BZ19" s="627">
        <f>BZ17/BY17-1</f>
        <v>-1.1345218800648316E-2</v>
      </c>
      <c r="CA19" s="634"/>
      <c r="CB19" s="627"/>
      <c r="CC19" s="627"/>
      <c r="CD19" s="627"/>
      <c r="CE19" s="627"/>
      <c r="CF19" s="634"/>
      <c r="CG19" s="649"/>
      <c r="CH19" s="627"/>
      <c r="CI19" s="627"/>
      <c r="CJ19" s="627"/>
      <c r="CK19" s="634"/>
      <c r="CL19" s="649"/>
      <c r="CM19" s="627"/>
      <c r="CN19" s="627"/>
      <c r="CO19" s="627"/>
      <c r="CP19" s="634"/>
      <c r="CQ19" s="649"/>
      <c r="CR19" s="627"/>
      <c r="CS19" s="627"/>
      <c r="CT19" s="627"/>
      <c r="CU19" s="634"/>
      <c r="CV19" s="635"/>
      <c r="CW19" s="635"/>
      <c r="CX19" s="635"/>
      <c r="CY19" s="635"/>
      <c r="CZ19" s="632"/>
      <c r="DA19" s="459" t="s">
        <v>616</v>
      </c>
      <c r="DB19" s="460">
        <f>DB17/DB18</f>
        <v>586.9030331753554</v>
      </c>
      <c r="DC19" s="645"/>
      <c r="DD19" s="642"/>
      <c r="DE19" s="645"/>
      <c r="DF19" s="642"/>
      <c r="DG19" s="642"/>
      <c r="DH19" s="642"/>
      <c r="DI19" s="642"/>
      <c r="DJ19" s="642"/>
      <c r="DK19" s="642"/>
      <c r="DL19" s="642"/>
      <c r="DM19" s="642"/>
    </row>
    <row r="20" spans="1:117" s="68" customFormat="1" ht="18" customHeight="1">
      <c r="A20" s="10"/>
      <c r="B20" s="8" t="s">
        <v>52</v>
      </c>
      <c r="C20" s="12"/>
      <c r="D20" s="13">
        <v>7315</v>
      </c>
      <c r="E20" s="12">
        <v>1761</v>
      </c>
      <c r="F20" s="12">
        <v>1826</v>
      </c>
      <c r="G20" s="12">
        <v>1497</v>
      </c>
      <c r="H20" s="12">
        <f>I20-G20-F20-E20</f>
        <v>2600</v>
      </c>
      <c r="I20" s="13">
        <v>7684</v>
      </c>
      <c r="J20" s="12">
        <v>1571</v>
      </c>
      <c r="K20" s="12">
        <v>1492</v>
      </c>
      <c r="L20" s="12">
        <v>1788</v>
      </c>
      <c r="M20" s="12">
        <f>N20-L20-K20-J20</f>
        <v>2466</v>
      </c>
      <c r="N20" s="13">
        <v>7317</v>
      </c>
      <c r="O20" s="12">
        <v>1371</v>
      </c>
      <c r="P20" s="12">
        <v>1415</v>
      </c>
      <c r="Q20" s="12">
        <v>1430</v>
      </c>
      <c r="R20" s="12">
        <v>1652</v>
      </c>
      <c r="S20" s="13">
        <f>SUM(O20:R20)</f>
        <v>5868</v>
      </c>
      <c r="T20" s="12">
        <v>1134</v>
      </c>
      <c r="U20" s="12">
        <v>2115</v>
      </c>
      <c r="V20" s="12">
        <v>1148</v>
      </c>
      <c r="W20" s="12">
        <v>1897</v>
      </c>
      <c r="X20" s="13">
        <f>SUM(T20:W20)</f>
        <v>6294</v>
      </c>
      <c r="Y20" s="12">
        <f>1251-121</f>
        <v>1130</v>
      </c>
      <c r="Z20" s="12">
        <v>2825</v>
      </c>
      <c r="AA20" s="12">
        <v>1392</v>
      </c>
      <c r="AB20" s="12">
        <v>1609</v>
      </c>
      <c r="AC20" s="13">
        <f>SUM(Y20:AB20)</f>
        <v>6956</v>
      </c>
      <c r="AD20" s="12">
        <v>1394</v>
      </c>
      <c r="AE20" s="12">
        <v>3355</v>
      </c>
      <c r="AF20" s="12">
        <v>1954</v>
      </c>
      <c r="AG20" s="12">
        <v>1423</v>
      </c>
      <c r="AH20" s="13">
        <f>SUM(AD20:AG20)</f>
        <v>8126</v>
      </c>
      <c r="AI20" s="35">
        <v>1489</v>
      </c>
      <c r="AJ20" s="35">
        <v>3831</v>
      </c>
      <c r="AK20" s="35">
        <v>1070</v>
      </c>
      <c r="AL20" s="35">
        <v>1479</v>
      </c>
      <c r="AM20" s="13">
        <f>SUM(AI20:AL20)</f>
        <v>7869</v>
      </c>
      <c r="AN20" s="35">
        <v>1137</v>
      </c>
      <c r="AO20" s="35">
        <v>4043</v>
      </c>
      <c r="AP20" s="35">
        <v>2146</v>
      </c>
      <c r="AQ20" s="35">
        <v>2301</v>
      </c>
      <c r="AR20" s="13">
        <f>SUM(AN20:AQ20)</f>
        <v>9627</v>
      </c>
      <c r="AS20" s="60">
        <v>3334</v>
      </c>
      <c r="AT20" s="35">
        <v>5686</v>
      </c>
      <c r="AU20" s="60">
        <v>3419</v>
      </c>
      <c r="AV20" s="35">
        <v>2535</v>
      </c>
      <c r="AW20" s="13">
        <f>SUM(AS20:AV20)</f>
        <v>14974</v>
      </c>
      <c r="AX20" s="35">
        <v>2728</v>
      </c>
      <c r="AY20" s="35">
        <v>7919</v>
      </c>
      <c r="AZ20" s="35">
        <v>3410</v>
      </c>
      <c r="BA20" s="35">
        <v>3660</v>
      </c>
      <c r="BB20" s="13">
        <f>SUM(AX20:BA20)</f>
        <v>17717</v>
      </c>
      <c r="BC20" s="35">
        <v>4140</v>
      </c>
      <c r="BD20" s="35">
        <v>8369</v>
      </c>
      <c r="BE20" s="35">
        <v>4966</v>
      </c>
      <c r="BF20" s="35">
        <v>6183</v>
      </c>
      <c r="BG20" s="13">
        <f>SUM(BC20:BF20)</f>
        <v>23658</v>
      </c>
      <c r="BH20" s="35">
        <v>4189</v>
      </c>
      <c r="BI20" s="35">
        <v>10651</v>
      </c>
      <c r="BJ20" s="35">
        <f>3911</f>
        <v>3911</v>
      </c>
      <c r="BK20" s="35">
        <f>4261</f>
        <v>4261</v>
      </c>
      <c r="BL20" s="13">
        <f>SUM(BH20:BK20)</f>
        <v>23012</v>
      </c>
      <c r="BM20" s="35">
        <v>3820</v>
      </c>
      <c r="BN20" s="35">
        <f>3318</f>
        <v>3318</v>
      </c>
      <c r="BO20" s="35">
        <v>5200</v>
      </c>
      <c r="BP20" s="35">
        <v>5464</v>
      </c>
      <c r="BQ20" s="13">
        <f>SUM(BM20:BP20)</f>
        <v>17802</v>
      </c>
      <c r="BR20" s="35">
        <v>4173</v>
      </c>
      <c r="BS20" s="35">
        <f>7690</f>
        <v>7690</v>
      </c>
      <c r="BT20" s="35">
        <v>4655</v>
      </c>
      <c r="BU20" s="35">
        <v>5416</v>
      </c>
      <c r="BV20" s="13">
        <f>SUM(BR20:BU20)</f>
        <v>21934</v>
      </c>
      <c r="BW20" s="35">
        <v>7115</v>
      </c>
      <c r="BX20" s="35">
        <v>9108</v>
      </c>
      <c r="BY20" s="35">
        <v>9420</v>
      </c>
      <c r="BZ20" s="35">
        <v>6771</v>
      </c>
      <c r="CA20" s="13">
        <f>SUM(BW20:BZ20)</f>
        <v>32414</v>
      </c>
      <c r="CB20" s="35">
        <v>5199</v>
      </c>
      <c r="CC20" s="35">
        <v>13752</v>
      </c>
      <c r="CD20" s="35">
        <v>10330</v>
      </c>
      <c r="CE20" s="35">
        <v>8225</v>
      </c>
      <c r="CF20" s="13">
        <f>SUM(CB20:CE20)</f>
        <v>37506</v>
      </c>
      <c r="CG20" s="35">
        <v>8358</v>
      </c>
      <c r="CH20" s="35">
        <v>14728</v>
      </c>
      <c r="CI20" s="35">
        <v>9930</v>
      </c>
      <c r="CJ20" s="35">
        <v>8376</v>
      </c>
      <c r="CK20" s="13">
        <f>SUM(CG20:CJ20)</f>
        <v>41392</v>
      </c>
      <c r="CL20" s="35">
        <v>6331</v>
      </c>
      <c r="CM20" s="35">
        <v>16644</v>
      </c>
      <c r="CN20" s="35">
        <v>13645</v>
      </c>
      <c r="CO20" s="35">
        <f>'Revenue Build'!AF73</f>
        <v>6500</v>
      </c>
      <c r="CP20" s="13">
        <f>SUM(CL20:CO20)</f>
        <v>43120</v>
      </c>
      <c r="CQ20" s="35">
        <f>'Revenue Build'!AH73</f>
        <v>8000</v>
      </c>
      <c r="CR20" s="35">
        <f>'Revenue Build'!AI73</f>
        <v>14500</v>
      </c>
      <c r="CS20" s="35">
        <f>'Revenue Build'!AJ73</f>
        <v>6800</v>
      </c>
      <c r="CT20" s="35">
        <f>'Revenue Build'!AK73</f>
        <v>6000</v>
      </c>
      <c r="CU20" s="13">
        <f>SUM(CQ20:CT20)</f>
        <v>35300</v>
      </c>
      <c r="CV20" s="12">
        <v>38</v>
      </c>
      <c r="CW20" s="12"/>
      <c r="CX20" s="12"/>
      <c r="CY20" s="12"/>
      <c r="CZ20" s="80"/>
      <c r="DA20" s="449"/>
      <c r="DB20" s="451"/>
      <c r="DC20" s="204"/>
      <c r="DD20" s="103"/>
      <c r="DE20" s="204"/>
      <c r="DF20" s="103"/>
      <c r="DG20" s="103"/>
      <c r="DH20" s="103"/>
      <c r="DI20" s="103"/>
      <c r="DJ20" s="103"/>
      <c r="DK20" s="103"/>
      <c r="DL20" s="103"/>
      <c r="DM20" s="103"/>
    </row>
    <row r="21" spans="1:117" s="633" customFormat="1" ht="11.65" customHeight="1">
      <c r="A21" s="625"/>
      <c r="B21" s="626"/>
      <c r="C21" s="627" t="s">
        <v>21</v>
      </c>
      <c r="D21" s="628"/>
      <c r="E21" s="627"/>
      <c r="F21" s="627">
        <f>F20/E20-1</f>
        <v>3.6910846110164597E-2</v>
      </c>
      <c r="G21" s="627">
        <f>G20/F20-1</f>
        <v>-0.18017524644030669</v>
      </c>
      <c r="H21" s="627">
        <f>H20/G20-1</f>
        <v>0.73680694722778894</v>
      </c>
      <c r="I21" s="628">
        <f>I20/D20-1</f>
        <v>5.0444292549555625E-2</v>
      </c>
      <c r="J21" s="626">
        <f t="shared" ref="J21:X21" si="35">J20/E20-1</f>
        <v>-0.10789324247586596</v>
      </c>
      <c r="K21" s="627">
        <f t="shared" si="35"/>
        <v>-0.18291347207009856</v>
      </c>
      <c r="L21" s="627">
        <f t="shared" si="35"/>
        <v>0.1943887775551103</v>
      </c>
      <c r="M21" s="629">
        <f t="shared" si="35"/>
        <v>-5.1538461538461533E-2</v>
      </c>
      <c r="N21" s="628">
        <f t="shared" si="35"/>
        <v>-4.776158250910989E-2</v>
      </c>
      <c r="O21" s="626">
        <f t="shared" si="35"/>
        <v>-0.1273074474856779</v>
      </c>
      <c r="P21" s="627">
        <f t="shared" si="35"/>
        <v>-5.1608579088471829E-2</v>
      </c>
      <c r="Q21" s="627">
        <f t="shared" si="35"/>
        <v>-0.20022371364653246</v>
      </c>
      <c r="R21" s="629">
        <f t="shared" si="35"/>
        <v>-0.33008921330089214</v>
      </c>
      <c r="S21" s="628">
        <f t="shared" si="35"/>
        <v>-0.19803198031980318</v>
      </c>
      <c r="T21" s="626">
        <f t="shared" si="35"/>
        <v>-0.17286652078774623</v>
      </c>
      <c r="U21" s="627">
        <f t="shared" si="35"/>
        <v>0.4946996466431095</v>
      </c>
      <c r="V21" s="627">
        <f t="shared" si="35"/>
        <v>-0.19720279720279721</v>
      </c>
      <c r="W21" s="629">
        <f t="shared" si="35"/>
        <v>0.14830508474576276</v>
      </c>
      <c r="X21" s="628">
        <f t="shared" si="35"/>
        <v>7.2597137014315027E-2</v>
      </c>
      <c r="Y21" s="626">
        <f t="shared" ref="Y21:BD21" si="36">Y20/T20-1</f>
        <v>-3.5273368606701938E-3</v>
      </c>
      <c r="Z21" s="627">
        <f t="shared" si="36"/>
        <v>0.3356973995271868</v>
      </c>
      <c r="AA21" s="627">
        <f t="shared" si="36"/>
        <v>0.21254355400696867</v>
      </c>
      <c r="AB21" s="629">
        <f t="shared" si="36"/>
        <v>-0.1518186610437533</v>
      </c>
      <c r="AC21" s="628">
        <f t="shared" si="36"/>
        <v>0.10517953606609476</v>
      </c>
      <c r="AD21" s="626">
        <f t="shared" si="36"/>
        <v>0.23362831858407085</v>
      </c>
      <c r="AE21" s="627">
        <f t="shared" si="36"/>
        <v>0.18761061946902657</v>
      </c>
      <c r="AF21" s="627">
        <f t="shared" si="36"/>
        <v>0.40373563218390807</v>
      </c>
      <c r="AG21" s="629">
        <f t="shared" si="36"/>
        <v>-0.11559975139838408</v>
      </c>
      <c r="AH21" s="628">
        <f t="shared" si="36"/>
        <v>0.16820011500862564</v>
      </c>
      <c r="AI21" s="626">
        <f t="shared" si="36"/>
        <v>6.8149210903873714E-2</v>
      </c>
      <c r="AJ21" s="627">
        <f t="shared" si="36"/>
        <v>0.1418777943368108</v>
      </c>
      <c r="AK21" s="627">
        <f t="shared" si="36"/>
        <v>-0.45240532241555786</v>
      </c>
      <c r="AL21" s="629">
        <f t="shared" si="36"/>
        <v>3.9353478566408917E-2</v>
      </c>
      <c r="AM21" s="628">
        <f t="shared" si="36"/>
        <v>-3.1626876692099404E-2</v>
      </c>
      <c r="AN21" s="626">
        <f t="shared" si="36"/>
        <v>-0.23640026863666885</v>
      </c>
      <c r="AO21" s="627">
        <f t="shared" si="36"/>
        <v>5.5338031845471258E-2</v>
      </c>
      <c r="AP21" s="627">
        <f t="shared" si="36"/>
        <v>1.0056074766355141</v>
      </c>
      <c r="AQ21" s="629">
        <f t="shared" si="36"/>
        <v>0.55578093306288023</v>
      </c>
      <c r="AR21" s="628">
        <f t="shared" si="36"/>
        <v>0.22340831109416692</v>
      </c>
      <c r="AS21" s="630">
        <f t="shared" si="36"/>
        <v>1.9322779243623569</v>
      </c>
      <c r="AT21" s="631">
        <f t="shared" si="36"/>
        <v>0.40638139995053169</v>
      </c>
      <c r="AU21" s="631">
        <f t="shared" si="36"/>
        <v>0.59319664492078283</v>
      </c>
      <c r="AV21" s="629">
        <f t="shared" si="36"/>
        <v>0.10169491525423724</v>
      </c>
      <c r="AW21" s="628">
        <f t="shared" si="36"/>
        <v>0.55541705619611514</v>
      </c>
      <c r="AX21" s="630">
        <f t="shared" si="36"/>
        <v>-0.18176364727054584</v>
      </c>
      <c r="AY21" s="627">
        <f t="shared" si="36"/>
        <v>0.39271895884628916</v>
      </c>
      <c r="AZ21" s="627">
        <f t="shared" si="36"/>
        <v>-2.6323486399532081E-3</v>
      </c>
      <c r="BA21" s="629">
        <f t="shared" si="36"/>
        <v>0.44378698224852076</v>
      </c>
      <c r="BB21" s="628">
        <f t="shared" si="36"/>
        <v>0.18318418592226515</v>
      </c>
      <c r="BC21" s="630">
        <f t="shared" si="36"/>
        <v>0.51759530791788855</v>
      </c>
      <c r="BD21" s="627">
        <f t="shared" si="36"/>
        <v>5.6825356736961652E-2</v>
      </c>
      <c r="BE21" s="627">
        <f t="shared" ref="BE21:CL21" si="37">BE20/AZ20-1</f>
        <v>0.4563049853372434</v>
      </c>
      <c r="BF21" s="629">
        <f t="shared" si="37"/>
        <v>0.68934426229508206</v>
      </c>
      <c r="BG21" s="628">
        <f t="shared" si="37"/>
        <v>0.33532765140825194</v>
      </c>
      <c r="BH21" s="630">
        <f t="shared" si="37"/>
        <v>1.1835748792270451E-2</v>
      </c>
      <c r="BI21" s="627">
        <f t="shared" si="37"/>
        <v>0.27267295973234562</v>
      </c>
      <c r="BJ21" s="627">
        <f t="shared" si="37"/>
        <v>-0.21244462343938786</v>
      </c>
      <c r="BK21" s="629">
        <f t="shared" si="37"/>
        <v>-0.31085233705321047</v>
      </c>
      <c r="BL21" s="628">
        <f t="shared" si="37"/>
        <v>-2.7305773945388467E-2</v>
      </c>
      <c r="BM21" s="630">
        <f t="shared" si="37"/>
        <v>-8.8087849128670292E-2</v>
      </c>
      <c r="BN21" s="627">
        <f t="shared" si="37"/>
        <v>-0.68847995493380898</v>
      </c>
      <c r="BO21" s="627">
        <f t="shared" si="37"/>
        <v>0.32958322679621577</v>
      </c>
      <c r="BP21" s="629">
        <f t="shared" si="37"/>
        <v>0.28232809199718378</v>
      </c>
      <c r="BQ21" s="628">
        <f t="shared" si="37"/>
        <v>-0.22640361550495391</v>
      </c>
      <c r="BR21" s="630">
        <f t="shared" si="37"/>
        <v>9.2408376963350802E-2</v>
      </c>
      <c r="BS21" s="627">
        <f t="shared" si="37"/>
        <v>1.3176612417118747</v>
      </c>
      <c r="BT21" s="627">
        <f t="shared" si="37"/>
        <v>-0.10480769230769227</v>
      </c>
      <c r="BU21" s="629">
        <f t="shared" si="37"/>
        <v>-8.7847730600292273E-3</v>
      </c>
      <c r="BV21" s="628">
        <f t="shared" si="37"/>
        <v>0.2321087518256375</v>
      </c>
      <c r="BW21" s="627">
        <f t="shared" si="37"/>
        <v>0.70500838725137793</v>
      </c>
      <c r="BX21" s="627">
        <f t="shared" si="37"/>
        <v>0.18439531859557867</v>
      </c>
      <c r="BY21" s="627">
        <f t="shared" si="37"/>
        <v>1.0236305048335121</v>
      </c>
      <c r="BZ21" s="629">
        <f t="shared" si="37"/>
        <v>0.2501846381093058</v>
      </c>
      <c r="CA21" s="628">
        <f t="shared" si="37"/>
        <v>0.47779702744597419</v>
      </c>
      <c r="CB21" s="627">
        <f t="shared" si="37"/>
        <v>-0.26929023190442725</v>
      </c>
      <c r="CC21" s="627">
        <f t="shared" si="37"/>
        <v>0.50988142292490113</v>
      </c>
      <c r="CD21" s="627">
        <f t="shared" si="37"/>
        <v>9.6602972399150833E-2</v>
      </c>
      <c r="CE21" s="629">
        <f t="shared" si="37"/>
        <v>0.21473932949342789</v>
      </c>
      <c r="CF21" s="628">
        <f t="shared" si="37"/>
        <v>0.1570926143024618</v>
      </c>
      <c r="CG21" s="627">
        <f t="shared" si="37"/>
        <v>0.60761684939411431</v>
      </c>
      <c r="CH21" s="627">
        <f t="shared" si="37"/>
        <v>7.0971495055264677E-2</v>
      </c>
      <c r="CI21" s="627">
        <f t="shared" si="37"/>
        <v>-3.8722168441432725E-2</v>
      </c>
      <c r="CJ21" s="629">
        <f t="shared" si="37"/>
        <v>1.835866261398178E-2</v>
      </c>
      <c r="CK21" s="628">
        <f t="shared" ref="CK21:CO21" si="38">CK20/CF20-1</f>
        <v>0.10361008905241831</v>
      </c>
      <c r="CL21" s="627">
        <f t="shared" si="37"/>
        <v>-0.24252213448193349</v>
      </c>
      <c r="CM21" s="627">
        <f t="shared" si="38"/>
        <v>0.13009234111895718</v>
      </c>
      <c r="CN21" s="627">
        <f t="shared" si="38"/>
        <v>0.37411883182275929</v>
      </c>
      <c r="CO21" s="629">
        <f t="shared" si="38"/>
        <v>-0.22397325692454628</v>
      </c>
      <c r="CP21" s="628">
        <f>CP20/CK20-1</f>
        <v>4.1747197526091906E-2</v>
      </c>
      <c r="CQ21" s="627">
        <f t="shared" ref="CQ21" si="39">CQ20/CL20-1</f>
        <v>0.26362344021481587</v>
      </c>
      <c r="CR21" s="627">
        <f t="shared" ref="CR21" si="40">CR20/CM20-1</f>
        <v>-0.12881518865657293</v>
      </c>
      <c r="CS21" s="627">
        <f t="shared" ref="CS21" si="41">CS20/CN20-1</f>
        <v>-0.50164895566141443</v>
      </c>
      <c r="CT21" s="629">
        <f t="shared" ref="CT21" si="42">CT20/CO20-1</f>
        <v>-7.6923076923076872E-2</v>
      </c>
      <c r="CU21" s="628">
        <f t="shared" ref="CU21" si="43">CU20/CP20-1</f>
        <v>-0.18135435992578852</v>
      </c>
      <c r="CV21" s="627"/>
      <c r="CW21" s="635"/>
      <c r="CX21" s="635">
        <f>CF23</f>
        <v>1951751</v>
      </c>
      <c r="CY21" s="644">
        <f>CF23*1.1^7</f>
        <v>3803410.5486421022</v>
      </c>
      <c r="CZ21" s="632"/>
      <c r="DA21" s="453" t="s">
        <v>626</v>
      </c>
      <c r="DB21" s="450">
        <f>DB19/DB6-1</f>
        <v>1.7297815496528157</v>
      </c>
      <c r="DC21" s="643"/>
      <c r="DE21" s="646"/>
    </row>
    <row r="22" spans="1:117" s="658" customFormat="1" ht="18" customHeight="1" thickBot="1">
      <c r="A22" s="647"/>
      <c r="B22" s="648"/>
      <c r="C22" s="649" t="s">
        <v>22</v>
      </c>
      <c r="D22" s="650"/>
      <c r="E22" s="649"/>
      <c r="F22" s="649"/>
      <c r="G22" s="649"/>
      <c r="H22" s="649"/>
      <c r="I22" s="650"/>
      <c r="J22" s="649">
        <f>J20/H20-1</f>
        <v>-0.39576923076923076</v>
      </c>
      <c r="K22" s="649">
        <f>K20/J20-1</f>
        <v>-5.0286441756842826E-2</v>
      </c>
      <c r="L22" s="649">
        <f>L20/K20-1</f>
        <v>0.19839142091152806</v>
      </c>
      <c r="M22" s="649">
        <f>M20/L20-1</f>
        <v>0.37919463087248317</v>
      </c>
      <c r="N22" s="650"/>
      <c r="O22" s="649">
        <f>O20/M20-1</f>
        <v>-0.44403892944038925</v>
      </c>
      <c r="P22" s="649">
        <f>P20/O20-1</f>
        <v>3.209336250911754E-2</v>
      </c>
      <c r="Q22" s="649">
        <f>Q20/P20-1</f>
        <v>1.0600706713780994E-2</v>
      </c>
      <c r="R22" s="649">
        <f>R20/Q20-1</f>
        <v>0.15524475524475534</v>
      </c>
      <c r="S22" s="650"/>
      <c r="T22" s="649">
        <f>T20/R20-1</f>
        <v>-0.31355932203389836</v>
      </c>
      <c r="U22" s="649">
        <f>U20/T20-1</f>
        <v>0.86507936507936511</v>
      </c>
      <c r="V22" s="649">
        <f>V20/U20-1</f>
        <v>-0.45721040189125295</v>
      </c>
      <c r="W22" s="649">
        <f>W20/V20-1</f>
        <v>0.65243902439024382</v>
      </c>
      <c r="X22" s="651"/>
      <c r="Y22" s="649">
        <f>Y20/W20-1</f>
        <v>-0.40432261465471797</v>
      </c>
      <c r="Z22" s="649">
        <f>Z20/Y20-1</f>
        <v>1.5</v>
      </c>
      <c r="AA22" s="649">
        <f>AA20/Z20-1</f>
        <v>-0.50725663716814151</v>
      </c>
      <c r="AB22" s="649">
        <f>AB20/AA20-1</f>
        <v>0.15589080459770122</v>
      </c>
      <c r="AC22" s="652"/>
      <c r="AD22" s="649">
        <f>AD20/AB20-1</f>
        <v>-0.1336233685518956</v>
      </c>
      <c r="AE22" s="649">
        <f>AE20/AD20-1</f>
        <v>1.4067431850789096</v>
      </c>
      <c r="AF22" s="649">
        <f>AF20/AE20-1</f>
        <v>-0.41758569299552906</v>
      </c>
      <c r="AG22" s="649">
        <f>AG20/AF20-1</f>
        <v>-0.27175025588536339</v>
      </c>
      <c r="AH22" s="651"/>
      <c r="AI22" s="649">
        <f>AI20/AG20-1</f>
        <v>4.6380885453267684E-2</v>
      </c>
      <c r="AJ22" s="649">
        <f>AJ20/AI20-1</f>
        <v>1.5728676964405643</v>
      </c>
      <c r="AK22" s="649">
        <f>AK20/AJ20-1</f>
        <v>-0.7206995562516314</v>
      </c>
      <c r="AL22" s="649">
        <f>AL20/AK20-1</f>
        <v>0.38224299065420553</v>
      </c>
      <c r="AM22" s="651"/>
      <c r="AN22" s="649">
        <f>AN20/AL20-1</f>
        <v>-0.23123732251521301</v>
      </c>
      <c r="AO22" s="649">
        <f>AO20/AN20-1</f>
        <v>2.5558487247141599</v>
      </c>
      <c r="AP22" s="649">
        <f>AP20/AO20-1</f>
        <v>-0.46920603512243386</v>
      </c>
      <c r="AQ22" s="649">
        <f>AQ20/AP20-1</f>
        <v>7.2227399813606707E-2</v>
      </c>
      <c r="AR22" s="651"/>
      <c r="AS22" s="653">
        <f>AS20/AQ20-1</f>
        <v>0.44893524554541497</v>
      </c>
      <c r="AT22" s="649">
        <f>AT20/AS20-1</f>
        <v>0.70545890821835644</v>
      </c>
      <c r="AU22" s="649">
        <f>AU20/AT20-1</f>
        <v>-0.39869855786141395</v>
      </c>
      <c r="AV22" s="649">
        <f>AV20/AU20-1</f>
        <v>-0.2585551330798479</v>
      </c>
      <c r="AW22" s="651"/>
      <c r="AX22" s="653">
        <f>AX20/AV20-1</f>
        <v>7.6134122287968342E-2</v>
      </c>
      <c r="AY22" s="649">
        <f>AY20/AX20-1</f>
        <v>1.9028592375366569</v>
      </c>
      <c r="AZ22" s="649">
        <f>AZ20/AY20-1</f>
        <v>-0.56939007450435664</v>
      </c>
      <c r="BA22" s="649">
        <f>BA20/AZ20-1</f>
        <v>7.3313782991202281E-2</v>
      </c>
      <c r="BB22" s="651"/>
      <c r="BC22" s="653">
        <f>BC20/BA20-1</f>
        <v>0.13114754098360648</v>
      </c>
      <c r="BD22" s="649">
        <f>BD20/BC20-1</f>
        <v>1.0214975845410628</v>
      </c>
      <c r="BE22" s="649">
        <f>BE20/BD20-1</f>
        <v>-0.40661966782172299</v>
      </c>
      <c r="BF22" s="649">
        <f>BF20/BE20-1</f>
        <v>0.24506645187273457</v>
      </c>
      <c r="BG22" s="651"/>
      <c r="BH22" s="653">
        <f>BH20/BF20-1</f>
        <v>-0.32249716965874176</v>
      </c>
      <c r="BI22" s="649">
        <f>BI20/BH20-1</f>
        <v>1.5426116018142757</v>
      </c>
      <c r="BJ22" s="649">
        <f>BJ20/BI20-1</f>
        <v>-0.63280443150877852</v>
      </c>
      <c r="BK22" s="649">
        <f>BK20/BJ20-1</f>
        <v>8.9491178726668341E-2</v>
      </c>
      <c r="BL22" s="651"/>
      <c r="BM22" s="653">
        <f>BM20/BK20-1</f>
        <v>-0.10349683172964097</v>
      </c>
      <c r="BN22" s="649">
        <f>BN20/BM20-1</f>
        <v>-0.13141361256544504</v>
      </c>
      <c r="BO22" s="649">
        <f>BO20/BN20-1</f>
        <v>0.56720916214587103</v>
      </c>
      <c r="BP22" s="649">
        <f>BP20/BO20-1</f>
        <v>5.0769230769230678E-2</v>
      </c>
      <c r="BQ22" s="651"/>
      <c r="BR22" s="653">
        <f>BR20/BP20-1</f>
        <v>-0.23627379209370425</v>
      </c>
      <c r="BS22" s="649">
        <f>BS20/BR20-1</f>
        <v>0.84279894560268387</v>
      </c>
      <c r="BT22" s="649">
        <f>BT20/BS20-1</f>
        <v>-0.39466840052015606</v>
      </c>
      <c r="BU22" s="649">
        <f>BU20/BT20-1</f>
        <v>0.1634801288936627</v>
      </c>
      <c r="BV22" s="651"/>
      <c r="BW22" s="649">
        <f>BW20/BV20-1</f>
        <v>-0.67561776237804327</v>
      </c>
      <c r="BX22" s="649">
        <f>BX20/BW20-1</f>
        <v>0.28011243851018963</v>
      </c>
      <c r="BY22" s="649">
        <f>BY20/BX20-1</f>
        <v>3.4255599472990728E-2</v>
      </c>
      <c r="BZ22" s="649">
        <f>BZ20/BY20-1</f>
        <v>-0.28121019108280254</v>
      </c>
      <c r="CA22" s="651"/>
      <c r="CB22" s="649">
        <f>CB20/BZ20-1</f>
        <v>-0.23216659282233054</v>
      </c>
      <c r="CC22" s="649">
        <f>CC20/CB20-1</f>
        <v>1.645124062319677</v>
      </c>
      <c r="CD22" s="649">
        <f>CD20/CC20-1</f>
        <v>-0.24883653286794649</v>
      </c>
      <c r="CE22" s="649">
        <f>CE20/CD20-1</f>
        <v>-0.20377541142303968</v>
      </c>
      <c r="CF22" s="651"/>
      <c r="CG22" s="649">
        <f>CG20/CE20-1</f>
        <v>1.6170212765957537E-2</v>
      </c>
      <c r="CH22" s="649">
        <f>CH20/CG20-1</f>
        <v>0.76214405360133997</v>
      </c>
      <c r="CI22" s="649">
        <f>CI20/CH20-1</f>
        <v>-0.32577403585008147</v>
      </c>
      <c r="CJ22" s="649">
        <f>CJ20/CI20-1</f>
        <v>-0.15649546827794558</v>
      </c>
      <c r="CK22" s="651"/>
      <c r="CL22" s="649">
        <f>CL20/CJ20-1</f>
        <v>-0.24414995224450808</v>
      </c>
      <c r="CM22" s="649">
        <f>CM20/CL20-1</f>
        <v>1.6289685673669245</v>
      </c>
      <c r="CN22" s="649">
        <f>CN20/CM20-1</f>
        <v>-0.18018505167027155</v>
      </c>
      <c r="CO22" s="649">
        <f>CO20/CN20-1</f>
        <v>-0.52363503114694021</v>
      </c>
      <c r="CP22" s="651"/>
      <c r="CQ22" s="649">
        <f>CQ20/CO20-1</f>
        <v>0.23076923076923084</v>
      </c>
      <c r="CR22" s="649">
        <f>CR20/CQ20-1</f>
        <v>0.8125</v>
      </c>
      <c r="CS22" s="649">
        <f>CS20/CR20-1</f>
        <v>-0.53103448275862064</v>
      </c>
      <c r="CT22" s="649">
        <f>CT20/CS20-1</f>
        <v>-0.11764705882352944</v>
      </c>
      <c r="CU22" s="651"/>
      <c r="CV22" s="649"/>
      <c r="CW22" s="649"/>
      <c r="CX22" s="649">
        <f>CF54</f>
        <v>448071</v>
      </c>
      <c r="CY22" s="1023">
        <f>CY21*0.35</f>
        <v>1331193.6920247357</v>
      </c>
      <c r="CZ22" s="654"/>
      <c r="DA22" s="655"/>
      <c r="DB22" s="656"/>
      <c r="DC22" s="657"/>
      <c r="DD22" s="657"/>
      <c r="DE22" s="657"/>
      <c r="DF22" s="657"/>
      <c r="DG22" s="657"/>
      <c r="DH22" s="657"/>
      <c r="DI22" s="657"/>
      <c r="DJ22" s="657"/>
      <c r="DK22" s="657"/>
      <c r="DL22" s="657"/>
      <c r="DM22" s="657"/>
    </row>
    <row r="23" spans="1:117" s="77" customFormat="1" ht="13.5" thickBot="1">
      <c r="A23" s="27"/>
      <c r="B23" s="14" t="s">
        <v>23</v>
      </c>
      <c r="C23" s="265"/>
      <c r="D23" s="266">
        <f t="shared" ref="D23:X23" si="44">SUM(D5,D8,D11,D14,D17,D20)</f>
        <v>219796</v>
      </c>
      <c r="E23" s="267">
        <f t="shared" si="44"/>
        <v>59351</v>
      </c>
      <c r="F23" s="267">
        <f t="shared" si="44"/>
        <v>67569</v>
      </c>
      <c r="G23" s="267">
        <f t="shared" si="44"/>
        <v>68637</v>
      </c>
      <c r="H23" s="267">
        <f t="shared" si="44"/>
        <v>69544</v>
      </c>
      <c r="I23" s="266">
        <f t="shared" si="44"/>
        <v>265101</v>
      </c>
      <c r="J23" s="268">
        <f t="shared" si="44"/>
        <v>69565</v>
      </c>
      <c r="K23" s="267">
        <f t="shared" si="44"/>
        <v>72172</v>
      </c>
      <c r="L23" s="267">
        <f t="shared" si="44"/>
        <v>74332</v>
      </c>
      <c r="M23" s="267">
        <f t="shared" si="44"/>
        <v>74217</v>
      </c>
      <c r="N23" s="266">
        <f t="shared" si="44"/>
        <v>290286</v>
      </c>
      <c r="O23" s="267">
        <f t="shared" si="44"/>
        <v>69820</v>
      </c>
      <c r="P23" s="267">
        <f t="shared" si="44"/>
        <v>72600</v>
      </c>
      <c r="Q23" s="267">
        <f t="shared" si="44"/>
        <v>73769</v>
      </c>
      <c r="R23" s="267">
        <f t="shared" si="44"/>
        <v>72439</v>
      </c>
      <c r="S23" s="266">
        <f t="shared" si="44"/>
        <v>288628</v>
      </c>
      <c r="T23" s="267">
        <f t="shared" si="44"/>
        <v>73393</v>
      </c>
      <c r="U23" s="267">
        <f t="shared" si="44"/>
        <v>76735</v>
      </c>
      <c r="V23" s="267">
        <f t="shared" si="44"/>
        <v>77184</v>
      </c>
      <c r="W23" s="267">
        <f t="shared" si="44"/>
        <v>82079</v>
      </c>
      <c r="X23" s="266">
        <f t="shared" si="44"/>
        <v>309391</v>
      </c>
      <c r="Y23" s="267">
        <f>SUM(Y5,Y8,Y11,Y14,Y17,Y20)</f>
        <v>82723</v>
      </c>
      <c r="Z23" s="267">
        <f t="shared" ref="Z23:AG23" si="45">SUM(Z5,Z8,Z11,Z14,Z17,Z20)</f>
        <v>91368</v>
      </c>
      <c r="AA23" s="267">
        <f t="shared" si="45"/>
        <v>93845</v>
      </c>
      <c r="AB23" s="269">
        <f t="shared" si="45"/>
        <v>95368</v>
      </c>
      <c r="AC23" s="266">
        <f t="shared" si="45"/>
        <v>363304</v>
      </c>
      <c r="AD23" s="267">
        <f t="shared" si="45"/>
        <v>95799</v>
      </c>
      <c r="AE23" s="267">
        <f t="shared" si="45"/>
        <v>103088</v>
      </c>
      <c r="AF23" s="267">
        <f t="shared" si="45"/>
        <v>107021</v>
      </c>
      <c r="AG23" s="267">
        <f t="shared" si="45"/>
        <v>110735</v>
      </c>
      <c r="AH23" s="266">
        <f t="shared" ref="AH23:BM23" si="46">SUM(AH5,AH8,AH11,AH14,AH17,AH20)</f>
        <v>416643</v>
      </c>
      <c r="AI23" s="267">
        <f t="shared" si="46"/>
        <v>112626</v>
      </c>
      <c r="AJ23" s="267">
        <f t="shared" si="46"/>
        <v>124371</v>
      </c>
      <c r="AK23" s="267">
        <f t="shared" si="46"/>
        <v>128664</v>
      </c>
      <c r="AL23" s="267">
        <f t="shared" si="46"/>
        <v>127440</v>
      </c>
      <c r="AM23" s="266">
        <f t="shared" si="46"/>
        <v>493101</v>
      </c>
      <c r="AN23" s="267">
        <f t="shared" si="46"/>
        <v>134966</v>
      </c>
      <c r="AO23" s="267">
        <f t="shared" si="46"/>
        <v>146295</v>
      </c>
      <c r="AP23" s="267">
        <f t="shared" si="46"/>
        <v>150845</v>
      </c>
      <c r="AQ23" s="267">
        <f t="shared" si="46"/>
        <v>162139</v>
      </c>
      <c r="AR23" s="266">
        <f t="shared" si="46"/>
        <v>594245</v>
      </c>
      <c r="AS23" s="403">
        <f t="shared" si="46"/>
        <v>184988</v>
      </c>
      <c r="AT23" s="267">
        <f t="shared" si="46"/>
        <v>193749</v>
      </c>
      <c r="AU23" s="403">
        <f t="shared" si="46"/>
        <v>197757</v>
      </c>
      <c r="AV23" s="267">
        <f t="shared" si="46"/>
        <v>195056</v>
      </c>
      <c r="AW23" s="266">
        <f t="shared" si="46"/>
        <v>771550</v>
      </c>
      <c r="AX23" s="403">
        <f t="shared" si="46"/>
        <v>199857</v>
      </c>
      <c r="AY23" s="267">
        <f t="shared" si="46"/>
        <v>209418</v>
      </c>
      <c r="AZ23" s="403">
        <f t="shared" si="46"/>
        <v>214408</v>
      </c>
      <c r="BA23" s="267">
        <f t="shared" si="46"/>
        <v>218086</v>
      </c>
      <c r="BB23" s="266">
        <f t="shared" si="46"/>
        <v>841769</v>
      </c>
      <c r="BC23" s="403">
        <f t="shared" si="46"/>
        <v>221385</v>
      </c>
      <c r="BD23" s="267">
        <f t="shared" si="46"/>
        <v>237722</v>
      </c>
      <c r="BE23" s="267">
        <f t="shared" si="46"/>
        <v>237568</v>
      </c>
      <c r="BF23" s="267">
        <f t="shared" si="46"/>
        <v>243033</v>
      </c>
      <c r="BG23" s="266">
        <f t="shared" si="46"/>
        <v>939708</v>
      </c>
      <c r="BH23" s="403">
        <f t="shared" si="46"/>
        <v>248763</v>
      </c>
      <c r="BI23" s="267">
        <f t="shared" si="46"/>
        <v>277981</v>
      </c>
      <c r="BJ23" s="267">
        <f t="shared" si="46"/>
        <v>277187</v>
      </c>
      <c r="BK23" s="267">
        <f t="shared" si="46"/>
        <v>287425</v>
      </c>
      <c r="BL23" s="266">
        <f t="shared" si="46"/>
        <v>1091356</v>
      </c>
      <c r="BM23" s="403">
        <f t="shared" si="46"/>
        <v>276780</v>
      </c>
      <c r="BN23" s="267">
        <f t="shared" ref="BN23:CP23" si="47">SUM(BN5,BN8,BN11,BN14,BN17,BN20)</f>
        <v>271329</v>
      </c>
      <c r="BO23" s="267">
        <f t="shared" si="47"/>
        <v>285937</v>
      </c>
      <c r="BP23" s="267">
        <f t="shared" si="47"/>
        <v>283408</v>
      </c>
      <c r="BQ23" s="266">
        <f t="shared" si="47"/>
        <v>1117454</v>
      </c>
      <c r="BR23" s="403">
        <f t="shared" si="47"/>
        <v>294802</v>
      </c>
      <c r="BS23" s="267">
        <f t="shared" si="47"/>
        <v>405363</v>
      </c>
      <c r="BT23" s="267">
        <f t="shared" si="47"/>
        <v>460624</v>
      </c>
      <c r="BU23" s="267">
        <f t="shared" si="47"/>
        <v>434176</v>
      </c>
      <c r="BV23" s="266">
        <f t="shared" si="47"/>
        <v>1594965</v>
      </c>
      <c r="BW23" s="267">
        <f t="shared" si="47"/>
        <v>456108</v>
      </c>
      <c r="BX23" s="267">
        <f t="shared" si="47"/>
        <v>468685</v>
      </c>
      <c r="BY23" s="267">
        <f t="shared" si="47"/>
        <v>473191</v>
      </c>
      <c r="BZ23" s="267">
        <f t="shared" si="47"/>
        <v>452220</v>
      </c>
      <c r="CA23" s="266">
        <f t="shared" si="47"/>
        <v>1850204</v>
      </c>
      <c r="CB23" s="267">
        <f>SUM(CB5,CB8,CB11,CB14,CB17,CB20)</f>
        <v>471853</v>
      </c>
      <c r="CC23" s="267">
        <f t="shared" si="47"/>
        <v>504279</v>
      </c>
      <c r="CD23" s="267">
        <f t="shared" si="47"/>
        <v>494684</v>
      </c>
      <c r="CE23" s="267">
        <f t="shared" si="47"/>
        <v>480935</v>
      </c>
      <c r="CF23" s="266">
        <f t="shared" si="47"/>
        <v>1951751</v>
      </c>
      <c r="CG23" s="267">
        <f t="shared" si="47"/>
        <v>512359</v>
      </c>
      <c r="CH23" s="267">
        <f>SUM(CH5,CH8,CH11,CH14,CH17,CH20)</f>
        <v>540976</v>
      </c>
      <c r="CI23" s="267">
        <f>SUM(CI5,CI8,CI11,CI14,CI17,CI20)</f>
        <v>543337</v>
      </c>
      <c r="CJ23" s="267">
        <f t="shared" ref="CJ23" si="48">SUM(CJ5,CJ8,CJ11,CJ14,CJ17,CJ20)</f>
        <v>541131</v>
      </c>
      <c r="CK23" s="266">
        <f t="shared" si="47"/>
        <v>2137803</v>
      </c>
      <c r="CL23" s="267">
        <f t="shared" ref="CL23" si="49">SUM(CL5,CL8,CL11,CL14,CL17,CL20)</f>
        <v>565165</v>
      </c>
      <c r="CM23" s="267">
        <f t="shared" si="47"/>
        <v>596117</v>
      </c>
      <c r="CN23" s="267">
        <f t="shared" ref="CN23" si="50">SUM(CN5,CN8,CN11,CN14,CN17,CN20)</f>
        <v>595879</v>
      </c>
      <c r="CO23" s="267">
        <f t="shared" si="47"/>
        <v>590158.03399999999</v>
      </c>
      <c r="CP23" s="266">
        <f t="shared" si="47"/>
        <v>2347319.034</v>
      </c>
      <c r="CQ23" s="267">
        <f t="shared" ref="CQ23:CU23" si="51">SUM(CQ5,CQ8,CQ11,CQ14,CQ17,CQ20)</f>
        <v>608526.87</v>
      </c>
      <c r="CR23" s="267">
        <f t="shared" si="51"/>
        <v>648953.82999999996</v>
      </c>
      <c r="CS23" s="267">
        <f t="shared" si="51"/>
        <v>637004.14</v>
      </c>
      <c r="CT23" s="267">
        <f t="shared" si="51"/>
        <v>637389.00924000004</v>
      </c>
      <c r="CU23" s="266">
        <f t="shared" si="51"/>
        <v>2531873.8492399999</v>
      </c>
      <c r="CV23" s="71">
        <f>+BV23+460000</f>
        <v>2054965</v>
      </c>
      <c r="CW23" s="71">
        <f>+CV23*0.3</f>
        <v>616489.5</v>
      </c>
      <c r="CX23" s="71"/>
      <c r="CY23" s="470">
        <f>CY21*0.3</f>
        <v>1141023.1645926307</v>
      </c>
      <c r="CZ23" s="497"/>
      <c r="DA23" s="103"/>
      <c r="DB23" s="7"/>
      <c r="DC23" s="270">
        <f>450*1.15</f>
        <v>517.5</v>
      </c>
      <c r="DD23" s="271"/>
      <c r="DE23" s="271"/>
      <c r="DF23" s="271"/>
      <c r="DG23" s="271"/>
      <c r="DH23" s="271"/>
      <c r="DI23" s="271"/>
      <c r="DJ23" s="271"/>
      <c r="DK23" s="271"/>
      <c r="DL23" s="271"/>
      <c r="DM23" s="271"/>
    </row>
    <row r="24" spans="1:117" s="633" customFormat="1" ht="15" customHeight="1">
      <c r="A24" s="625"/>
      <c r="B24" s="659"/>
      <c r="C24" s="627" t="s">
        <v>21</v>
      </c>
      <c r="D24" s="660"/>
      <c r="E24" s="627"/>
      <c r="F24" s="627"/>
      <c r="G24" s="627"/>
      <c r="H24" s="627"/>
      <c r="I24" s="660">
        <f>I23/D23-1</f>
        <v>0.20612295037216333</v>
      </c>
      <c r="J24" s="627">
        <f t="shared" ref="J24:Y24" si="52">J23/E23-1</f>
        <v>0.17209482569796641</v>
      </c>
      <c r="K24" s="627">
        <f t="shared" si="52"/>
        <v>6.8122955793337159E-2</v>
      </c>
      <c r="L24" s="627">
        <f t="shared" si="52"/>
        <v>8.297274065008664E-2</v>
      </c>
      <c r="M24" s="627">
        <f t="shared" si="52"/>
        <v>6.7194869435177829E-2</v>
      </c>
      <c r="N24" s="660">
        <f t="shared" si="52"/>
        <v>9.5001527719623891E-2</v>
      </c>
      <c r="O24" s="627">
        <f t="shared" si="52"/>
        <v>3.6656364551139742E-3</v>
      </c>
      <c r="P24" s="627">
        <f t="shared" si="52"/>
        <v>5.9302776700105309E-3</v>
      </c>
      <c r="Q24" s="627">
        <f t="shared" si="52"/>
        <v>-7.5741268901684533E-3</v>
      </c>
      <c r="R24" s="627">
        <f t="shared" si="52"/>
        <v>-2.395677540186214E-2</v>
      </c>
      <c r="S24" s="660">
        <f t="shared" si="52"/>
        <v>-5.7116085515663828E-3</v>
      </c>
      <c r="T24" s="627">
        <f t="shared" si="52"/>
        <v>5.117444858206821E-2</v>
      </c>
      <c r="U24" s="627">
        <f t="shared" si="52"/>
        <v>5.6955922865013831E-2</v>
      </c>
      <c r="V24" s="627">
        <f t="shared" si="52"/>
        <v>4.6293158372758159E-2</v>
      </c>
      <c r="W24" s="627">
        <f t="shared" si="52"/>
        <v>0.13307748588467527</v>
      </c>
      <c r="X24" s="660">
        <f t="shared" si="52"/>
        <v>7.1936887620050793E-2</v>
      </c>
      <c r="Y24" s="627">
        <f t="shared" si="52"/>
        <v>0.12712384014824307</v>
      </c>
      <c r="Z24" s="627">
        <f t="shared" ref="Z24:BE24" si="53">Z23/U23-1</f>
        <v>0.19069524988597131</v>
      </c>
      <c r="AA24" s="627">
        <f t="shared" si="53"/>
        <v>0.21586080016583753</v>
      </c>
      <c r="AB24" s="627">
        <f t="shared" si="53"/>
        <v>0.16190499396922475</v>
      </c>
      <c r="AC24" s="660">
        <f t="shared" si="53"/>
        <v>0.17425523043656721</v>
      </c>
      <c r="AD24" s="627">
        <f t="shared" si="53"/>
        <v>0.15806970250111818</v>
      </c>
      <c r="AE24" s="627">
        <f t="shared" si="53"/>
        <v>0.1282724805183435</v>
      </c>
      <c r="AF24" s="627">
        <f t="shared" si="53"/>
        <v>0.14040172625073266</v>
      </c>
      <c r="AG24" s="627">
        <f t="shared" si="53"/>
        <v>0.16113371361462958</v>
      </c>
      <c r="AH24" s="660">
        <f t="shared" si="53"/>
        <v>0.14681644022636697</v>
      </c>
      <c r="AI24" s="627">
        <f t="shared" si="53"/>
        <v>0.17564901512541886</v>
      </c>
      <c r="AJ24" s="627">
        <f t="shared" si="53"/>
        <v>0.2064546794971287</v>
      </c>
      <c r="AK24" s="627">
        <f t="shared" si="53"/>
        <v>0.20223133777482927</v>
      </c>
      <c r="AL24" s="627">
        <f t="shared" si="53"/>
        <v>0.15085564636293847</v>
      </c>
      <c r="AM24" s="660">
        <f t="shared" si="53"/>
        <v>0.18350962334660603</v>
      </c>
      <c r="AN24" s="627">
        <f t="shared" si="53"/>
        <v>0.19835561948395575</v>
      </c>
      <c r="AO24" s="627">
        <f t="shared" si="53"/>
        <v>0.17627903610970397</v>
      </c>
      <c r="AP24" s="627">
        <f t="shared" si="53"/>
        <v>0.17239476465833481</v>
      </c>
      <c r="AQ24" s="627">
        <f t="shared" si="53"/>
        <v>0.27227715003138742</v>
      </c>
      <c r="AR24" s="660">
        <f t="shared" si="53"/>
        <v>0.20511822121634316</v>
      </c>
      <c r="AS24" s="631">
        <f t="shared" si="53"/>
        <v>0.37062667634811741</v>
      </c>
      <c r="AT24" s="627">
        <f t="shared" si="53"/>
        <v>0.3243719881062237</v>
      </c>
      <c r="AU24" s="631">
        <f t="shared" si="53"/>
        <v>0.31099472968941622</v>
      </c>
      <c r="AV24" s="627">
        <f t="shared" si="53"/>
        <v>0.20301716428496541</v>
      </c>
      <c r="AW24" s="660">
        <f t="shared" si="53"/>
        <v>0.29837020084308663</v>
      </c>
      <c r="AX24" s="631">
        <f t="shared" si="53"/>
        <v>8.0378186693190967E-2</v>
      </c>
      <c r="AY24" s="627">
        <f t="shared" si="53"/>
        <v>8.0872675471873379E-2</v>
      </c>
      <c r="AZ24" s="631">
        <f t="shared" si="53"/>
        <v>8.4199295094484539E-2</v>
      </c>
      <c r="BA24" s="627">
        <f t="shared" si="53"/>
        <v>0.11806865720613557</v>
      </c>
      <c r="BB24" s="660">
        <f t="shared" si="53"/>
        <v>9.1010303933640069E-2</v>
      </c>
      <c r="BC24" s="631">
        <f t="shared" si="53"/>
        <v>0.10771701766763231</v>
      </c>
      <c r="BD24" s="627">
        <f t="shared" si="53"/>
        <v>0.13515552626803817</v>
      </c>
      <c r="BE24" s="627">
        <f t="shared" si="53"/>
        <v>0.10801835752397304</v>
      </c>
      <c r="BF24" s="627">
        <f t="shared" ref="BF24:CL24" si="54">BF23/BA23-1</f>
        <v>0.1143906532285428</v>
      </c>
      <c r="BG24" s="660">
        <f t="shared" si="54"/>
        <v>0.11634902211889475</v>
      </c>
      <c r="BH24" s="631">
        <f t="shared" si="54"/>
        <v>0.12366691510264927</v>
      </c>
      <c r="BI24" s="627">
        <f t="shared" si="54"/>
        <v>0.16935327819890467</v>
      </c>
      <c r="BJ24" s="627">
        <f t="shared" si="54"/>
        <v>0.16676909348060343</v>
      </c>
      <c r="BK24" s="627">
        <f t="shared" si="54"/>
        <v>0.18265832212086419</v>
      </c>
      <c r="BL24" s="660">
        <f t="shared" si="54"/>
        <v>0.16137778969637373</v>
      </c>
      <c r="BM24" s="631">
        <f t="shared" si="54"/>
        <v>0.1126252698351442</v>
      </c>
      <c r="BN24" s="627">
        <f t="shared" si="54"/>
        <v>-2.392969303657444E-2</v>
      </c>
      <c r="BO24" s="627">
        <f t="shared" si="54"/>
        <v>3.1567136986943911E-2</v>
      </c>
      <c r="BP24" s="627">
        <f t="shared" si="54"/>
        <v>-1.3975819779072807E-2</v>
      </c>
      <c r="BQ24" s="660">
        <f t="shared" si="54"/>
        <v>2.3913370156026126E-2</v>
      </c>
      <c r="BR24" s="631">
        <f t="shared" si="54"/>
        <v>6.5113086205650594E-2</v>
      </c>
      <c r="BS24" s="627">
        <f t="shared" si="54"/>
        <v>0.49399069026900921</v>
      </c>
      <c r="BT24" s="627">
        <f t="shared" si="54"/>
        <v>0.61092828140464506</v>
      </c>
      <c r="BU24" s="627">
        <f t="shared" si="54"/>
        <v>0.53198215999548348</v>
      </c>
      <c r="BV24" s="660">
        <f t="shared" si="54"/>
        <v>0.4273204982039529</v>
      </c>
      <c r="BW24" s="627">
        <f t="shared" si="54"/>
        <v>0.54716725123981513</v>
      </c>
      <c r="BX24" s="627">
        <f t="shared" si="54"/>
        <v>0.1562106062960853</v>
      </c>
      <c r="BY24" s="627">
        <f t="shared" si="54"/>
        <v>2.7282555837298883E-2</v>
      </c>
      <c r="BZ24" s="627">
        <f t="shared" si="54"/>
        <v>4.1559183372641417E-2</v>
      </c>
      <c r="CA24" s="660">
        <f t="shared" si="54"/>
        <v>0.16002796299605326</v>
      </c>
      <c r="CB24" s="627">
        <f t="shared" si="54"/>
        <v>3.4520332903610562E-2</v>
      </c>
      <c r="CC24" s="627">
        <f t="shared" si="54"/>
        <v>7.5944397623137094E-2</v>
      </c>
      <c r="CD24" s="627">
        <f t="shared" si="54"/>
        <v>4.5421404887244332E-2</v>
      </c>
      <c r="CE24" s="627">
        <f t="shared" si="54"/>
        <v>6.3497855026314554E-2</v>
      </c>
      <c r="CF24" s="660">
        <f t="shared" si="54"/>
        <v>5.4884218172698729E-2</v>
      </c>
      <c r="CG24" s="627">
        <f t="shared" si="54"/>
        <v>8.5844532089443204E-2</v>
      </c>
      <c r="CH24" s="627">
        <f t="shared" si="54"/>
        <v>7.2771223866153534E-2</v>
      </c>
      <c r="CI24" s="627">
        <f t="shared" si="54"/>
        <v>9.8351675008692352E-2</v>
      </c>
      <c r="CJ24" s="627">
        <f t="shared" si="54"/>
        <v>0.12516452327237571</v>
      </c>
      <c r="CK24" s="660">
        <f t="shared" si="54"/>
        <v>9.5325684475120021E-2</v>
      </c>
      <c r="CL24" s="627">
        <f t="shared" si="54"/>
        <v>0.10306445285434629</v>
      </c>
      <c r="CM24" s="627">
        <f t="shared" ref="CM24:CU24" si="55">CM23/CH23-1</f>
        <v>0.10192873621010912</v>
      </c>
      <c r="CN24" s="627">
        <f t="shared" si="55"/>
        <v>9.6702414891678634E-2</v>
      </c>
      <c r="CO24" s="627">
        <f t="shared" si="55"/>
        <v>9.0601044848659607E-2</v>
      </c>
      <c r="CP24" s="660">
        <f t="shared" si="55"/>
        <v>9.8005304511220137E-2</v>
      </c>
      <c r="CQ24" s="627">
        <f t="shared" si="55"/>
        <v>7.6724266364689875E-2</v>
      </c>
      <c r="CR24" s="627">
        <f t="shared" si="55"/>
        <v>8.8634999505130541E-2</v>
      </c>
      <c r="CS24" s="627">
        <f t="shared" si="55"/>
        <v>6.9015924373908133E-2</v>
      </c>
      <c r="CT24" s="627">
        <f t="shared" si="55"/>
        <v>8.0031063747240339E-2</v>
      </c>
      <c r="CU24" s="660">
        <f t="shared" si="55"/>
        <v>7.8623660681311547E-2</v>
      </c>
      <c r="CV24" s="1031">
        <f>CF23*1.093</f>
        <v>2133263.8429999999</v>
      </c>
      <c r="CW24" s="661"/>
      <c r="CX24" s="661"/>
      <c r="CY24" s="661">
        <v>45000</v>
      </c>
      <c r="CZ24" s="662"/>
      <c r="DA24" s="642"/>
      <c r="DB24" s="642"/>
      <c r="DC24" s="642"/>
      <c r="DD24" s="642"/>
      <c r="DE24" s="642"/>
      <c r="DF24" s="642"/>
    </row>
    <row r="25" spans="1:117" s="633" customFormat="1" ht="11.65" customHeight="1">
      <c r="A25" s="625"/>
      <c r="B25" s="659"/>
      <c r="C25" s="627" t="s">
        <v>22</v>
      </c>
      <c r="D25" s="628"/>
      <c r="E25" s="627"/>
      <c r="F25" s="627">
        <f>F23/E23-1</f>
        <v>0.13846438981651521</v>
      </c>
      <c r="G25" s="627">
        <f>G23/F23-1</f>
        <v>1.5806064911423778E-2</v>
      </c>
      <c r="H25" s="627">
        <f>H23/G23-1</f>
        <v>1.3214447018371933E-2</v>
      </c>
      <c r="I25" s="628"/>
      <c r="J25" s="627">
        <f>J23/H23-1</f>
        <v>3.0196709996554993E-4</v>
      </c>
      <c r="K25" s="627">
        <f>K23/J23-1</f>
        <v>3.7475742111694021E-2</v>
      </c>
      <c r="L25" s="627">
        <f>L23/K23-1</f>
        <v>2.9928504129025146E-2</v>
      </c>
      <c r="M25" s="627">
        <f>M23/L23-1</f>
        <v>-1.5471129526987148E-3</v>
      </c>
      <c r="N25" s="628"/>
      <c r="O25" s="627">
        <f>O23/M23-1</f>
        <v>-5.9245186412816508E-2</v>
      </c>
      <c r="P25" s="627">
        <f>P23/O23-1</f>
        <v>3.9816671440847884E-2</v>
      </c>
      <c r="Q25" s="627">
        <f>Q23/P23-1</f>
        <v>1.6101928374655738E-2</v>
      </c>
      <c r="R25" s="627">
        <f>R23/Q23-1</f>
        <v>-1.8029253480459251E-2</v>
      </c>
      <c r="S25" s="628"/>
      <c r="T25" s="627">
        <f>T23/R23-1</f>
        <v>1.3169701403939804E-2</v>
      </c>
      <c r="U25" s="627">
        <f>U23/T23-1</f>
        <v>4.5535677789434903E-2</v>
      </c>
      <c r="V25" s="627">
        <f>V23/U23-1</f>
        <v>5.8513064442562435E-3</v>
      </c>
      <c r="W25" s="627">
        <f>W23/V23-1</f>
        <v>6.3419879767827592E-2</v>
      </c>
      <c r="X25" s="628"/>
      <c r="Y25" s="627">
        <f>Y23/W23-1</f>
        <v>7.8460994895162006E-3</v>
      </c>
      <c r="Z25" s="627">
        <f>Z23/Y23-1</f>
        <v>0.10450539753152088</v>
      </c>
      <c r="AA25" s="627">
        <f>AA23/Z23-1</f>
        <v>2.7110147973032239E-2</v>
      </c>
      <c r="AB25" s="627">
        <f>AB23/AA23-1</f>
        <v>1.6228888060099145E-2</v>
      </c>
      <c r="AC25" s="628"/>
      <c r="AD25" s="627">
        <f>AD23/AB23-1</f>
        <v>4.5193356262058781E-3</v>
      </c>
      <c r="AE25" s="627">
        <f>AE23/AD23-1</f>
        <v>7.6086389210743288E-2</v>
      </c>
      <c r="AF25" s="627">
        <f>AF23/AE23-1</f>
        <v>3.8151870246779351E-2</v>
      </c>
      <c r="AG25" s="627">
        <f>AG23/AF23-1</f>
        <v>3.4703469412545207E-2</v>
      </c>
      <c r="AH25" s="628"/>
      <c r="AI25" s="627">
        <f>AI23/AG23-1</f>
        <v>1.7076804984873739E-2</v>
      </c>
      <c r="AJ25" s="627">
        <f>AJ23/AI23-1</f>
        <v>0.10428320281284953</v>
      </c>
      <c r="AK25" s="627">
        <f>AK23/AJ23-1</f>
        <v>3.4517693031333563E-2</v>
      </c>
      <c r="AL25" s="627">
        <f>AL23/AK23-1</f>
        <v>-9.513150531617276E-3</v>
      </c>
      <c r="AM25" s="628"/>
      <c r="AN25" s="627">
        <f>AN23/AL23-1</f>
        <v>5.9055241682360426E-2</v>
      </c>
      <c r="AO25" s="627">
        <f>AO23/AN23-1</f>
        <v>8.393965887705046E-2</v>
      </c>
      <c r="AP25" s="627">
        <f>AP23/AO23-1</f>
        <v>3.1101541406063138E-2</v>
      </c>
      <c r="AQ25" s="627">
        <f>AQ23/AP23-1</f>
        <v>7.487155689615177E-2</v>
      </c>
      <c r="AR25" s="628"/>
      <c r="AS25" s="631">
        <f>AS23/AQ23-1</f>
        <v>0.14092229506781218</v>
      </c>
      <c r="AT25" s="627">
        <f>AT23/AS23-1</f>
        <v>4.7359828745648258E-2</v>
      </c>
      <c r="AU25" s="631">
        <f>AU23/AT23-1</f>
        <v>2.0686558382236875E-2</v>
      </c>
      <c r="AV25" s="627">
        <f>AV23/AU23-1</f>
        <v>-1.3658176448874126E-2</v>
      </c>
      <c r="AW25" s="628"/>
      <c r="AX25" s="631">
        <f>AX23/AV23-1</f>
        <v>2.4613444344188329E-2</v>
      </c>
      <c r="AY25" s="627">
        <f>AY23/AX23-1</f>
        <v>4.7839205031597665E-2</v>
      </c>
      <c r="AZ25" s="631">
        <f>AZ23/AY23-1</f>
        <v>2.3827942201720909E-2</v>
      </c>
      <c r="BA25" s="627">
        <f>BA23/AZ23-1</f>
        <v>1.71542106637812E-2</v>
      </c>
      <c r="BB25" s="628"/>
      <c r="BC25" s="631">
        <f>BC23/BA23-1</f>
        <v>1.5127059967168899E-2</v>
      </c>
      <c r="BD25" s="627">
        <f>BD23/BC23-1</f>
        <v>7.379452085733007E-2</v>
      </c>
      <c r="BE25" s="627">
        <f>BE23/BD23-1</f>
        <v>-6.4781551560222361E-4</v>
      </c>
      <c r="BF25" s="627">
        <f>BF23/BE23-1</f>
        <v>2.300393992456895E-2</v>
      </c>
      <c r="BG25" s="628"/>
      <c r="BH25" s="631">
        <f>BH23/BF23-1</f>
        <v>2.3577045092641802E-2</v>
      </c>
      <c r="BI25" s="627">
        <f>BI23/BH23-1</f>
        <v>0.11745315822690672</v>
      </c>
      <c r="BJ25" s="627">
        <f>BJ23/BI23-1</f>
        <v>-2.856310323367417E-3</v>
      </c>
      <c r="BK25" s="627">
        <f>BK23/BJ23-1</f>
        <v>3.6935354111123475E-2</v>
      </c>
      <c r="BL25" s="628"/>
      <c r="BM25" s="631">
        <f>BM23/BK23-1</f>
        <v>-3.7035748456119011E-2</v>
      </c>
      <c r="BN25" s="627">
        <f>BN23/BM23-1</f>
        <v>-1.9694342076739701E-2</v>
      </c>
      <c r="BO25" s="627">
        <f>BO23/BN23-1</f>
        <v>5.3838697669618796E-2</v>
      </c>
      <c r="BP25" s="627">
        <f>BP23/BO23-1</f>
        <v>-8.8446056299115172E-3</v>
      </c>
      <c r="BQ25" s="628"/>
      <c r="BR25" s="631">
        <f>BR23/BP23-1</f>
        <v>4.0203522836334882E-2</v>
      </c>
      <c r="BS25" s="627">
        <f>BS23/BR23-1</f>
        <v>0.37503476909925992</v>
      </c>
      <c r="BT25" s="627">
        <f>BT23/BS23-1</f>
        <v>0.13632472623303071</v>
      </c>
      <c r="BU25" s="627">
        <f>BU23/BT23-1</f>
        <v>-5.7417763729202154E-2</v>
      </c>
      <c r="BV25" s="628"/>
      <c r="BW25" s="627">
        <f>BW23/BV23-1</f>
        <v>-0.71403259632656524</v>
      </c>
      <c r="BX25" s="627">
        <f>BX23/BW23-1</f>
        <v>2.757460952230617E-2</v>
      </c>
      <c r="BY25" s="627">
        <f>BY23/BX23-1</f>
        <v>9.6141331597980884E-3</v>
      </c>
      <c r="BZ25" s="627">
        <f>BZ23/BY23-1</f>
        <v>-4.4318256264383682E-2</v>
      </c>
      <c r="CA25" s="628"/>
      <c r="CB25" s="627">
        <f>CB23/CA23-1</f>
        <v>-0.7449724462815992</v>
      </c>
      <c r="CC25" s="627">
        <f>CC23/CB23-1</f>
        <v>6.8720554918586974E-2</v>
      </c>
      <c r="CD25" s="627">
        <f>CD23/CC23-1</f>
        <v>-1.9027165517501277E-2</v>
      </c>
      <c r="CE25" s="627">
        <f>CE23/CD23-1</f>
        <v>-2.7793500497287127E-2</v>
      </c>
      <c r="CF25" s="628"/>
      <c r="CG25" s="627">
        <f>CG23/CF23-1</f>
        <v>-0.73748751761879461</v>
      </c>
      <c r="CH25" s="627">
        <f>CH23/CG23-1</f>
        <v>5.5853415281082119E-2</v>
      </c>
      <c r="CI25" s="627">
        <f>CI23/CH23-1</f>
        <v>4.3643340924550689E-3</v>
      </c>
      <c r="CJ25" s="627">
        <f>CJ23/CI23-1</f>
        <v>-4.0600952999704232E-3</v>
      </c>
      <c r="CK25" s="628"/>
      <c r="CL25" s="627">
        <f>CL23/CK23-1</f>
        <v>-0.735632796847979</v>
      </c>
      <c r="CM25" s="627">
        <f>CM23/CL23-1</f>
        <v>5.4766307184627605E-2</v>
      </c>
      <c r="CN25" s="627">
        <f>CN23/CM23-1</f>
        <v>-3.992504827072807E-4</v>
      </c>
      <c r="CO25" s="627">
        <f>CO23/CN23-1</f>
        <v>-9.6008854146563127E-3</v>
      </c>
      <c r="CP25" s="628"/>
      <c r="CQ25" s="627">
        <f>CQ23/CP23-1</f>
        <v>-0.74075664143402498</v>
      </c>
      <c r="CR25" s="627">
        <f>CR23/CQ23-1</f>
        <v>6.6434141190840013E-2</v>
      </c>
      <c r="CS25" s="627">
        <f>CS23/CR23-1</f>
        <v>-1.8413775291225232E-2</v>
      </c>
      <c r="CT25" s="627">
        <f>CT23/CS23-1</f>
        <v>6.0418640293291581E-4</v>
      </c>
      <c r="CU25" s="628"/>
      <c r="CV25" s="627"/>
      <c r="CW25" s="661"/>
      <c r="CX25" s="661"/>
      <c r="CY25" s="1024">
        <f>CY23/CY24</f>
        <v>25.356070324280683</v>
      </c>
      <c r="CZ25" s="662"/>
      <c r="DA25" s="637"/>
      <c r="DB25" s="642"/>
      <c r="DC25" s="642"/>
      <c r="DD25" s="642"/>
      <c r="DE25" s="637"/>
      <c r="DF25" s="642"/>
      <c r="DG25" s="639"/>
      <c r="DH25" s="639"/>
      <c r="DI25" s="639"/>
      <c r="DJ25" s="639"/>
      <c r="DK25" s="639"/>
      <c r="DL25" s="639"/>
      <c r="DM25" s="639"/>
    </row>
    <row r="26" spans="1:117">
      <c r="A26" s="7"/>
      <c r="B26" s="8"/>
      <c r="C26" s="7"/>
      <c r="D26" s="44"/>
      <c r="E26" s="43"/>
      <c r="F26" s="43"/>
      <c r="G26" s="43"/>
      <c r="H26" s="43"/>
      <c r="I26" s="44"/>
      <c r="J26" s="43"/>
      <c r="K26" s="43"/>
      <c r="L26" s="43"/>
      <c r="M26" s="43"/>
      <c r="N26" s="44"/>
      <c r="O26" s="43"/>
      <c r="P26" s="43"/>
      <c r="Q26" s="43"/>
      <c r="R26" s="43"/>
      <c r="S26" s="44"/>
      <c r="T26" s="12"/>
      <c r="U26" s="43"/>
      <c r="V26" s="43"/>
      <c r="W26" s="43"/>
      <c r="X26" s="44"/>
      <c r="Y26" s="43"/>
      <c r="Z26" s="7"/>
      <c r="AA26" s="7"/>
      <c r="AB26" s="7"/>
      <c r="AC26" s="9"/>
      <c r="AD26" s="7"/>
      <c r="AE26" s="7"/>
      <c r="AF26" s="7"/>
      <c r="AG26" s="7"/>
      <c r="AH26" s="9"/>
      <c r="AI26" s="7"/>
      <c r="AJ26" s="7"/>
      <c r="AK26" s="7"/>
      <c r="AL26" s="7"/>
      <c r="AM26" s="9"/>
      <c r="AN26" s="7"/>
      <c r="AO26" s="7"/>
      <c r="AP26" s="7"/>
      <c r="AQ26" s="7"/>
      <c r="AR26" s="9"/>
      <c r="AS26" s="279"/>
      <c r="AT26" s="7"/>
      <c r="AU26" s="279"/>
      <c r="AV26" s="7"/>
      <c r="AW26" s="9"/>
      <c r="AX26" s="279"/>
      <c r="AY26" s="7"/>
      <c r="AZ26" s="279"/>
      <c r="BA26" s="7"/>
      <c r="BB26" s="9"/>
      <c r="BC26" s="279"/>
      <c r="BD26" s="22"/>
      <c r="BE26" s="22"/>
      <c r="BF26" s="22"/>
      <c r="BG26" s="9"/>
      <c r="BH26" s="279"/>
      <c r="BI26" s="7"/>
      <c r="BJ26" s="7"/>
      <c r="BK26" s="7"/>
      <c r="BL26" s="9"/>
      <c r="BM26" s="279"/>
      <c r="BN26" s="7"/>
      <c r="BO26" s="7"/>
      <c r="BP26" s="7"/>
      <c r="BQ26" s="9"/>
      <c r="BR26" s="279"/>
      <c r="BS26" s="7"/>
      <c r="BT26" s="7"/>
      <c r="BU26" s="7"/>
      <c r="BV26" s="9"/>
      <c r="BW26" s="7"/>
      <c r="BX26" s="7"/>
      <c r="BY26" s="7"/>
      <c r="BZ26" s="7"/>
      <c r="CA26" s="9"/>
      <c r="CB26" s="7"/>
      <c r="CC26" s="7"/>
      <c r="CD26" s="7"/>
      <c r="CE26" s="7"/>
      <c r="CF26" s="9"/>
      <c r="CG26" s="7"/>
      <c r="CH26" s="7"/>
      <c r="CI26" s="7"/>
      <c r="CJ26" s="7"/>
      <c r="CK26" s="9"/>
      <c r="CL26" s="7"/>
      <c r="CM26" s="7"/>
      <c r="CN26" s="7"/>
      <c r="CO26" s="7"/>
      <c r="CP26" s="9"/>
      <c r="CQ26" s="7"/>
      <c r="CR26" s="7"/>
      <c r="CS26" s="7"/>
      <c r="CT26" s="7"/>
      <c r="CU26" s="9"/>
      <c r="CV26" s="7"/>
      <c r="CW26" s="71">
        <f>BV23</f>
        <v>1594965</v>
      </c>
      <c r="CX26" s="71">
        <v>352</v>
      </c>
      <c r="CY26" s="71">
        <f>CY25*30</f>
        <v>760.68210972842053</v>
      </c>
      <c r="CZ26" s="498"/>
      <c r="DA26" s="68"/>
      <c r="DB26" s="68"/>
      <c r="DC26" s="68"/>
      <c r="DD26" s="68"/>
      <c r="DE26" s="68"/>
      <c r="DF26" s="68"/>
      <c r="DG26" s="103"/>
      <c r="DH26" s="103"/>
      <c r="DI26" s="103"/>
      <c r="DJ26" s="103"/>
      <c r="DK26" s="103"/>
      <c r="DL26" s="103"/>
      <c r="DM26" s="103"/>
    </row>
    <row r="27" spans="1:117" s="77" customFormat="1">
      <c r="A27" s="27"/>
      <c r="B27" s="24" t="s">
        <v>24</v>
      </c>
      <c r="C27" s="663"/>
      <c r="D27" s="664"/>
      <c r="E27" s="665"/>
      <c r="F27" s="666"/>
      <c r="G27" s="666"/>
      <c r="H27" s="666"/>
      <c r="I27" s="664"/>
      <c r="J27" s="666"/>
      <c r="K27" s="666"/>
      <c r="L27" s="666"/>
      <c r="M27" s="665"/>
      <c r="N27" s="667"/>
      <c r="O27" s="470"/>
      <c r="P27" s="470"/>
      <c r="Q27" s="668"/>
      <c r="R27" s="470"/>
      <c r="S27" s="667"/>
      <c r="T27" s="71"/>
      <c r="U27" s="470"/>
      <c r="V27" s="470"/>
      <c r="W27" s="470"/>
      <c r="X27" s="667"/>
      <c r="Y27" s="470"/>
      <c r="Z27" s="27"/>
      <c r="AA27" s="27"/>
      <c r="AB27" s="27"/>
      <c r="AC27" s="669"/>
      <c r="AD27" s="27"/>
      <c r="AE27" s="27"/>
      <c r="AF27" s="27"/>
      <c r="AG27" s="27"/>
      <c r="AH27" s="669"/>
      <c r="AI27" s="27"/>
      <c r="AJ27" s="27"/>
      <c r="AK27" s="27"/>
      <c r="AL27" s="27"/>
      <c r="AM27" s="669"/>
      <c r="AN27" s="27"/>
      <c r="AO27" s="27"/>
      <c r="AP27" s="27"/>
      <c r="AQ27" s="27"/>
      <c r="AR27" s="669"/>
      <c r="AS27" s="670"/>
      <c r="AT27" s="27"/>
      <c r="AU27" s="670"/>
      <c r="AV27" s="27"/>
      <c r="AW27" s="669"/>
      <c r="AX27" s="670"/>
      <c r="AY27" s="27"/>
      <c r="AZ27" s="670"/>
      <c r="BA27" s="27"/>
      <c r="BB27" s="669"/>
      <c r="BC27" s="670"/>
      <c r="BD27" s="27"/>
      <c r="BE27" s="27"/>
      <c r="BF27" s="27"/>
      <c r="BG27" s="669"/>
      <c r="BH27" s="670"/>
      <c r="BI27" s="27"/>
      <c r="BJ27" s="27"/>
      <c r="BK27" s="27"/>
      <c r="BL27" s="669"/>
      <c r="BM27" s="27"/>
      <c r="BN27" s="27"/>
      <c r="BO27" s="27"/>
      <c r="BP27" s="27"/>
      <c r="BQ27" s="669"/>
      <c r="BR27" s="27"/>
      <c r="BS27" s="27"/>
      <c r="BT27" s="27"/>
      <c r="BU27" s="27"/>
      <c r="BV27" s="669"/>
      <c r="BW27" s="27"/>
      <c r="BX27" s="27"/>
      <c r="BY27" s="27"/>
      <c r="BZ27" s="27"/>
      <c r="CA27" s="669"/>
      <c r="CB27" s="27"/>
      <c r="CC27" s="27"/>
      <c r="CD27" s="27"/>
      <c r="CE27" s="27"/>
      <c r="CF27" s="669"/>
      <c r="CG27" s="27"/>
      <c r="CH27" s="27"/>
      <c r="CI27" s="27"/>
      <c r="CJ27" s="27"/>
      <c r="CK27" s="669"/>
      <c r="CL27" s="27"/>
      <c r="CM27" s="27"/>
      <c r="CN27" s="27"/>
      <c r="CO27" s="27"/>
      <c r="CP27" s="669"/>
      <c r="CQ27" s="27"/>
      <c r="CR27" s="27"/>
      <c r="CS27" s="27"/>
      <c r="CT27" s="27"/>
      <c r="CU27" s="669"/>
      <c r="CV27" s="27"/>
      <c r="CW27" s="71">
        <v>313000</v>
      </c>
      <c r="CX27" s="71"/>
      <c r="CY27" s="1025">
        <f>((CY26/CX26)^0.14)-1</f>
        <v>0.11391608555089738</v>
      </c>
      <c r="CZ27" s="671"/>
      <c r="DA27" s="672"/>
      <c r="DB27" s="672"/>
      <c r="DC27" s="672"/>
      <c r="DD27" s="672"/>
      <c r="DE27" s="672"/>
      <c r="DF27" s="672"/>
      <c r="DG27" s="271"/>
      <c r="DH27" s="271"/>
      <c r="DI27" s="271"/>
      <c r="DJ27" s="271"/>
      <c r="DK27" s="271"/>
      <c r="DL27" s="271"/>
      <c r="DM27" s="271"/>
    </row>
    <row r="28" spans="1:117" ht="18" customHeight="1">
      <c r="A28" s="7"/>
      <c r="B28" s="19" t="s">
        <v>53</v>
      </c>
      <c r="C28" s="18"/>
      <c r="D28" s="62">
        <v>7953</v>
      </c>
      <c r="E28" s="60">
        <v>2203</v>
      </c>
      <c r="F28" s="60">
        <v>2564</v>
      </c>
      <c r="G28" s="60">
        <v>2071</v>
      </c>
      <c r="H28" s="60">
        <f>I28-G28-F28-E28</f>
        <v>2386</v>
      </c>
      <c r="I28" s="62">
        <v>9224</v>
      </c>
      <c r="J28" s="60">
        <v>1276</v>
      </c>
      <c r="K28" s="60">
        <v>1433</v>
      </c>
      <c r="L28" s="60">
        <v>1366</v>
      </c>
      <c r="M28" s="60">
        <f>N28-L28-K28-J28</f>
        <v>1365</v>
      </c>
      <c r="N28" s="13">
        <v>5440</v>
      </c>
      <c r="O28" s="12">
        <v>707</v>
      </c>
      <c r="P28" s="12">
        <v>852</v>
      </c>
      <c r="Q28" s="35">
        <v>912</v>
      </c>
      <c r="R28" s="12">
        <v>985</v>
      </c>
      <c r="S28" s="13">
        <f>SUM(O28:R28)</f>
        <v>3456</v>
      </c>
      <c r="T28" s="12">
        <f>795</f>
        <v>795</v>
      </c>
      <c r="U28" s="12">
        <f>989</f>
        <v>989</v>
      </c>
      <c r="V28" s="12">
        <f>536</f>
        <v>536</v>
      </c>
      <c r="W28" s="12">
        <f>714</f>
        <v>714</v>
      </c>
      <c r="X28" s="13">
        <f>SUM(T28:W28)</f>
        <v>3034</v>
      </c>
      <c r="Y28" s="12">
        <v>566</v>
      </c>
      <c r="Z28" s="12">
        <v>484</v>
      </c>
      <c r="AA28" s="12">
        <v>458</v>
      </c>
      <c r="AB28" s="81">
        <v>475</v>
      </c>
      <c r="AC28" s="20">
        <f>SUM(Y28:AB28)</f>
        <v>1983</v>
      </c>
      <c r="AD28" s="22">
        <v>426</v>
      </c>
      <c r="AE28" s="22">
        <v>692</v>
      </c>
      <c r="AF28" s="22">
        <v>583</v>
      </c>
      <c r="AG28" s="22">
        <v>676</v>
      </c>
      <c r="AH28" s="23">
        <f>SUM(AD28:AG28)</f>
        <v>2377</v>
      </c>
      <c r="AI28" s="22">
        <v>531</v>
      </c>
      <c r="AJ28" s="22">
        <v>343</v>
      </c>
      <c r="AK28" s="22">
        <v>565</v>
      </c>
      <c r="AL28" s="22">
        <v>461</v>
      </c>
      <c r="AM28" s="23">
        <f>SUM(AI28:AL28)</f>
        <v>1900</v>
      </c>
      <c r="AN28" s="22">
        <v>553</v>
      </c>
      <c r="AO28" s="22">
        <v>483</v>
      </c>
      <c r="AP28" s="22">
        <v>147</v>
      </c>
      <c r="AQ28" s="22">
        <v>449</v>
      </c>
      <c r="AR28" s="23">
        <f>SUM(AN28:AQ28)</f>
        <v>1632</v>
      </c>
      <c r="AS28" s="235">
        <v>638</v>
      </c>
      <c r="AT28" s="22">
        <v>666</v>
      </c>
      <c r="AU28" s="235">
        <v>623</v>
      </c>
      <c r="AV28" s="22">
        <v>1037</v>
      </c>
      <c r="AW28" s="23">
        <f>SUM(AS28:AV28)</f>
        <v>2964</v>
      </c>
      <c r="AX28" s="22">
        <v>731</v>
      </c>
      <c r="AY28" s="22">
        <v>647</v>
      </c>
      <c r="AZ28" s="235">
        <v>826</v>
      </c>
      <c r="BA28" s="22">
        <v>1117</v>
      </c>
      <c r="BB28" s="23">
        <f>SUM(AX28:BA28)</f>
        <v>3321</v>
      </c>
      <c r="BC28" s="22">
        <v>778</v>
      </c>
      <c r="BD28" s="22">
        <v>1204</v>
      </c>
      <c r="BE28" s="22">
        <f>957</f>
        <v>957</v>
      </c>
      <c r="BF28" s="22">
        <f>863</f>
        <v>863</v>
      </c>
      <c r="BG28" s="23">
        <f>SUM(BC28:BF28)</f>
        <v>3802</v>
      </c>
      <c r="BH28" s="22">
        <v>818</v>
      </c>
      <c r="BI28" s="22">
        <f>891</f>
        <v>891</v>
      </c>
      <c r="BJ28" s="22">
        <f>971</f>
        <v>971</v>
      </c>
      <c r="BK28" s="22">
        <f>1258</f>
        <v>1258</v>
      </c>
      <c r="BL28" s="23">
        <f>SUM(BH28:BK28)</f>
        <v>3938</v>
      </c>
      <c r="BM28" s="22">
        <v>740</v>
      </c>
      <c r="BN28" s="22">
        <f>1130</f>
        <v>1130</v>
      </c>
      <c r="BO28" s="22">
        <f>1177</f>
        <v>1177</v>
      </c>
      <c r="BP28" s="22">
        <f>292</f>
        <v>292</v>
      </c>
      <c r="BQ28" s="23">
        <f>SUM(BM28:BP28)</f>
        <v>3339</v>
      </c>
      <c r="BR28" s="22">
        <f>1236</f>
        <v>1236</v>
      </c>
      <c r="BS28" s="22">
        <v>1368</v>
      </c>
      <c r="BT28" s="22">
        <f>1547</f>
        <v>1547</v>
      </c>
      <c r="BU28" s="22">
        <f>1726</f>
        <v>1726</v>
      </c>
      <c r="BV28" s="23">
        <f>SUM(BR28:BU28)</f>
        <v>5877</v>
      </c>
      <c r="BW28" s="22">
        <f>2609</f>
        <v>2609</v>
      </c>
      <c r="BX28" s="22">
        <f>2869</f>
        <v>2869</v>
      </c>
      <c r="BY28" s="22">
        <f>3162</f>
        <v>3162</v>
      </c>
      <c r="BZ28" s="22">
        <f>1436</f>
        <v>1436</v>
      </c>
      <c r="CA28" s="23">
        <f>SUM(BW28:BZ28)</f>
        <v>10076</v>
      </c>
      <c r="CB28" s="22">
        <f>2313</f>
        <v>2313</v>
      </c>
      <c r="CC28" s="22">
        <v>2432</v>
      </c>
      <c r="CD28" s="22">
        <f>3120</f>
        <v>3120</v>
      </c>
      <c r="CE28" s="22">
        <f>2956</f>
        <v>2956</v>
      </c>
      <c r="CF28" s="23">
        <f>SUM(CB28:CE28)</f>
        <v>10821</v>
      </c>
      <c r="CG28" s="22">
        <v>1565</v>
      </c>
      <c r="CH28" s="22">
        <v>1560</v>
      </c>
      <c r="CI28" s="22">
        <f>1870</f>
        <v>1870</v>
      </c>
      <c r="CJ28" s="22">
        <f>1282</f>
        <v>1282</v>
      </c>
      <c r="CK28" s="23">
        <f>SUM(CG28:CJ28)</f>
        <v>6277</v>
      </c>
      <c r="CL28" s="22">
        <f>1910</f>
        <v>1910</v>
      </c>
      <c r="CM28" s="22">
        <f>1839</f>
        <v>1839</v>
      </c>
      <c r="CN28" s="22">
        <v>1669</v>
      </c>
      <c r="CO28" s="22">
        <v>2588</v>
      </c>
      <c r="CP28" s="23">
        <f>SUM(CL28:CO28)</f>
        <v>8006</v>
      </c>
      <c r="CQ28" s="22">
        <f>(1-CQ29)*CQ5</f>
        <v>1500</v>
      </c>
      <c r="CR28" s="22">
        <f>(1-CR29)*CR5</f>
        <v>1500</v>
      </c>
      <c r="CS28" s="22">
        <f>(1-CS29)*CS5</f>
        <v>2000</v>
      </c>
      <c r="CT28" s="22">
        <f>(1-CT29)*CT5</f>
        <v>2250</v>
      </c>
      <c r="CU28" s="23">
        <f>SUM(CQ28:CT28)</f>
        <v>7250</v>
      </c>
      <c r="CV28" s="22"/>
      <c r="CW28" s="71">
        <f>CW27+CW26</f>
        <v>1907965</v>
      </c>
      <c r="CX28" s="71"/>
      <c r="CY28" s="470"/>
      <c r="CZ28" s="498"/>
      <c r="DA28" s="68"/>
      <c r="DB28" s="68"/>
      <c r="DC28" s="68"/>
      <c r="DD28" s="68"/>
      <c r="DE28" s="68"/>
      <c r="DF28" s="68"/>
    </row>
    <row r="29" spans="1:117" s="633" customFormat="1" ht="11.65" customHeight="1">
      <c r="A29" s="627"/>
      <c r="B29" s="673"/>
      <c r="C29" s="674" t="s">
        <v>25</v>
      </c>
      <c r="D29" s="675">
        <f>(D5-D28)/D5</f>
        <v>0.77317970510224454</v>
      </c>
      <c r="E29" s="673">
        <f t="shared" ref="E29:AF29" si="56">(E5-E28)/E5</f>
        <v>0.73676663878599591</v>
      </c>
      <c r="F29" s="674">
        <f t="shared" si="56"/>
        <v>0.78462830743385137</v>
      </c>
      <c r="G29" s="674">
        <f t="shared" si="56"/>
        <v>0.81788603587759412</v>
      </c>
      <c r="H29" s="674">
        <f t="shared" si="56"/>
        <v>0.75761885412433971</v>
      </c>
      <c r="I29" s="675">
        <f t="shared" si="56"/>
        <v>0.7776813690045794</v>
      </c>
      <c r="J29" s="674">
        <f t="shared" si="56"/>
        <v>0.88136853849014507</v>
      </c>
      <c r="K29" s="674">
        <f t="shared" si="56"/>
        <v>0.85542776432606937</v>
      </c>
      <c r="L29" s="674">
        <f t="shared" si="56"/>
        <v>0.865643749385266</v>
      </c>
      <c r="M29" s="674">
        <f t="shared" si="56"/>
        <v>0.87916076487252126</v>
      </c>
      <c r="N29" s="675">
        <f t="shared" si="56"/>
        <v>0.87087892525693666</v>
      </c>
      <c r="O29" s="674">
        <f t="shared" si="56"/>
        <v>0.91632145816072907</v>
      </c>
      <c r="P29" s="674">
        <f t="shared" si="56"/>
        <v>0.90246136233543217</v>
      </c>
      <c r="Q29" s="674">
        <f t="shared" si="56"/>
        <v>0.901511879049676</v>
      </c>
      <c r="R29" s="674">
        <f t="shared" si="56"/>
        <v>0.88369347030345968</v>
      </c>
      <c r="S29" s="675">
        <f t="shared" si="56"/>
        <v>0.90101108469624491</v>
      </c>
      <c r="T29" s="674">
        <f t="shared" si="56"/>
        <v>0.88346525945470533</v>
      </c>
      <c r="U29" s="674">
        <f t="shared" si="56"/>
        <v>0.88095811266249402</v>
      </c>
      <c r="V29" s="674">
        <f t="shared" si="56"/>
        <v>0.92976018870397059</v>
      </c>
      <c r="W29" s="674">
        <f t="shared" si="56"/>
        <v>0.92738736906335806</v>
      </c>
      <c r="X29" s="675">
        <f t="shared" si="56"/>
        <v>0.90691538319936182</v>
      </c>
      <c r="Y29" s="674">
        <f t="shared" si="56"/>
        <v>0.92516197276213141</v>
      </c>
      <c r="Z29" s="674">
        <f t="shared" si="56"/>
        <v>0.94253146521016384</v>
      </c>
      <c r="AA29" s="674">
        <f t="shared" si="56"/>
        <v>0.94895798506631002</v>
      </c>
      <c r="AB29" s="631">
        <f t="shared" si="56"/>
        <v>0.94704570791527309</v>
      </c>
      <c r="AC29" s="628">
        <f>(AC5-AC28)/AC5</f>
        <v>0.94155269983494461</v>
      </c>
      <c r="AD29" s="674">
        <f t="shared" si="56"/>
        <v>0.95175537938844845</v>
      </c>
      <c r="AE29" s="674">
        <f t="shared" si="56"/>
        <v>0.93141724479682853</v>
      </c>
      <c r="AF29" s="674">
        <f t="shared" si="56"/>
        <v>0.94444973797046217</v>
      </c>
      <c r="AG29" s="674">
        <f t="shared" ref="AG29:BA29" si="57">(AG5-AG28)/AG5</f>
        <v>0.94083668825485733</v>
      </c>
      <c r="AH29" s="628">
        <f t="shared" si="57"/>
        <v>0.94179868269631006</v>
      </c>
      <c r="AI29" s="674">
        <f t="shared" si="57"/>
        <v>0.95272435897435892</v>
      </c>
      <c r="AJ29" s="674">
        <f t="shared" si="57"/>
        <v>0.9716130100140693</v>
      </c>
      <c r="AK29" s="674">
        <f t="shared" si="57"/>
        <v>0.9572811129593225</v>
      </c>
      <c r="AL29" s="674">
        <f t="shared" si="57"/>
        <v>0.96319067390610025</v>
      </c>
      <c r="AM29" s="628">
        <f t="shared" si="57"/>
        <v>0.9612758585549781</v>
      </c>
      <c r="AN29" s="674">
        <f t="shared" si="57"/>
        <v>0.96132867132867128</v>
      </c>
      <c r="AO29" s="674">
        <f t="shared" si="57"/>
        <v>0.96688605512134929</v>
      </c>
      <c r="AP29" s="674">
        <f t="shared" si="57"/>
        <v>0.99063097514340348</v>
      </c>
      <c r="AQ29" s="674">
        <f t="shared" si="57"/>
        <v>0.96888858093126384</v>
      </c>
      <c r="AR29" s="628">
        <f t="shared" si="57"/>
        <v>0.97234273318872022</v>
      </c>
      <c r="AS29" s="626">
        <f t="shared" si="57"/>
        <v>0.96213649851632044</v>
      </c>
      <c r="AT29" s="627">
        <f t="shared" si="57"/>
        <v>0.96205344424819095</v>
      </c>
      <c r="AU29" s="627">
        <f t="shared" si="57"/>
        <v>0.96874059207225294</v>
      </c>
      <c r="AV29" s="627">
        <f t="shared" si="57"/>
        <v>0.94808510638297872</v>
      </c>
      <c r="AW29" s="628">
        <f t="shared" si="57"/>
        <v>0.96011089279465989</v>
      </c>
      <c r="AX29" s="626">
        <f t="shared" si="57"/>
        <v>0.95988585853042863</v>
      </c>
      <c r="AY29" s="627">
        <f t="shared" si="57"/>
        <v>0.96217922487870466</v>
      </c>
      <c r="AZ29" s="631">
        <f t="shared" si="57"/>
        <v>0.95837113194234447</v>
      </c>
      <c r="BA29" s="631">
        <f t="shared" si="57"/>
        <v>0.94557060715329888</v>
      </c>
      <c r="BB29" s="628">
        <f t="shared" ref="BB29:CG29" si="58">(BB5-BB28)/BB5</f>
        <v>0.95612598092319079</v>
      </c>
      <c r="BC29" s="626">
        <f t="shared" si="58"/>
        <v>0.96584123638918162</v>
      </c>
      <c r="BD29" s="627">
        <f t="shared" si="58"/>
        <v>0.94625000000000004</v>
      </c>
      <c r="BE29" s="627">
        <f t="shared" si="58"/>
        <v>0.95736054179290675</v>
      </c>
      <c r="BF29" s="627">
        <f t="shared" si="58"/>
        <v>0.96657759188257619</v>
      </c>
      <c r="BG29" s="628">
        <f>(BG5-BG28)/BG5</f>
        <v>0.95931122312475248</v>
      </c>
      <c r="BH29" s="627">
        <f t="shared" si="58"/>
        <v>0.96246501170100496</v>
      </c>
      <c r="BI29" s="627">
        <f t="shared" si="58"/>
        <v>0.9569044740024184</v>
      </c>
      <c r="BJ29" s="627">
        <f t="shared" si="58"/>
        <v>0.96174002127743408</v>
      </c>
      <c r="BK29" s="627">
        <f t="shared" si="58"/>
        <v>0.96112244267260027</v>
      </c>
      <c r="BL29" s="628">
        <f>(BL5-BL28)/BL5</f>
        <v>0.9607005638441195</v>
      </c>
      <c r="BM29" s="627">
        <f t="shared" si="58"/>
        <v>0.96050595079254952</v>
      </c>
      <c r="BN29" s="627">
        <f t="shared" si="58"/>
        <v>0.93362701908957413</v>
      </c>
      <c r="BO29" s="627">
        <f t="shared" si="58"/>
        <v>0.94096403671565432</v>
      </c>
      <c r="BP29" s="627">
        <f t="shared" si="58"/>
        <v>0.98328084740910393</v>
      </c>
      <c r="BQ29" s="628">
        <f>(BQ5-BQ28)/BQ5</f>
        <v>0.95436280137772678</v>
      </c>
      <c r="BR29" s="627">
        <f t="shared" si="58"/>
        <v>0.91723029531909195</v>
      </c>
      <c r="BS29" s="627">
        <f t="shared" si="58"/>
        <v>0.92229038854805723</v>
      </c>
      <c r="BT29" s="627">
        <f t="shared" si="58"/>
        <v>0.93176906452608832</v>
      </c>
      <c r="BU29" s="627">
        <f t="shared" si="58"/>
        <v>0.91030038457540796</v>
      </c>
      <c r="BV29" s="628">
        <f>(BV5-BV28)/BV5</f>
        <v>0.92106323537312629</v>
      </c>
      <c r="BW29" s="627">
        <f t="shared" si="58"/>
        <v>0.8419362656003877</v>
      </c>
      <c r="BX29" s="627">
        <f t="shared" si="58"/>
        <v>0.80884802451862214</v>
      </c>
      <c r="BY29" s="627">
        <f t="shared" si="58"/>
        <v>0.84399822388869705</v>
      </c>
      <c r="BZ29" s="627">
        <f t="shared" si="58"/>
        <v>0.81159800577276309</v>
      </c>
      <c r="CA29" s="628">
        <f>(CA5-CA28)/CA5</f>
        <v>0.83038750294583041</v>
      </c>
      <c r="CB29" s="627">
        <f t="shared" si="58"/>
        <v>0.77166831194471863</v>
      </c>
      <c r="CC29" s="627">
        <f t="shared" si="58"/>
        <v>0.75130381429594029</v>
      </c>
      <c r="CD29" s="627">
        <f t="shared" si="58"/>
        <v>0.70437748720864124</v>
      </c>
      <c r="CE29" s="627">
        <f t="shared" si="58"/>
        <v>0.61273418053190098</v>
      </c>
      <c r="CF29" s="628">
        <f>(CF5-CF28)/CF5</f>
        <v>0.71595443091138178</v>
      </c>
      <c r="CG29" s="627">
        <f t="shared" si="58"/>
        <v>0.82081520494618732</v>
      </c>
      <c r="CH29" s="627">
        <f>(CH5-CH28)/CH5</f>
        <v>0.70726215049727903</v>
      </c>
      <c r="CI29" s="627">
        <f>(CI5-CI28)/CI5</f>
        <v>0.69780219780219777</v>
      </c>
      <c r="CJ29" s="627">
        <f t="shared" ref="CJ29" si="59">(CJ5-CJ28)/CJ5</f>
        <v>0.79004258106780212</v>
      </c>
      <c r="CK29" s="628">
        <f>(CK5-CK28)/CK5</f>
        <v>0.76184694767993322</v>
      </c>
      <c r="CL29" s="627">
        <f t="shared" ref="CL29" si="60">(CL5-CL28)/CL5</f>
        <v>0.72690877895338857</v>
      </c>
      <c r="CM29" s="627">
        <f>(CM5-CM28)/CM5</f>
        <v>0.49795249795249796</v>
      </c>
      <c r="CN29" s="631">
        <f>(CN5-CN28)/CN5</f>
        <v>0.67274509803921567</v>
      </c>
      <c r="CO29" s="631">
        <f>(CO5-CO28)/CO5</f>
        <v>0.51169811320754721</v>
      </c>
      <c r="CP29" s="628">
        <f>(CP5-CP28)/CP5</f>
        <v>0.61979389276725083</v>
      </c>
      <c r="CQ29" s="676">
        <v>0.5</v>
      </c>
      <c r="CR29" s="676">
        <v>0.5</v>
      </c>
      <c r="CS29" s="676">
        <v>0.5</v>
      </c>
      <c r="CT29" s="676">
        <v>0.5</v>
      </c>
      <c r="CU29" s="628">
        <f>(CU5-CU28)/CU5</f>
        <v>0.5</v>
      </c>
      <c r="CV29" s="627"/>
      <c r="CW29" s="661">
        <f>1537-1507</f>
        <v>30</v>
      </c>
      <c r="CX29" s="661"/>
      <c r="CY29" s="661"/>
      <c r="CZ29" s="662"/>
      <c r="DA29" s="642"/>
      <c r="DB29" s="642"/>
      <c r="DC29" s="642"/>
      <c r="DD29" s="642"/>
      <c r="DE29" s="642"/>
      <c r="DF29" s="642"/>
      <c r="DG29" s="639"/>
      <c r="DH29" s="639"/>
      <c r="DI29" s="639"/>
      <c r="DJ29" s="639"/>
      <c r="DK29" s="639"/>
      <c r="DL29" s="639"/>
      <c r="DM29" s="639"/>
    </row>
    <row r="30" spans="1:117" ht="18" hidden="1" customHeight="1" outlineLevel="1">
      <c r="A30" s="7"/>
      <c r="B30" s="19" t="s">
        <v>54</v>
      </c>
      <c r="C30" s="18"/>
      <c r="D30" s="62">
        <v>2279</v>
      </c>
      <c r="E30" s="60">
        <v>436</v>
      </c>
      <c r="F30" s="60">
        <v>461</v>
      </c>
      <c r="G30" s="60">
        <v>472</v>
      </c>
      <c r="H30" s="60">
        <f>I30-G30-F30-E30</f>
        <v>430</v>
      </c>
      <c r="I30" s="62">
        <v>1799</v>
      </c>
      <c r="J30" s="60">
        <v>315</v>
      </c>
      <c r="K30" s="60">
        <v>358</v>
      </c>
      <c r="L30" s="60">
        <v>369</v>
      </c>
      <c r="M30" s="60">
        <f>N30-L30-K30-J30</f>
        <v>369</v>
      </c>
      <c r="N30" s="13">
        <v>1411</v>
      </c>
      <c r="O30" s="12">
        <v>398</v>
      </c>
      <c r="P30" s="12">
        <v>398</v>
      </c>
      <c r="Q30" s="35">
        <v>398</v>
      </c>
      <c r="R30" s="12">
        <v>398</v>
      </c>
      <c r="S30" s="13">
        <f>SUM(O30:R30)</f>
        <v>1592</v>
      </c>
      <c r="T30" s="12">
        <v>0</v>
      </c>
      <c r="U30" s="12">
        <v>0</v>
      </c>
      <c r="V30" s="12">
        <v>0</v>
      </c>
      <c r="W30" s="12">
        <v>0</v>
      </c>
      <c r="X30" s="13">
        <f>SUM(T30:W30)</f>
        <v>0</v>
      </c>
      <c r="Y30" s="12">
        <v>0</v>
      </c>
      <c r="Z30" s="22">
        <v>0</v>
      </c>
      <c r="AA30" s="22">
        <v>0</v>
      </c>
      <c r="AB30" s="235">
        <v>0</v>
      </c>
      <c r="AC30" s="20">
        <f t="shared" ref="AC30:AC36" si="61">SUM(Y30:AB30)</f>
        <v>0</v>
      </c>
      <c r="AD30" s="86">
        <v>0</v>
      </c>
      <c r="AE30" s="235">
        <f>523-523</f>
        <v>0</v>
      </c>
      <c r="AF30" s="86">
        <v>0</v>
      </c>
      <c r="AG30" s="235"/>
      <c r="AH30" s="23">
        <f t="shared" ref="AH30:AH36" si="62">SUM(AD30:AG30)</f>
        <v>0</v>
      </c>
      <c r="AI30" s="86"/>
      <c r="AJ30" s="86">
        <v>0</v>
      </c>
      <c r="AK30" s="86">
        <v>0</v>
      </c>
      <c r="AL30" s="86">
        <v>0</v>
      </c>
      <c r="AM30" s="23">
        <f>SUM(AI30:AL30)</f>
        <v>0</v>
      </c>
      <c r="AN30" s="86"/>
      <c r="AO30" s="86">
        <v>0</v>
      </c>
      <c r="AP30" s="86">
        <v>0</v>
      </c>
      <c r="AQ30" s="235"/>
      <c r="AR30" s="23">
        <f>SUM(AN30:AQ30)</f>
        <v>0</v>
      </c>
      <c r="AS30" s="235">
        <v>0</v>
      </c>
      <c r="AT30" s="235">
        <v>0</v>
      </c>
      <c r="AU30" s="235">
        <v>0</v>
      </c>
      <c r="AV30" s="86">
        <v>0</v>
      </c>
      <c r="AW30" s="23">
        <f>SUM(AS30:AV30)</f>
        <v>0</v>
      </c>
      <c r="AX30" s="235">
        <v>0</v>
      </c>
      <c r="AY30" s="86">
        <v>0</v>
      </c>
      <c r="AZ30" s="235">
        <v>0</v>
      </c>
      <c r="BA30" s="86">
        <v>0</v>
      </c>
      <c r="BB30" s="23">
        <f>SUM(AX30:BA30)</f>
        <v>0</v>
      </c>
      <c r="BC30" s="235">
        <v>0</v>
      </c>
      <c r="BD30" s="22">
        <v>0</v>
      </c>
      <c r="BE30" s="86">
        <v>0</v>
      </c>
      <c r="BF30" s="86">
        <v>0</v>
      </c>
      <c r="BG30" s="23">
        <f>SUM(BC30:BF30)</f>
        <v>0</v>
      </c>
      <c r="BH30" s="235">
        <v>0</v>
      </c>
      <c r="BI30" s="86">
        <v>0</v>
      </c>
      <c r="BJ30" s="86">
        <v>0</v>
      </c>
      <c r="BK30" s="86">
        <v>0</v>
      </c>
      <c r="BL30" s="23">
        <f>SUM(BH30:BK30)</f>
        <v>0</v>
      </c>
      <c r="BM30" s="22">
        <v>0</v>
      </c>
      <c r="BN30" s="86">
        <v>0</v>
      </c>
      <c r="BO30" s="86">
        <v>0</v>
      </c>
      <c r="BP30" s="86">
        <v>0</v>
      </c>
      <c r="BQ30" s="23">
        <f>SUM(BM30:BP30)</f>
        <v>0</v>
      </c>
      <c r="BR30" s="86"/>
      <c r="BS30" s="22">
        <v>0</v>
      </c>
      <c r="BT30" s="86"/>
      <c r="BU30" s="86">
        <v>0</v>
      </c>
      <c r="BV30" s="23">
        <f>SUM(BR30:BU30)</f>
        <v>0</v>
      </c>
      <c r="BW30" s="86">
        <v>0</v>
      </c>
      <c r="BX30" s="86">
        <v>0</v>
      </c>
      <c r="BY30" s="86">
        <v>0</v>
      </c>
      <c r="BZ30" s="86">
        <v>0</v>
      </c>
      <c r="CA30" s="23">
        <f>SUM(BW30:BZ30)</f>
        <v>0</v>
      </c>
      <c r="CB30" s="86">
        <v>0</v>
      </c>
      <c r="CC30" s="86">
        <v>0</v>
      </c>
      <c r="CD30" s="86">
        <v>0</v>
      </c>
      <c r="CE30" s="86">
        <v>0</v>
      </c>
      <c r="CF30" s="23">
        <f>SUM(CB30:CE30)</f>
        <v>0</v>
      </c>
      <c r="CG30" s="86">
        <v>0</v>
      </c>
      <c r="CH30" s="86">
        <v>0</v>
      </c>
      <c r="CI30" s="86">
        <v>0</v>
      </c>
      <c r="CJ30" s="86">
        <v>0</v>
      </c>
      <c r="CK30" s="23">
        <f>SUM(CG30:CJ30)</f>
        <v>0</v>
      </c>
      <c r="CL30" s="86">
        <v>0</v>
      </c>
      <c r="CM30" s="86">
        <v>0</v>
      </c>
      <c r="CN30" s="86">
        <v>0</v>
      </c>
      <c r="CO30" s="86">
        <v>0</v>
      </c>
      <c r="CP30" s="23">
        <f>SUM(CL30:CO30)</f>
        <v>0</v>
      </c>
      <c r="CQ30" s="86">
        <v>0</v>
      </c>
      <c r="CR30" s="86">
        <v>0</v>
      </c>
      <c r="CS30" s="86">
        <v>0</v>
      </c>
      <c r="CT30" s="86">
        <v>0</v>
      </c>
      <c r="CU30" s="23">
        <f>SUM(CQ30:CT30)</f>
        <v>0</v>
      </c>
      <c r="CV30" s="22"/>
      <c r="CW30" s="71"/>
      <c r="CX30" s="71"/>
      <c r="CY30" s="71"/>
      <c r="CZ30" s="498"/>
      <c r="DA30" s="68"/>
      <c r="DB30" s="68"/>
      <c r="DC30" s="68"/>
      <c r="DD30" s="68"/>
      <c r="DE30" s="68"/>
      <c r="DF30" s="68"/>
    </row>
    <row r="31" spans="1:117" s="633" customFormat="1" ht="11.65" hidden="1" customHeight="1" outlineLevel="1">
      <c r="A31" s="627"/>
      <c r="B31" s="673"/>
      <c r="C31" s="674" t="s">
        <v>25</v>
      </c>
      <c r="D31" s="675"/>
      <c r="E31" s="673"/>
      <c r="F31" s="674"/>
      <c r="G31" s="674"/>
      <c r="H31" s="674"/>
      <c r="I31" s="675"/>
      <c r="J31" s="674"/>
      <c r="K31" s="674"/>
      <c r="L31" s="674"/>
      <c r="M31" s="674"/>
      <c r="N31" s="675"/>
      <c r="O31" s="674"/>
      <c r="P31" s="674"/>
      <c r="Q31" s="674"/>
      <c r="R31" s="674"/>
      <c r="S31" s="675"/>
      <c r="T31" s="674"/>
      <c r="U31" s="674"/>
      <c r="V31" s="674"/>
      <c r="W31" s="674"/>
      <c r="X31" s="675"/>
      <c r="Y31" s="674"/>
      <c r="Z31" s="677"/>
      <c r="AA31" s="677"/>
      <c r="AB31" s="631"/>
      <c r="AC31" s="678"/>
      <c r="AD31" s="677"/>
      <c r="AE31" s="677"/>
      <c r="AF31" s="677"/>
      <c r="AG31" s="677"/>
      <c r="AH31" s="679"/>
      <c r="AI31" s="677"/>
      <c r="AJ31" s="677"/>
      <c r="AK31" s="677"/>
      <c r="AL31" s="677"/>
      <c r="AM31" s="679"/>
      <c r="AN31" s="677"/>
      <c r="AO31" s="677"/>
      <c r="AP31" s="677"/>
      <c r="AQ31" s="677"/>
      <c r="AR31" s="679"/>
      <c r="AS31" s="673"/>
      <c r="AT31" s="677"/>
      <c r="AU31" s="631"/>
      <c r="AV31" s="677"/>
      <c r="AW31" s="679"/>
      <c r="AX31" s="673"/>
      <c r="AY31" s="677"/>
      <c r="AZ31" s="631"/>
      <c r="BA31" s="677"/>
      <c r="BB31" s="679"/>
      <c r="BC31" s="673"/>
      <c r="BD31" s="627"/>
      <c r="BE31" s="677"/>
      <c r="BF31" s="677"/>
      <c r="BG31" s="679"/>
      <c r="BH31" s="673"/>
      <c r="BI31" s="677"/>
      <c r="BJ31" s="677"/>
      <c r="BK31" s="677"/>
      <c r="BL31" s="679"/>
      <c r="BM31" s="680"/>
      <c r="BN31" s="677"/>
      <c r="BO31" s="677"/>
      <c r="BP31" s="677"/>
      <c r="BQ31" s="679"/>
      <c r="BR31" s="677"/>
      <c r="BS31" s="677"/>
      <c r="BT31" s="677"/>
      <c r="BU31" s="677"/>
      <c r="BV31" s="679"/>
      <c r="BW31" s="677"/>
      <c r="BX31" s="677"/>
      <c r="BY31" s="677"/>
      <c r="BZ31" s="677"/>
      <c r="CA31" s="679"/>
      <c r="CB31" s="677"/>
      <c r="CC31" s="677"/>
      <c r="CD31" s="677"/>
      <c r="CE31" s="677"/>
      <c r="CF31" s="679"/>
      <c r="CG31" s="677"/>
      <c r="CH31" s="677"/>
      <c r="CI31" s="677"/>
      <c r="CJ31" s="677"/>
      <c r="CK31" s="679"/>
      <c r="CL31" s="677"/>
      <c r="CM31" s="677"/>
      <c r="CN31" s="677"/>
      <c r="CO31" s="677"/>
      <c r="CP31" s="679"/>
      <c r="CQ31" s="677"/>
      <c r="CR31" s="677"/>
      <c r="CS31" s="677"/>
      <c r="CT31" s="677"/>
      <c r="CU31" s="679"/>
      <c r="CV31" s="681"/>
      <c r="CW31" s="661"/>
      <c r="CX31" s="661"/>
      <c r="CY31" s="661"/>
      <c r="CZ31" s="662"/>
      <c r="DA31" s="642"/>
      <c r="DB31" s="642"/>
      <c r="DC31" s="642"/>
      <c r="DD31" s="642"/>
      <c r="DE31" s="642"/>
      <c r="DF31" s="642"/>
    </row>
    <row r="32" spans="1:117" s="83" customFormat="1" ht="18" customHeight="1" collapsed="1">
      <c r="A32" s="81"/>
      <c r="B32" s="82" t="s">
        <v>981</v>
      </c>
      <c r="C32" s="60"/>
      <c r="D32" s="62">
        <v>104993</v>
      </c>
      <c r="E32" s="60">
        <v>30444</v>
      </c>
      <c r="F32" s="60">
        <v>31123</v>
      </c>
      <c r="G32" s="60">
        <v>31988</v>
      </c>
      <c r="H32" s="60">
        <f>I32-G32-F32-E32</f>
        <v>32692</v>
      </c>
      <c r="I32" s="62">
        <v>126247</v>
      </c>
      <c r="J32" s="60">
        <v>33087</v>
      </c>
      <c r="K32" s="60">
        <v>34174</v>
      </c>
      <c r="L32" s="60">
        <v>35259</v>
      </c>
      <c r="M32" s="60">
        <f>N32-L32-K32-J32</f>
        <v>34679</v>
      </c>
      <c r="N32" s="62">
        <v>137199</v>
      </c>
      <c r="O32" s="60">
        <v>34881</v>
      </c>
      <c r="P32" s="60">
        <v>34595</v>
      </c>
      <c r="Q32" s="60">
        <v>34708</v>
      </c>
      <c r="R32" s="60">
        <v>33901</v>
      </c>
      <c r="S32" s="62">
        <f>SUM(O32:R32)</f>
        <v>138085</v>
      </c>
      <c r="T32" s="60">
        <f>35180-196</f>
        <v>34984</v>
      </c>
      <c r="U32" s="60">
        <f>35502-214</f>
        <v>35288</v>
      </c>
      <c r="V32" s="60">
        <f>35689-239</f>
        <v>35450</v>
      </c>
      <c r="W32" s="60">
        <f>37405-222</f>
        <v>37183</v>
      </c>
      <c r="X32" s="62">
        <f>SUM(T32:W32)</f>
        <v>142905</v>
      </c>
      <c r="Y32" s="60">
        <f>39813-248</f>
        <v>39565</v>
      </c>
      <c r="Z32" s="81">
        <f>43118-257</f>
        <v>42861</v>
      </c>
      <c r="AA32" s="81">
        <f>43485-286</f>
        <v>43199</v>
      </c>
      <c r="AB32" s="81">
        <f>45168-293</f>
        <v>44875</v>
      </c>
      <c r="AC32" s="20">
        <f t="shared" si="61"/>
        <v>170500</v>
      </c>
      <c r="AD32" s="81">
        <f>46382-336</f>
        <v>46046</v>
      </c>
      <c r="AE32" s="81">
        <f>48833-343</f>
        <v>48490</v>
      </c>
      <c r="AF32" s="81">
        <f>51786-408</f>
        <v>51378</v>
      </c>
      <c r="AG32" s="81">
        <f>52616-422</f>
        <v>52194</v>
      </c>
      <c r="AH32" s="23">
        <f t="shared" si="62"/>
        <v>198108</v>
      </c>
      <c r="AI32" s="81">
        <f>54999-513</f>
        <v>54486</v>
      </c>
      <c r="AJ32" s="81">
        <f>58274-513</f>
        <v>57761</v>
      </c>
      <c r="AK32" s="81">
        <f>61428-569</f>
        <v>60859</v>
      </c>
      <c r="AL32" s="81">
        <f>61662-582</f>
        <v>61080</v>
      </c>
      <c r="AM32" s="23">
        <f>SUM(AI32:AL32)</f>
        <v>234186</v>
      </c>
      <c r="AN32" s="81">
        <f>65377-701</f>
        <v>64676</v>
      </c>
      <c r="AO32" s="81">
        <f>69678-746</f>
        <v>68932</v>
      </c>
      <c r="AP32" s="81">
        <f>72764-902</f>
        <v>71862</v>
      </c>
      <c r="AQ32" s="81">
        <f>77521-1031</f>
        <v>76490</v>
      </c>
      <c r="AR32" s="23">
        <f>SUM(AN32:AQ32)</f>
        <v>281960</v>
      </c>
      <c r="AS32" s="81">
        <f>85270-1317</f>
        <v>83953</v>
      </c>
      <c r="AT32" s="81">
        <f>86717-1571</f>
        <v>85146</v>
      </c>
      <c r="AU32" s="81">
        <f>88623-1779</f>
        <v>86844</v>
      </c>
      <c r="AV32" s="81">
        <f>88329-1881</f>
        <v>86448</v>
      </c>
      <c r="AW32" s="23">
        <f>SUM(AS32:AV32)</f>
        <v>342391</v>
      </c>
      <c r="AX32" s="81">
        <f>93540-2097</f>
        <v>91443</v>
      </c>
      <c r="AY32" s="81">
        <f>96172-2253</f>
        <v>93919</v>
      </c>
      <c r="AZ32" s="81">
        <f>98036-2524</f>
        <v>95512</v>
      </c>
      <c r="BA32" s="81">
        <f>99886-2541</f>
        <v>97345</v>
      </c>
      <c r="BB32" s="23">
        <f>SUM(AX32:BA32)</f>
        <v>378219</v>
      </c>
      <c r="BC32" s="81">
        <f>106085-2776</f>
        <v>103309</v>
      </c>
      <c r="BD32" s="12">
        <f>109487-2955</f>
        <v>106532</v>
      </c>
      <c r="BE32" s="81">
        <f>111508-3909</f>
        <v>107599</v>
      </c>
      <c r="BF32" s="81">
        <f>111843-3948</f>
        <v>107895</v>
      </c>
      <c r="BG32" s="23">
        <f>SUM(BC32:BF32)</f>
        <v>425335</v>
      </c>
      <c r="BH32" s="81">
        <f>117160-3798</f>
        <v>113362</v>
      </c>
      <c r="BI32" s="81">
        <f>125759-3756</f>
        <v>122003</v>
      </c>
      <c r="BJ32" s="81">
        <f>128545-3612</f>
        <v>124933</v>
      </c>
      <c r="BK32" s="81">
        <f>130674-3836</f>
        <v>126838</v>
      </c>
      <c r="BL32" s="23">
        <f>SUM(BH32:BK32)</f>
        <v>487136</v>
      </c>
      <c r="BM32" s="12">
        <f>131779-4252</f>
        <v>127527</v>
      </c>
      <c r="BN32" s="81">
        <f>124287-4369</f>
        <v>119918</v>
      </c>
      <c r="BO32" s="81">
        <f>125881-4555</f>
        <v>121326</v>
      </c>
      <c r="BP32" s="81">
        <f>128557-4949</f>
        <v>123608</v>
      </c>
      <c r="BQ32" s="23">
        <f>SUM(BM32:BP32)</f>
        <v>492379</v>
      </c>
      <c r="BR32" s="81">
        <f>134320-5000</f>
        <v>129320</v>
      </c>
      <c r="BS32" s="81">
        <f>199771-5909</f>
        <v>193862</v>
      </c>
      <c r="BT32" s="81">
        <f>241944-6303</f>
        <v>235641</v>
      </c>
      <c r="BU32" s="81">
        <f>223123-6493</f>
        <v>216630</v>
      </c>
      <c r="BV32" s="23">
        <f>SUM(BR32:BU32)</f>
        <v>775453</v>
      </c>
      <c r="BW32" s="81">
        <f>236896-6772</f>
        <v>230124</v>
      </c>
      <c r="BX32" s="81">
        <f>244192-6867</f>
        <v>237325</v>
      </c>
      <c r="BY32" s="81">
        <f>239928-7181</f>
        <v>232747</v>
      </c>
      <c r="BZ32" s="81">
        <f>232880-6667+2514</f>
        <v>228727</v>
      </c>
      <c r="CA32" s="23">
        <f>SUM(BW32:BZ32)</f>
        <v>928923</v>
      </c>
      <c r="CB32" s="81">
        <f>252415-6342+2588</f>
        <v>248661</v>
      </c>
      <c r="CC32" s="81">
        <f>255789-6437+2896</f>
        <v>252248</v>
      </c>
      <c r="CD32" s="81">
        <f>247781-6847+3083</f>
        <v>244017</v>
      </c>
      <c r="CE32" s="81">
        <f>245236-6981+4058</f>
        <v>242313</v>
      </c>
      <c r="CF32" s="23">
        <f>SUM(CB32:CE32)</f>
        <v>987239</v>
      </c>
      <c r="CG32" s="81">
        <f>268870+4363-7390</f>
        <v>265843</v>
      </c>
      <c r="CH32" s="81">
        <f>277145+4484-7620</f>
        <v>274009</v>
      </c>
      <c r="CI32" s="81">
        <f>283750+4961-7972</f>
        <v>280739</v>
      </c>
      <c r="CJ32" s="81">
        <f>283013+4998-8340</f>
        <v>279671</v>
      </c>
      <c r="CK32" s="23">
        <f>SUM(CG32:CJ32)</f>
        <v>1100262</v>
      </c>
      <c r="CL32" s="81">
        <f>278053+5379-8714</f>
        <v>274718</v>
      </c>
      <c r="CM32" s="81">
        <f>292595+5505-8891</f>
        <v>289209</v>
      </c>
      <c r="CN32" s="81">
        <f>289070+6195-9307</f>
        <v>285958</v>
      </c>
      <c r="CO32" s="81">
        <f>289171+5584-9217</f>
        <v>285538</v>
      </c>
      <c r="CP32" s="23">
        <f>SUM(CL32:CO32)</f>
        <v>1135423</v>
      </c>
      <c r="CQ32" s="81">
        <f>(1-CQ33)*(CQ8+CQ11+CQ14)</f>
        <v>286812.89759999997</v>
      </c>
      <c r="CR32" s="81">
        <f>(1-CR33)*(CR8+CR11+CR14)</f>
        <v>306255.10754999996</v>
      </c>
      <c r="CS32" s="81">
        <f>(1-CS33)*(CS8+CS11+CS14)</f>
        <v>300577.98719999997</v>
      </c>
      <c r="CT32" s="81">
        <f>(1-CT33)*(CT8+CT11+CT14)</f>
        <v>297772.27938900003</v>
      </c>
      <c r="CU32" s="23">
        <f>SUM(CQ32:CT32)</f>
        <v>1191418.271739</v>
      </c>
      <c r="CV32" s="22"/>
      <c r="CW32" s="71">
        <f>1510+15</f>
        <v>1525</v>
      </c>
      <c r="CX32" s="71"/>
      <c r="CY32" s="71"/>
      <c r="CZ32" s="497"/>
      <c r="DA32" s="68"/>
      <c r="DB32" s="68"/>
      <c r="DC32" s="68"/>
      <c r="DD32" s="68"/>
      <c r="DE32" s="68"/>
      <c r="DF32" s="68"/>
      <c r="DG32" s="205"/>
      <c r="DH32" s="205"/>
      <c r="DI32" s="205"/>
      <c r="DJ32" s="67"/>
      <c r="DK32" s="67"/>
      <c r="DL32" s="67"/>
      <c r="DM32" s="67"/>
    </row>
    <row r="33" spans="1:117" s="633" customFormat="1" ht="11.65" customHeight="1">
      <c r="A33" s="627"/>
      <c r="B33" s="673"/>
      <c r="C33" s="674" t="s">
        <v>25</v>
      </c>
      <c r="D33" s="675">
        <f>(D11+D14+D8-D32)/(D11+D14+D8)</f>
        <v>0.32739910313901344</v>
      </c>
      <c r="E33" s="673">
        <f>(E11+E14+E8-E32)/(E11+E14+E8)</f>
        <v>0.31799547480902352</v>
      </c>
      <c r="F33" s="674">
        <f>(F11+F14+F8-F32)/(F11+F14+F8)</f>
        <v>0.37074403558431057</v>
      </c>
      <c r="G33" s="674">
        <f>(G11+G14+G8-G32)/(G11+G14+G8)</f>
        <v>0.36631074308128131</v>
      </c>
      <c r="H33" s="674">
        <f>(H11+H14+H8-H32)/(H11+H14+H8)</f>
        <v>0.37432776406193186</v>
      </c>
      <c r="I33" s="675">
        <f t="shared" ref="I33:AQ33" si="63">(I11+I14+I8-I32)/(I11+I14+I8)</f>
        <v>0.35859553216243539</v>
      </c>
      <c r="J33" s="674">
        <f t="shared" si="63"/>
        <v>0.36791731937492839</v>
      </c>
      <c r="K33" s="674">
        <f t="shared" si="63"/>
        <v>0.38661736726855012</v>
      </c>
      <c r="L33" s="674">
        <f t="shared" si="63"/>
        <v>0.38876657709976598</v>
      </c>
      <c r="M33" s="674">
        <f t="shared" si="63"/>
        <v>0.38461128954980212</v>
      </c>
      <c r="N33" s="675">
        <f t="shared" si="63"/>
        <v>0.38225918288323174</v>
      </c>
      <c r="O33" s="674">
        <f t="shared" si="63"/>
        <v>0.37405114401076717</v>
      </c>
      <c r="P33" s="674">
        <f t="shared" si="63"/>
        <v>0.39860930030421554</v>
      </c>
      <c r="Q33" s="674">
        <f t="shared" si="63"/>
        <v>0.39603598587015154</v>
      </c>
      <c r="R33" s="674">
        <f t="shared" si="63"/>
        <v>0.40078832013574661</v>
      </c>
      <c r="S33" s="675">
        <f t="shared" si="63"/>
        <v>0.39248019076698359</v>
      </c>
      <c r="T33" s="674">
        <f t="shared" si="63"/>
        <v>0.40945307224848076</v>
      </c>
      <c r="U33" s="674">
        <f t="shared" si="63"/>
        <v>0.41503522585992542</v>
      </c>
      <c r="V33" s="674">
        <f t="shared" si="63"/>
        <v>0.43410382478768916</v>
      </c>
      <c r="W33" s="674">
        <f t="shared" si="63"/>
        <v>0.42853410383303109</v>
      </c>
      <c r="X33" s="675">
        <f t="shared" si="63"/>
        <v>0.42208067940552019</v>
      </c>
      <c r="Y33" s="674">
        <f t="shared" si="63"/>
        <v>0.42112424650318958</v>
      </c>
      <c r="Z33" s="674">
        <f t="shared" si="63"/>
        <v>0.42352387357094823</v>
      </c>
      <c r="AA33" s="674">
        <f t="shared" si="63"/>
        <v>0.44535603317669414</v>
      </c>
      <c r="AB33" s="674">
        <f t="shared" si="63"/>
        <v>0.43406101421310833</v>
      </c>
      <c r="AC33" s="675">
        <f>(AC11+AC14+AC8-AC32)/(AC11+AC14+AC8)</f>
        <v>0.43143355442398051</v>
      </c>
      <c r="AD33" s="674">
        <f t="shared" si="63"/>
        <v>0.42430986197239445</v>
      </c>
      <c r="AE33" s="674">
        <f t="shared" si="63"/>
        <v>0.42674406232636219</v>
      </c>
      <c r="AF33" s="674">
        <f t="shared" si="63"/>
        <v>0.42507693168466404</v>
      </c>
      <c r="AG33" s="674">
        <f t="shared" si="63"/>
        <v>0.43826077597804447</v>
      </c>
      <c r="AH33" s="675">
        <f>(AH11+AH14+AH8-AH32)/(AH11+AH14+AH8)</f>
        <v>0.42883831962427671</v>
      </c>
      <c r="AI33" s="674">
        <f t="shared" si="63"/>
        <v>0.42678898310434071</v>
      </c>
      <c r="AJ33" s="674">
        <f t="shared" si="63"/>
        <v>0.43928436216788175</v>
      </c>
      <c r="AK33" s="674">
        <f t="shared" si="63"/>
        <v>0.43942855037488715</v>
      </c>
      <c r="AL33" s="674">
        <f t="shared" si="63"/>
        <v>0.43303753759328706</v>
      </c>
      <c r="AM33" s="675">
        <f>(AM11+AM14+AM8-AM32)/(AM11+AM14+AM8)</f>
        <v>0.43483160981260482</v>
      </c>
      <c r="AN33" s="674">
        <f t="shared" si="63"/>
        <v>0.42986600846262341</v>
      </c>
      <c r="AO33" s="674">
        <f t="shared" si="63"/>
        <v>0.43019632155404008</v>
      </c>
      <c r="AP33" s="674">
        <f t="shared" si="63"/>
        <v>0.43170531110619048</v>
      </c>
      <c r="AQ33" s="674">
        <f t="shared" si="63"/>
        <v>0.4523833388221481</v>
      </c>
      <c r="AR33" s="675">
        <f t="shared" ref="AR33:BA33" si="64">(AR11+AR14+AR8-AR32)/(AR11+AR14+AR8)</f>
        <v>0.43669400353614563</v>
      </c>
      <c r="AS33" s="673">
        <f t="shared" si="64"/>
        <v>0.46947790149514046</v>
      </c>
      <c r="AT33" s="674">
        <f t="shared" si="64"/>
        <v>0.4793185264908762</v>
      </c>
      <c r="AU33" s="674">
        <f t="shared" si="64"/>
        <v>0.48266186921789273</v>
      </c>
      <c r="AV33" s="674">
        <f t="shared" si="64"/>
        <v>0.48029962366690315</v>
      </c>
      <c r="AW33" s="675">
        <f t="shared" si="64"/>
        <v>0.47804897383011452</v>
      </c>
      <c r="AX33" s="673">
        <f t="shared" si="64"/>
        <v>0.46926184312860575</v>
      </c>
      <c r="AY33" s="674">
        <f t="shared" si="64"/>
        <v>0.47244222753979753</v>
      </c>
      <c r="AZ33" s="674">
        <f t="shared" si="64"/>
        <v>0.48334469291270432</v>
      </c>
      <c r="BA33" s="674">
        <f t="shared" si="64"/>
        <v>0.48261749996013797</v>
      </c>
      <c r="BB33" s="675">
        <f t="shared" ref="BB33:CG33" si="65">(BB11+BB14+BB8-BB32)/(BB11+BB14+BB8)</f>
        <v>0.4771177946594593</v>
      </c>
      <c r="BC33" s="673">
        <f t="shared" si="65"/>
        <v>0.45360835647229936</v>
      </c>
      <c r="BD33" s="682">
        <f t="shared" si="65"/>
        <v>0.47109784977733205</v>
      </c>
      <c r="BE33" s="682">
        <f t="shared" si="65"/>
        <v>0.47413666709022845</v>
      </c>
      <c r="BF33" s="682">
        <f t="shared" si="65"/>
        <v>0.4753541159136993</v>
      </c>
      <c r="BG33" s="675">
        <f>(BG11+BG14+BG8-BG32)/(BG11+BG14+BG8)</f>
        <v>0.46883784590446859</v>
      </c>
      <c r="BH33" s="682">
        <f t="shared" si="65"/>
        <v>0.47895590783528752</v>
      </c>
      <c r="BI33" s="682">
        <f t="shared" si="65"/>
        <v>0.49254643917777907</v>
      </c>
      <c r="BJ33" s="682">
        <f t="shared" si="65"/>
        <v>0.48351103191959949</v>
      </c>
      <c r="BK33" s="682">
        <f t="shared" si="65"/>
        <v>0.48183281450433446</v>
      </c>
      <c r="BL33" s="675">
        <f>(BL11+BL14+BL8-BL32)/(BL11+BL14+BL8)</f>
        <v>0.48432663603836301</v>
      </c>
      <c r="BM33" s="682">
        <f t="shared" si="65"/>
        <v>0.48673025839169282</v>
      </c>
      <c r="BN33" s="682">
        <f t="shared" si="65"/>
        <v>0.5131024402127573</v>
      </c>
      <c r="BO33" s="682">
        <f t="shared" si="65"/>
        <v>0.52496809002137768</v>
      </c>
      <c r="BP33" s="682">
        <f t="shared" si="65"/>
        <v>0.51565212280323658</v>
      </c>
      <c r="BQ33" s="675">
        <f>(BQ11+BQ14+BQ8-BQ32)/(BQ11+BQ14+BQ8)</f>
        <v>0.51024656814815772</v>
      </c>
      <c r="BR33" s="682">
        <f t="shared" si="65"/>
        <v>0.51966898314087162</v>
      </c>
      <c r="BS33" s="682">
        <f t="shared" si="65"/>
        <v>0.4813806165798119</v>
      </c>
      <c r="BT33" s="682">
        <f t="shared" si="65"/>
        <v>0.44704681450193595</v>
      </c>
      <c r="BU33" s="682">
        <f t="shared" si="65"/>
        <v>0.46059072822617192</v>
      </c>
      <c r="BV33" s="675">
        <f>(BV11+BV14+BV8-BV32)/(BV11+BV14+BV8)</f>
        <v>0.47276465520933975</v>
      </c>
      <c r="BW33" s="682">
        <f t="shared" si="65"/>
        <v>0.45721503223113008</v>
      </c>
      <c r="BX33" s="682">
        <f t="shared" si="65"/>
        <v>0.45537181358374873</v>
      </c>
      <c r="BY33" s="682">
        <f t="shared" si="65"/>
        <v>0.46478209279222932</v>
      </c>
      <c r="BZ33" s="682">
        <f t="shared" si="65"/>
        <v>0.4671932762930161</v>
      </c>
      <c r="CA33" s="675">
        <f>(CA11+CA14+CA8-CA32)/(CA11+CA14+CA8)</f>
        <v>0.46114279681369191</v>
      </c>
      <c r="CB33" s="682">
        <f t="shared" si="65"/>
        <v>0.4553166974792125</v>
      </c>
      <c r="CC33" s="682">
        <f t="shared" si="65"/>
        <v>0.47530098929168713</v>
      </c>
      <c r="CD33" s="682">
        <f t="shared" si="65"/>
        <v>0.48497889404812156</v>
      </c>
      <c r="CE33" s="682">
        <f t="shared" si="65"/>
        <v>0.4789830501185825</v>
      </c>
      <c r="CF33" s="675">
        <f>(CF11+CF14+CF8-CF32)/(CF11+CF14+CF8)</f>
        <v>0.47379499176238132</v>
      </c>
      <c r="CG33" s="682">
        <f t="shared" si="65"/>
        <v>0.46323296322993457</v>
      </c>
      <c r="CH33" s="682">
        <f>(CH11+CH14+CH8-CH32)/(CH11+CH14+CH8)</f>
        <v>0.47398923825009265</v>
      </c>
      <c r="CI33" s="682">
        <f>(CI11+CI14+CI8-CI32)/(CI11+CI14+CI8)</f>
        <v>0.46750970659251656</v>
      </c>
      <c r="CJ33" s="682">
        <f t="shared" ref="CJ33" si="66">(CJ11+CJ14+CJ8-CJ32)/(CJ11+CJ14+CJ8)</f>
        <v>0.46896130060058977</v>
      </c>
      <c r="CK33" s="675">
        <f t="shared" ref="CK33:CP33" si="67">(CK11+CK14+CK8-CK32)/(CK11+CK14+CK8)</f>
        <v>0.46848632934213308</v>
      </c>
      <c r="CL33" s="682">
        <f t="shared" si="67"/>
        <v>0.50217816758480716</v>
      </c>
      <c r="CM33" s="682">
        <f t="shared" si="67"/>
        <v>0.4977353640957955</v>
      </c>
      <c r="CN33" s="674">
        <f t="shared" si="67"/>
        <v>0.50452061393021375</v>
      </c>
      <c r="CO33" s="674">
        <f t="shared" si="67"/>
        <v>0.50629543774955155</v>
      </c>
      <c r="CP33" s="675">
        <f t="shared" si="67"/>
        <v>0.5026927877935079</v>
      </c>
      <c r="CQ33" s="683">
        <v>0.52</v>
      </c>
      <c r="CR33" s="683">
        <v>0.51500000000000001</v>
      </c>
      <c r="CS33" s="683">
        <v>0.52</v>
      </c>
      <c r="CT33" s="683">
        <v>0.52500000000000002</v>
      </c>
      <c r="CU33" s="675">
        <f>(CU11+CU14+CU8-CU32)/(CU11+CU14+CU8)</f>
        <v>0.51999080442195267</v>
      </c>
      <c r="CV33" s="674"/>
      <c r="CW33" s="661">
        <f>1540-1510</f>
        <v>30</v>
      </c>
      <c r="CX33" s="661"/>
      <c r="CY33" s="661"/>
      <c r="CZ33" s="643"/>
      <c r="DA33" s="642"/>
      <c r="DB33" s="642"/>
      <c r="DC33" s="642"/>
      <c r="DD33" s="642"/>
      <c r="DE33" s="642"/>
      <c r="DF33" s="642"/>
      <c r="DG33" s="643"/>
      <c r="DH33" s="643"/>
      <c r="DI33" s="643"/>
    </row>
    <row r="34" spans="1:117" s="83" customFormat="1" ht="18" customHeight="1">
      <c r="A34" s="81"/>
      <c r="B34" s="82" t="s">
        <v>55</v>
      </c>
      <c r="C34" s="60"/>
      <c r="D34" s="62">
        <v>14467</v>
      </c>
      <c r="E34" s="60">
        <v>3167</v>
      </c>
      <c r="F34" s="60">
        <v>3004</v>
      </c>
      <c r="G34" s="60">
        <v>3098</v>
      </c>
      <c r="H34" s="60">
        <f>I34-G34-F34-E34</f>
        <v>2982</v>
      </c>
      <c r="I34" s="62">
        <v>12251</v>
      </c>
      <c r="J34" s="60">
        <v>3363</v>
      </c>
      <c r="K34" s="60">
        <v>2997</v>
      </c>
      <c r="L34" s="60">
        <v>2851</v>
      </c>
      <c r="M34" s="60">
        <f>N34-L34-K34-J34</f>
        <v>2307</v>
      </c>
      <c r="N34" s="62">
        <v>11518</v>
      </c>
      <c r="O34" s="60">
        <v>2877</v>
      </c>
      <c r="P34" s="60">
        <v>3131</v>
      </c>
      <c r="Q34" s="60">
        <v>3434</v>
      </c>
      <c r="R34" s="60">
        <v>3468</v>
      </c>
      <c r="S34" s="62">
        <f>SUM(O34:R34)</f>
        <v>12910</v>
      </c>
      <c r="T34" s="60">
        <v>3824</v>
      </c>
      <c r="U34" s="60">
        <v>3702</v>
      </c>
      <c r="V34" s="60">
        <v>3776</v>
      </c>
      <c r="W34" s="60">
        <v>3248</v>
      </c>
      <c r="X34" s="62">
        <f>SUM(T34:W34)</f>
        <v>14550</v>
      </c>
      <c r="Y34" s="60">
        <v>3796</v>
      </c>
      <c r="Z34" s="81">
        <v>3876</v>
      </c>
      <c r="AA34" s="81">
        <v>3598</v>
      </c>
      <c r="AB34" s="81">
        <v>3619</v>
      </c>
      <c r="AC34" s="20">
        <f t="shared" si="61"/>
        <v>14889</v>
      </c>
      <c r="AD34" s="81">
        <v>3799</v>
      </c>
      <c r="AE34" s="81">
        <v>3418</v>
      </c>
      <c r="AF34" s="81">
        <v>3360</v>
      </c>
      <c r="AG34" s="81">
        <v>3232</v>
      </c>
      <c r="AH34" s="23">
        <f t="shared" si="62"/>
        <v>13809</v>
      </c>
      <c r="AI34" s="81">
        <v>3311</v>
      </c>
      <c r="AJ34" s="81">
        <v>3665</v>
      </c>
      <c r="AK34" s="81">
        <v>3764</v>
      </c>
      <c r="AL34" s="81">
        <v>3544</v>
      </c>
      <c r="AM34" s="23">
        <f>SUM(AI34:AL34)</f>
        <v>14284</v>
      </c>
      <c r="AN34" s="81">
        <v>4135</v>
      </c>
      <c r="AO34" s="81">
        <v>4278</v>
      </c>
      <c r="AP34" s="81">
        <v>3984</v>
      </c>
      <c r="AQ34" s="81">
        <v>3525</v>
      </c>
      <c r="AR34" s="23">
        <f>SUM(AN34:AQ34)</f>
        <v>15922</v>
      </c>
      <c r="AS34" s="81">
        <v>3962</v>
      </c>
      <c r="AT34" s="81">
        <v>4458</v>
      </c>
      <c r="AU34" s="81">
        <v>4053</v>
      </c>
      <c r="AV34" s="81">
        <v>3938</v>
      </c>
      <c r="AW34" s="23">
        <f>SUM(AS34:AV34)</f>
        <v>16411</v>
      </c>
      <c r="AX34" s="81">
        <v>4197</v>
      </c>
      <c r="AY34" s="81">
        <v>4282</v>
      </c>
      <c r="AZ34" s="81">
        <v>4089</v>
      </c>
      <c r="BA34" s="81">
        <v>3718</v>
      </c>
      <c r="BB34" s="23">
        <f>SUM(AX34:BA34)</f>
        <v>16286</v>
      </c>
      <c r="BC34" s="81">
        <v>3781</v>
      </c>
      <c r="BD34" s="12">
        <v>3568</v>
      </c>
      <c r="BE34" s="81">
        <f>3505</f>
        <v>3505</v>
      </c>
      <c r="BF34" s="81">
        <f>3445</f>
        <v>3445</v>
      </c>
      <c r="BG34" s="23">
        <f>SUM(BC34:BF34)</f>
        <v>14299</v>
      </c>
      <c r="BH34" s="81">
        <v>3452</v>
      </c>
      <c r="BI34" s="81">
        <f>3758</f>
        <v>3758</v>
      </c>
      <c r="BJ34" s="81">
        <f>4096</f>
        <v>4096</v>
      </c>
      <c r="BK34" s="81">
        <f>4031</f>
        <v>4031</v>
      </c>
      <c r="BL34" s="23">
        <f>SUM(BH34:BK34)</f>
        <v>15337</v>
      </c>
      <c r="BM34" s="12">
        <v>4385</v>
      </c>
      <c r="BN34" s="81">
        <f>3976</f>
        <v>3976</v>
      </c>
      <c r="BO34" s="81">
        <f>3434</f>
        <v>3434</v>
      </c>
      <c r="BP34" s="81">
        <f>4150</f>
        <v>4150</v>
      </c>
      <c r="BQ34" s="23">
        <f>SUM(BM34:BP34)</f>
        <v>15945</v>
      </c>
      <c r="BR34" s="81">
        <f>4617</f>
        <v>4617</v>
      </c>
      <c r="BS34" s="81">
        <v>4429</v>
      </c>
      <c r="BT34" s="81">
        <f>4506</f>
        <v>4506</v>
      </c>
      <c r="BU34" s="81">
        <f>5509</f>
        <v>5509</v>
      </c>
      <c r="BV34" s="23">
        <f>SUM(BR34:BU34)</f>
        <v>19061</v>
      </c>
      <c r="BW34" s="81">
        <f>5936</f>
        <v>5936</v>
      </c>
      <c r="BX34" s="81">
        <f>5976</f>
        <v>5976</v>
      </c>
      <c r="BY34" s="81">
        <v>5783</v>
      </c>
      <c r="BZ34" s="81">
        <f>6293</f>
        <v>6293</v>
      </c>
      <c r="CA34" s="23">
        <f>SUM(BW34:BZ34)</f>
        <v>23988</v>
      </c>
      <c r="CB34" s="81"/>
      <c r="CC34" s="81"/>
      <c r="CD34" s="81"/>
      <c r="CE34" s="81"/>
      <c r="CF34" s="23"/>
      <c r="CG34" s="81"/>
      <c r="CH34" s="81"/>
      <c r="CI34" s="81"/>
      <c r="CJ34" s="81"/>
      <c r="CK34" s="23"/>
      <c r="CL34" s="81"/>
      <c r="CM34" s="81"/>
      <c r="CN34" s="81"/>
      <c r="CO34" s="81"/>
      <c r="CP34" s="23"/>
      <c r="CQ34" s="81"/>
      <c r="CR34" s="81"/>
      <c r="CS34" s="81"/>
      <c r="CT34" s="81"/>
      <c r="CU34" s="23"/>
      <c r="CV34" s="22"/>
      <c r="CW34" s="71">
        <f>1510+15</f>
        <v>1525</v>
      </c>
      <c r="CX34" s="71"/>
      <c r="CY34" s="71">
        <f>2335+2360</f>
        <v>4695</v>
      </c>
      <c r="CZ34" s="375"/>
      <c r="DA34" s="68"/>
      <c r="DB34" s="68"/>
      <c r="DC34" s="68"/>
      <c r="DD34" s="68"/>
      <c r="DE34" s="68"/>
      <c r="DF34" s="68"/>
      <c r="DG34" s="375"/>
      <c r="DH34" s="375"/>
      <c r="DI34" s="375"/>
    </row>
    <row r="35" spans="1:117" s="633" customFormat="1" ht="11.65" customHeight="1">
      <c r="A35" s="627"/>
      <c r="B35" s="673"/>
      <c r="C35" s="674" t="s">
        <v>25</v>
      </c>
      <c r="D35" s="675">
        <f>(D17-D34)/D17</f>
        <v>0.32137161084529503</v>
      </c>
      <c r="E35" s="673">
        <f t="shared" ref="E35:AQ35" si="68">(E17-E34)/E17</f>
        <v>0.30881711043212573</v>
      </c>
      <c r="F35" s="674">
        <f t="shared" si="68"/>
        <v>0.31384193695751483</v>
      </c>
      <c r="G35" s="674">
        <f t="shared" si="68"/>
        <v>0.41425600302514654</v>
      </c>
      <c r="H35" s="674">
        <f t="shared" si="68"/>
        <v>0.38502784079191588</v>
      </c>
      <c r="I35" s="675">
        <f t="shared" si="68"/>
        <v>0.35851921667190284</v>
      </c>
      <c r="J35" s="674">
        <f t="shared" si="68"/>
        <v>0.31255110384300899</v>
      </c>
      <c r="K35" s="674">
        <f t="shared" si="68"/>
        <v>0.40700435298773247</v>
      </c>
      <c r="L35" s="674">
        <f t="shared" si="68"/>
        <v>0.3923699914748508</v>
      </c>
      <c r="M35" s="674">
        <f t="shared" si="68"/>
        <v>0.43759141882008779</v>
      </c>
      <c r="N35" s="675">
        <f t="shared" si="68"/>
        <v>0.38537886872998933</v>
      </c>
      <c r="O35" s="674">
        <f t="shared" si="68"/>
        <v>0.3270175438596491</v>
      </c>
      <c r="P35" s="674">
        <f t="shared" si="68"/>
        <v>0.36426395939086292</v>
      </c>
      <c r="Q35" s="674">
        <f t="shared" si="68"/>
        <v>0.38809693513898791</v>
      </c>
      <c r="R35" s="674">
        <f t="shared" si="68"/>
        <v>0.39602925809822359</v>
      </c>
      <c r="S35" s="675">
        <f t="shared" si="68"/>
        <v>0.37189841393402745</v>
      </c>
      <c r="T35" s="674">
        <f t="shared" si="68"/>
        <v>0.38292722284976599</v>
      </c>
      <c r="U35" s="674">
        <f t="shared" si="68"/>
        <v>0.38166026390512775</v>
      </c>
      <c r="V35" s="674">
        <f t="shared" si="68"/>
        <v>0.34455823641728867</v>
      </c>
      <c r="W35" s="674">
        <f t="shared" si="68"/>
        <v>0.38519780427787242</v>
      </c>
      <c r="X35" s="675">
        <f t="shared" si="68"/>
        <v>0.37360082658859994</v>
      </c>
      <c r="Y35" s="674">
        <f t="shared" si="68"/>
        <v>0.3319253783878916</v>
      </c>
      <c r="Z35" s="674">
        <f t="shared" si="68"/>
        <v>0.32836596776988392</v>
      </c>
      <c r="AA35" s="674">
        <f t="shared" si="68"/>
        <v>0.35681086878798712</v>
      </c>
      <c r="AB35" s="674">
        <f t="shared" si="68"/>
        <v>0.34152110625909754</v>
      </c>
      <c r="AC35" s="675">
        <f>(AC17-AC34)/AC17</f>
        <v>0.3395289003238256</v>
      </c>
      <c r="AD35" s="674">
        <f t="shared" si="68"/>
        <v>0.32051511357538903</v>
      </c>
      <c r="AE35" s="674">
        <f t="shared" si="68"/>
        <v>0.32397151898734178</v>
      </c>
      <c r="AF35" s="674">
        <f t="shared" si="68"/>
        <v>0.3547148069905896</v>
      </c>
      <c r="AG35" s="674">
        <f t="shared" si="68"/>
        <v>0.34982900824783747</v>
      </c>
      <c r="AH35" s="675">
        <f>(AH17-AH34)/AH17</f>
        <v>0.33690276110444178</v>
      </c>
      <c r="AI35" s="674">
        <f t="shared" si="68"/>
        <v>0.31746031746031744</v>
      </c>
      <c r="AJ35" s="674">
        <f t="shared" si="68"/>
        <v>0.32678177810433506</v>
      </c>
      <c r="AK35" s="674">
        <f t="shared" si="68"/>
        <v>0.35125818683212684</v>
      </c>
      <c r="AL35" s="674">
        <f t="shared" si="68"/>
        <v>0.3787905346187555</v>
      </c>
      <c r="AM35" s="675">
        <f>(AM17-AM34)/AM17</f>
        <v>0.34483074947252546</v>
      </c>
      <c r="AN35" s="674">
        <f t="shared" si="68"/>
        <v>0.32090655280013136</v>
      </c>
      <c r="AO35" s="674">
        <f t="shared" si="68"/>
        <v>0.36063368704229565</v>
      </c>
      <c r="AP35" s="674">
        <f t="shared" si="68"/>
        <v>0.39240506329113922</v>
      </c>
      <c r="AQ35" s="674">
        <f t="shared" si="68"/>
        <v>0.38460195530726254</v>
      </c>
      <c r="AR35" s="675">
        <f t="shared" ref="AR35:BA35" si="69">(AR17-AR34)/AR17</f>
        <v>0.36477159385597446</v>
      </c>
      <c r="AS35" s="673">
        <f t="shared" si="69"/>
        <v>0.39585239402256783</v>
      </c>
      <c r="AT35" s="674">
        <f t="shared" si="69"/>
        <v>0.36168384879725085</v>
      </c>
      <c r="AU35" s="674">
        <f t="shared" si="69"/>
        <v>0.38036997401009021</v>
      </c>
      <c r="AV35" s="674">
        <f t="shared" si="69"/>
        <v>0.36524822695035464</v>
      </c>
      <c r="AW35" s="675">
        <f t="shared" si="69"/>
        <v>0.37569901472210598</v>
      </c>
      <c r="AX35" s="673">
        <f t="shared" si="69"/>
        <v>0.36524500907441015</v>
      </c>
      <c r="AY35" s="674">
        <f t="shared" si="69"/>
        <v>0.32736412189758091</v>
      </c>
      <c r="AZ35" s="674">
        <f t="shared" si="69"/>
        <v>0.34992050874403818</v>
      </c>
      <c r="BA35" s="674">
        <f t="shared" si="69"/>
        <v>0.35395308427454386</v>
      </c>
      <c r="BB35" s="675">
        <f t="shared" ref="BB35:BZ35" si="70">(BB17-BB34)/BB17</f>
        <v>0.34915877392798628</v>
      </c>
      <c r="BC35" s="673">
        <f t="shared" si="70"/>
        <v>0.29903596588802372</v>
      </c>
      <c r="BD35" s="627">
        <f t="shared" si="70"/>
        <v>0.35502530730296455</v>
      </c>
      <c r="BE35" s="627">
        <f t="shared" si="70"/>
        <v>0.36778499278499277</v>
      </c>
      <c r="BF35" s="627">
        <f t="shared" si="70"/>
        <v>0.35918898809523808</v>
      </c>
      <c r="BG35" s="675">
        <f>(BG17-BG34)/BG17</f>
        <v>0.3454637004485947</v>
      </c>
      <c r="BH35" s="627">
        <f t="shared" si="70"/>
        <v>0.33793632527809742</v>
      </c>
      <c r="BI35" s="627">
        <f t="shared" si="70"/>
        <v>0.39708005775709931</v>
      </c>
      <c r="BJ35" s="627">
        <f t="shared" si="70"/>
        <v>0.31824234354194408</v>
      </c>
      <c r="BK35" s="627">
        <f t="shared" si="70"/>
        <v>0.33084329349269587</v>
      </c>
      <c r="BL35" s="675">
        <f>(BL17-BL34)/BL17</f>
        <v>0.34677797180459136</v>
      </c>
      <c r="BM35" s="627">
        <f t="shared" si="70"/>
        <v>0.23911157383307305</v>
      </c>
      <c r="BN35" s="627">
        <f t="shared" si="70"/>
        <v>0.15332197614991483</v>
      </c>
      <c r="BO35" s="627">
        <f t="shared" si="70"/>
        <v>0.36336670374490176</v>
      </c>
      <c r="BP35" s="627">
        <f t="shared" si="70"/>
        <v>0.21312097080015169</v>
      </c>
      <c r="BQ35" s="675">
        <f>(BQ17-BQ34)/BQ17</f>
        <v>0.24527855350972688</v>
      </c>
      <c r="BR35" s="627">
        <f t="shared" si="70"/>
        <v>0.28584686774941998</v>
      </c>
      <c r="BS35" s="627">
        <f t="shared" si="70"/>
        <v>0.29305666400638469</v>
      </c>
      <c r="BT35" s="627">
        <f t="shared" si="70"/>
        <v>0.36943744752308982</v>
      </c>
      <c r="BU35" s="627">
        <f t="shared" si="70"/>
        <v>0.30371587462082911</v>
      </c>
      <c r="BV35" s="675">
        <f>(BV17-BV34)/BV17</f>
        <v>0.31405642723477761</v>
      </c>
      <c r="BW35" s="627">
        <f t="shared" si="70"/>
        <v>0.30312279877905612</v>
      </c>
      <c r="BX35" s="627">
        <f t="shared" si="70"/>
        <v>0.3218338629142079</v>
      </c>
      <c r="BY35" s="627">
        <f t="shared" si="70"/>
        <v>0.33051632322296826</v>
      </c>
      <c r="BZ35" s="627">
        <f t="shared" si="70"/>
        <v>0.26311475409836066</v>
      </c>
      <c r="CA35" s="675">
        <f>(CA17-CA34)/CA17</f>
        <v>0.304856844789614</v>
      </c>
      <c r="CB35" s="676"/>
      <c r="CC35" s="676"/>
      <c r="CD35" s="676"/>
      <c r="CE35" s="676"/>
      <c r="CF35" s="675"/>
      <c r="CG35" s="676"/>
      <c r="CH35" s="676"/>
      <c r="CI35" s="676"/>
      <c r="CJ35" s="676"/>
      <c r="CK35" s="675"/>
      <c r="CL35" s="676"/>
      <c r="CM35" s="676"/>
      <c r="CN35" s="676"/>
      <c r="CO35" s="676"/>
      <c r="CP35" s="675"/>
      <c r="CQ35" s="676"/>
      <c r="CR35" s="676"/>
      <c r="CS35" s="676"/>
      <c r="CT35" s="676"/>
      <c r="CU35" s="675"/>
      <c r="CV35" s="674"/>
      <c r="CW35" s="661"/>
      <c r="CX35" s="661"/>
      <c r="CY35" s="1024">
        <f>CY34/2</f>
        <v>2347.5</v>
      </c>
      <c r="CZ35" s="643"/>
      <c r="DA35" s="642"/>
      <c r="DB35" s="641"/>
      <c r="DC35" s="641"/>
      <c r="DD35" s="641"/>
      <c r="DE35" s="641"/>
      <c r="DF35" s="642"/>
      <c r="DG35" s="643"/>
      <c r="DH35" s="643"/>
      <c r="DI35" s="643"/>
    </row>
    <row r="36" spans="1:117" s="83" customFormat="1" ht="18" customHeight="1">
      <c r="A36" s="85"/>
      <c r="B36" s="82" t="s">
        <v>56</v>
      </c>
      <c r="C36" s="84"/>
      <c r="D36" s="62">
        <v>5679</v>
      </c>
      <c r="E36" s="60">
        <v>1298</v>
      </c>
      <c r="F36" s="60">
        <v>1328</v>
      </c>
      <c r="G36" s="60">
        <v>1058</v>
      </c>
      <c r="H36" s="60">
        <f>I36-G36-F36-E36</f>
        <v>2109</v>
      </c>
      <c r="I36" s="62">
        <v>5793</v>
      </c>
      <c r="J36" s="60">
        <v>1232</v>
      </c>
      <c r="K36" s="60">
        <v>1213</v>
      </c>
      <c r="L36" s="60">
        <v>1252</v>
      </c>
      <c r="M36" s="60">
        <f>N36-L36-K36-J36</f>
        <v>2258</v>
      </c>
      <c r="N36" s="62">
        <v>5955</v>
      </c>
      <c r="O36" s="60">
        <v>938</v>
      </c>
      <c r="P36" s="60">
        <v>1149</v>
      </c>
      <c r="Q36" s="60">
        <v>1110</v>
      </c>
      <c r="R36" s="60">
        <v>1071</v>
      </c>
      <c r="S36" s="62">
        <f>SUM(O36:R36)</f>
        <v>4268</v>
      </c>
      <c r="T36" s="60">
        <v>676</v>
      </c>
      <c r="U36" s="60">
        <v>2161</v>
      </c>
      <c r="V36" s="60">
        <v>808</v>
      </c>
      <c r="W36" s="60">
        <v>1349</v>
      </c>
      <c r="X36" s="62">
        <f>SUM(T36:W36)</f>
        <v>4994</v>
      </c>
      <c r="Y36" s="60">
        <v>719</v>
      </c>
      <c r="Z36" s="81">
        <v>2709</v>
      </c>
      <c r="AA36" s="81">
        <v>882</v>
      </c>
      <c r="AB36" s="81">
        <v>948</v>
      </c>
      <c r="AC36" s="20">
        <f t="shared" si="61"/>
        <v>5258</v>
      </c>
      <c r="AD36" s="81">
        <v>798</v>
      </c>
      <c r="AE36" s="81">
        <v>2580</v>
      </c>
      <c r="AF36" s="81">
        <v>1230</v>
      </c>
      <c r="AG36" s="81">
        <v>951</v>
      </c>
      <c r="AH36" s="23">
        <f t="shared" si="62"/>
        <v>5559</v>
      </c>
      <c r="AI36" s="81">
        <v>774</v>
      </c>
      <c r="AJ36" s="81">
        <v>3087</v>
      </c>
      <c r="AK36" s="81">
        <v>667</v>
      </c>
      <c r="AL36" s="81">
        <v>797</v>
      </c>
      <c r="AM36" s="23">
        <f>SUM(AI36:AL36)</f>
        <v>5325</v>
      </c>
      <c r="AN36" s="81">
        <v>566</v>
      </c>
      <c r="AO36" s="81">
        <v>3147</v>
      </c>
      <c r="AP36" s="81">
        <v>1565</v>
      </c>
      <c r="AQ36" s="81">
        <v>1223</v>
      </c>
      <c r="AR36" s="23">
        <f>SUM(AN36:AQ36)</f>
        <v>6501</v>
      </c>
      <c r="AS36" s="81">
        <v>1846</v>
      </c>
      <c r="AT36" s="81">
        <v>4515</v>
      </c>
      <c r="AU36" s="81">
        <v>2120</v>
      </c>
      <c r="AV36" s="81">
        <v>1662</v>
      </c>
      <c r="AW36" s="23">
        <f>SUM(AS36:AV36)</f>
        <v>10143</v>
      </c>
      <c r="AX36" s="81">
        <v>1316</v>
      </c>
      <c r="AY36" s="81">
        <v>6799</v>
      </c>
      <c r="AZ36" s="81">
        <v>2293</v>
      </c>
      <c r="BA36" s="81">
        <v>2187</v>
      </c>
      <c r="BB36" s="23">
        <f>SUM(AX36:BA36)</f>
        <v>12595</v>
      </c>
      <c r="BC36" s="81">
        <v>2343</v>
      </c>
      <c r="BD36" s="12">
        <v>6801</v>
      </c>
      <c r="BE36" s="81">
        <f>2574</f>
        <v>2574</v>
      </c>
      <c r="BF36" s="81">
        <f>3990</f>
        <v>3990</v>
      </c>
      <c r="BG36" s="23">
        <f>SUM(BC36:BF36)</f>
        <v>15708</v>
      </c>
      <c r="BH36" s="81">
        <v>2906</v>
      </c>
      <c r="BI36" s="81">
        <f>8868</f>
        <v>8868</v>
      </c>
      <c r="BJ36" s="81">
        <f>3096</f>
        <v>3096</v>
      </c>
      <c r="BK36" s="81">
        <f>2602</f>
        <v>2602</v>
      </c>
      <c r="BL36" s="23">
        <f>SUM(BH36:BK36)</f>
        <v>17472</v>
      </c>
      <c r="BM36" s="12">
        <v>2479</v>
      </c>
      <c r="BN36" s="81">
        <f>2489</f>
        <v>2489</v>
      </c>
      <c r="BO36" s="81">
        <f>3780</f>
        <v>3780</v>
      </c>
      <c r="BP36" s="81">
        <f>3653</f>
        <v>3653</v>
      </c>
      <c r="BQ36" s="23">
        <f>SUM(BM36:BP36)</f>
        <v>12401</v>
      </c>
      <c r="BR36" s="81">
        <f>2458</f>
        <v>2458</v>
      </c>
      <c r="BS36" s="81">
        <v>4623</v>
      </c>
      <c r="BT36" s="81">
        <f>2764</f>
        <v>2764</v>
      </c>
      <c r="BU36" s="81">
        <f>3101</f>
        <v>3101</v>
      </c>
      <c r="BV36" s="23">
        <f>SUM(BR36:BU36)</f>
        <v>12946</v>
      </c>
      <c r="BW36" s="81">
        <f>5028</f>
        <v>5028</v>
      </c>
      <c r="BX36" s="81">
        <f>8161</f>
        <v>8161</v>
      </c>
      <c r="BY36" s="81">
        <f>6033</f>
        <v>6033</v>
      </c>
      <c r="BZ36" s="81">
        <f>4453</f>
        <v>4453</v>
      </c>
      <c r="CA36" s="23">
        <f>SUM(BW36:BZ36)</f>
        <v>23675</v>
      </c>
      <c r="CB36" s="81">
        <f>5780</f>
        <v>5780</v>
      </c>
      <c r="CC36" s="81">
        <v>11061</v>
      </c>
      <c r="CD36" s="81">
        <f>6505</f>
        <v>6505</v>
      </c>
      <c r="CE36" s="81">
        <f>6577</f>
        <v>6577</v>
      </c>
      <c r="CF36" s="23">
        <f>SUM(CB36:CE36)</f>
        <v>29923</v>
      </c>
      <c r="CG36" s="81">
        <v>4656</v>
      </c>
      <c r="CH36" s="81">
        <v>10731</v>
      </c>
      <c r="CI36" s="81">
        <v>6052</v>
      </c>
      <c r="CJ36" s="81">
        <f>5778</f>
        <v>5778</v>
      </c>
      <c r="CK36" s="23">
        <f>SUM(CG36:CJ36)</f>
        <v>27217</v>
      </c>
      <c r="CL36" s="81">
        <f>3448</f>
        <v>3448</v>
      </c>
      <c r="CM36" s="81">
        <f>13675</f>
        <v>13675</v>
      </c>
      <c r="CN36" s="81">
        <f>8117</f>
        <v>8117</v>
      </c>
      <c r="CO36" s="81">
        <f>6407</f>
        <v>6407</v>
      </c>
      <c r="CP36" s="23">
        <f>SUM(CL36:CO36)</f>
        <v>31647</v>
      </c>
      <c r="CQ36" s="81">
        <f>(1-CQ37)*CQ20</f>
        <v>6000</v>
      </c>
      <c r="CR36" s="81">
        <f>(1-CR37)*CR20</f>
        <v>10875</v>
      </c>
      <c r="CS36" s="81">
        <f>(1-CS37)*CS20</f>
        <v>5100</v>
      </c>
      <c r="CT36" s="81">
        <f>(1-CT37)*CT20</f>
        <v>4500</v>
      </c>
      <c r="CU36" s="23">
        <f>SUM(CQ36:CT36)</f>
        <v>26475</v>
      </c>
      <c r="CV36" s="22"/>
      <c r="CW36" s="71"/>
      <c r="CX36" s="71"/>
      <c r="CY36" s="71"/>
      <c r="CZ36" s="375"/>
      <c r="DA36" s="68"/>
      <c r="DB36" s="205"/>
      <c r="DC36" s="205"/>
      <c r="DD36" s="205"/>
      <c r="DE36" s="205"/>
      <c r="DF36" s="68"/>
      <c r="DG36" s="204"/>
      <c r="DH36" s="204"/>
      <c r="DI36" s="204"/>
    </row>
    <row r="37" spans="1:117" s="633" customFormat="1" ht="11.65" customHeight="1">
      <c r="A37" s="627"/>
      <c r="B37" s="673"/>
      <c r="C37" s="674" t="s">
        <v>25</v>
      </c>
      <c r="D37" s="675">
        <f>(D20-D36)/D20</f>
        <v>0.22365003417634996</v>
      </c>
      <c r="E37" s="673">
        <f t="shared" ref="E37:AQ37" si="71">(E20-E36)/E20</f>
        <v>0.26291879613855762</v>
      </c>
      <c r="F37" s="674">
        <f t="shared" si="71"/>
        <v>0.27272727272727271</v>
      </c>
      <c r="G37" s="674">
        <f t="shared" si="71"/>
        <v>0.29325317301269205</v>
      </c>
      <c r="H37" s="674">
        <f t="shared" si="71"/>
        <v>0.18884615384615386</v>
      </c>
      <c r="I37" s="675">
        <f t="shared" si="71"/>
        <v>0.24609578344612182</v>
      </c>
      <c r="J37" s="674">
        <f t="shared" si="71"/>
        <v>0.21578612348822407</v>
      </c>
      <c r="K37" s="674">
        <f t="shared" si="71"/>
        <v>0.18699731903485256</v>
      </c>
      <c r="L37" s="674">
        <f t="shared" si="71"/>
        <v>0.29977628635346754</v>
      </c>
      <c r="M37" s="674">
        <f t="shared" si="71"/>
        <v>8.4347120843471207E-2</v>
      </c>
      <c r="N37" s="675">
        <f t="shared" si="71"/>
        <v>0.18614186141861419</v>
      </c>
      <c r="O37" s="674">
        <f t="shared" si="71"/>
        <v>0.31582786287381476</v>
      </c>
      <c r="P37" s="674">
        <f t="shared" si="71"/>
        <v>0.18798586572438161</v>
      </c>
      <c r="Q37" s="674">
        <f t="shared" si="71"/>
        <v>0.22377622377622378</v>
      </c>
      <c r="R37" s="674">
        <f t="shared" si="71"/>
        <v>0.35169491525423729</v>
      </c>
      <c r="S37" s="675">
        <f t="shared" si="71"/>
        <v>0.27266530334014999</v>
      </c>
      <c r="T37" s="674">
        <f t="shared" si="71"/>
        <v>0.40388007054673719</v>
      </c>
      <c r="U37" s="674">
        <f t="shared" si="71"/>
        <v>-2.1749408983451537E-2</v>
      </c>
      <c r="V37" s="674">
        <f t="shared" si="71"/>
        <v>0.29616724738675959</v>
      </c>
      <c r="W37" s="674">
        <f t="shared" si="71"/>
        <v>0.28887717448603056</v>
      </c>
      <c r="X37" s="675">
        <f t="shared" si="71"/>
        <v>0.20654591674610739</v>
      </c>
      <c r="Y37" s="674">
        <f t="shared" si="71"/>
        <v>0.36371681415929202</v>
      </c>
      <c r="Z37" s="674">
        <f t="shared" si="71"/>
        <v>4.1061946902654869E-2</v>
      </c>
      <c r="AA37" s="674">
        <f t="shared" si="71"/>
        <v>0.36637931034482757</v>
      </c>
      <c r="AB37" s="674">
        <f t="shared" si="71"/>
        <v>0.41081417029210687</v>
      </c>
      <c r="AC37" s="675">
        <f>(AC20-AC36)/AC20</f>
        <v>0.24410580793559516</v>
      </c>
      <c r="AD37" s="674">
        <f t="shared" si="71"/>
        <v>0.42754662840746055</v>
      </c>
      <c r="AE37" s="674">
        <f t="shared" si="71"/>
        <v>0.23099850968703428</v>
      </c>
      <c r="AF37" s="674">
        <f t="shared" si="71"/>
        <v>0.37052200614124869</v>
      </c>
      <c r="AG37" s="674">
        <f t="shared" si="71"/>
        <v>0.33169360505973294</v>
      </c>
      <c r="AH37" s="675">
        <f>(AH20-AH36)/AH20</f>
        <v>0.31589958158995818</v>
      </c>
      <c r="AI37" s="674">
        <f t="shared" si="71"/>
        <v>0.4801880456682337</v>
      </c>
      <c r="AJ37" s="674">
        <f t="shared" si="71"/>
        <v>0.19420516836335161</v>
      </c>
      <c r="AK37" s="674">
        <f t="shared" si="71"/>
        <v>0.37663551401869161</v>
      </c>
      <c r="AL37" s="674">
        <f t="shared" si="71"/>
        <v>0.46112237998647737</v>
      </c>
      <c r="AM37" s="675">
        <f>(AM20-AM36)/AM20</f>
        <v>0.32329393823865804</v>
      </c>
      <c r="AN37" s="674">
        <f t="shared" si="71"/>
        <v>0.50219876868953384</v>
      </c>
      <c r="AO37" s="674">
        <f t="shared" si="71"/>
        <v>0.2216176106851348</v>
      </c>
      <c r="AP37" s="674">
        <f t="shared" si="71"/>
        <v>0.27073625349487418</v>
      </c>
      <c r="AQ37" s="674">
        <f t="shared" si="71"/>
        <v>0.46849196001738375</v>
      </c>
      <c r="AR37" s="675">
        <f t="shared" ref="AR37:BA37" si="72">(AR20-AR36)/AR20</f>
        <v>0.32471174820816456</v>
      </c>
      <c r="AS37" s="673">
        <f t="shared" si="72"/>
        <v>0.44631073785242953</v>
      </c>
      <c r="AT37" s="674">
        <f t="shared" si="72"/>
        <v>0.20594442490327119</v>
      </c>
      <c r="AU37" s="674">
        <f t="shared" si="72"/>
        <v>0.37993565369991228</v>
      </c>
      <c r="AV37" s="674">
        <f t="shared" si="72"/>
        <v>0.34437869822485206</v>
      </c>
      <c r="AW37" s="675">
        <f t="shared" si="72"/>
        <v>0.32262588486710297</v>
      </c>
      <c r="AX37" s="673">
        <f t="shared" si="72"/>
        <v>0.51759530791788855</v>
      </c>
      <c r="AY37" s="674">
        <f t="shared" si="72"/>
        <v>0.14143199898977143</v>
      </c>
      <c r="AZ37" s="674">
        <f t="shared" si="72"/>
        <v>0.32756598240469209</v>
      </c>
      <c r="BA37" s="674">
        <f t="shared" si="72"/>
        <v>0.40245901639344261</v>
      </c>
      <c r="BB37" s="675">
        <f t="shared" ref="BB37:BS37" si="73">(BB20-BB36)/BB20</f>
        <v>0.28910086357735509</v>
      </c>
      <c r="BC37" s="673">
        <f t="shared" si="73"/>
        <v>0.43405797101449273</v>
      </c>
      <c r="BD37" s="627">
        <f t="shared" si="73"/>
        <v>0.18735810730075278</v>
      </c>
      <c r="BE37" s="627">
        <f t="shared" si="73"/>
        <v>0.48167539267015708</v>
      </c>
      <c r="BF37" s="627">
        <f t="shared" si="73"/>
        <v>0.35468219311014071</v>
      </c>
      <c r="BG37" s="675">
        <f>(BG20-BG36)/BG20</f>
        <v>0.33603854932792288</v>
      </c>
      <c r="BH37" s="627">
        <f t="shared" si="73"/>
        <v>0.30627834805442827</v>
      </c>
      <c r="BI37" s="627">
        <f t="shared" si="73"/>
        <v>0.16740212186649142</v>
      </c>
      <c r="BJ37" s="627">
        <f t="shared" si="73"/>
        <v>0.2083866018920992</v>
      </c>
      <c r="BK37" s="627">
        <f t="shared" si="73"/>
        <v>0.38934522412579209</v>
      </c>
      <c r="BL37" s="675">
        <f>(BL20-BL36)/BL20</f>
        <v>0.24074395967321396</v>
      </c>
      <c r="BM37" s="627">
        <f t="shared" si="73"/>
        <v>0.35104712041884817</v>
      </c>
      <c r="BN37" s="627">
        <f t="shared" si="73"/>
        <v>0.24984930681133213</v>
      </c>
      <c r="BO37" s="627">
        <f t="shared" si="73"/>
        <v>0.27307692307692305</v>
      </c>
      <c r="BP37" s="627">
        <f t="shared" si="73"/>
        <v>0.33144216691068812</v>
      </c>
      <c r="BQ37" s="675">
        <f>(BQ20-BQ36)/BQ20</f>
        <v>0.30339287720480845</v>
      </c>
      <c r="BR37" s="627">
        <f t="shared" si="73"/>
        <v>0.4109753175173736</v>
      </c>
      <c r="BS37" s="627">
        <f t="shared" si="73"/>
        <v>0.39882964889466838</v>
      </c>
      <c r="BT37" s="627">
        <f t="shared" ref="BT37:CG37" si="74">(BT20-BT36)/BT20</f>
        <v>0.4062298603651987</v>
      </c>
      <c r="BU37" s="627">
        <f t="shared" si="74"/>
        <v>0.42743722304283605</v>
      </c>
      <c r="BV37" s="675">
        <f t="shared" si="74"/>
        <v>0.40977477888210084</v>
      </c>
      <c r="BW37" s="627">
        <f t="shared" si="74"/>
        <v>0.29332396345748418</v>
      </c>
      <c r="BX37" s="627">
        <f t="shared" si="74"/>
        <v>0.10397452788757136</v>
      </c>
      <c r="BY37" s="627">
        <f t="shared" si="74"/>
        <v>0.35955414012738851</v>
      </c>
      <c r="BZ37" s="627">
        <f t="shared" si="74"/>
        <v>0.34234234234234234</v>
      </c>
      <c r="CA37" s="675">
        <f t="shared" si="74"/>
        <v>0.26960572592089838</v>
      </c>
      <c r="CB37" s="627">
        <f t="shared" si="74"/>
        <v>-0.11175226005000961</v>
      </c>
      <c r="CC37" s="627">
        <f t="shared" si="74"/>
        <v>0.1956806282722513</v>
      </c>
      <c r="CD37" s="627">
        <f t="shared" si="74"/>
        <v>0.3702807357212004</v>
      </c>
      <c r="CE37" s="627">
        <f t="shared" si="74"/>
        <v>0.20036474164133738</v>
      </c>
      <c r="CF37" s="675">
        <f t="shared" si="74"/>
        <v>0.20218098437583321</v>
      </c>
      <c r="CG37" s="627">
        <f t="shared" si="74"/>
        <v>0.4429289303661163</v>
      </c>
      <c r="CH37" s="627">
        <f>(CH20-CH36)/CH20</f>
        <v>0.27138783269961975</v>
      </c>
      <c r="CI37" s="627">
        <f>(CI20-CI36)/CI20</f>
        <v>0.39053373615307152</v>
      </c>
      <c r="CJ37" s="627">
        <f t="shared" ref="CJ37" si="75">(CJ20-CJ36)/CJ20</f>
        <v>0.31017191977077363</v>
      </c>
      <c r="CK37" s="675">
        <f>(CK20-CK36)/CK20</f>
        <v>0.34245747970622342</v>
      </c>
      <c r="CL37" s="627">
        <f t="shared" ref="CL37" si="76">(CL20-CL36)/CL20</f>
        <v>0.4553782972674143</v>
      </c>
      <c r="CM37" s="627">
        <f>(CM20-CM36)/CM20</f>
        <v>0.17838260033645759</v>
      </c>
      <c r="CN37" s="631">
        <f>(CN20-CN36)/CN20</f>
        <v>0.405130084279956</v>
      </c>
      <c r="CO37" s="631">
        <f>(CO20-CO36)/CO20</f>
        <v>1.4307692307692308E-2</v>
      </c>
      <c r="CP37" s="675">
        <f>(CP20-CP36)/CP20</f>
        <v>0.26607142857142857</v>
      </c>
      <c r="CQ37" s="676">
        <v>0.25</v>
      </c>
      <c r="CR37" s="676">
        <v>0.25</v>
      </c>
      <c r="CS37" s="676">
        <v>0.25</v>
      </c>
      <c r="CT37" s="676">
        <v>0.25</v>
      </c>
      <c r="CU37" s="675">
        <f>(CU20-CU36)/CU20</f>
        <v>0.25</v>
      </c>
      <c r="CV37" s="674"/>
      <c r="CW37" s="661"/>
      <c r="CX37" s="661">
        <f>0.05*157</f>
        <v>7.8500000000000005</v>
      </c>
      <c r="CY37" s="661"/>
      <c r="CZ37" s="643"/>
      <c r="DA37" s="642"/>
      <c r="DB37" s="642"/>
      <c r="DC37" s="642"/>
      <c r="DD37" s="642"/>
      <c r="DE37" s="642"/>
      <c r="DF37" s="642"/>
    </row>
    <row r="38" spans="1:117" ht="18" customHeight="1">
      <c r="A38" s="7"/>
      <c r="B38" s="17" t="s">
        <v>26</v>
      </c>
      <c r="C38" s="18"/>
      <c r="D38" s="61">
        <f t="shared" ref="D38:X38" si="77">SUM(D28,D30,D32,D34,D36)</f>
        <v>135371</v>
      </c>
      <c r="E38" s="56">
        <f t="shared" si="77"/>
        <v>37548</v>
      </c>
      <c r="F38" s="56">
        <f t="shared" si="77"/>
        <v>38480</v>
      </c>
      <c r="G38" s="56">
        <f t="shared" si="77"/>
        <v>38687</v>
      </c>
      <c r="H38" s="56">
        <f t="shared" si="77"/>
        <v>40599</v>
      </c>
      <c r="I38" s="61">
        <f t="shared" si="77"/>
        <v>155314</v>
      </c>
      <c r="J38" s="56">
        <f t="shared" si="77"/>
        <v>39273</v>
      </c>
      <c r="K38" s="56">
        <f t="shared" si="77"/>
        <v>40175</v>
      </c>
      <c r="L38" s="56">
        <f t="shared" si="77"/>
        <v>41097</v>
      </c>
      <c r="M38" s="56">
        <f t="shared" si="77"/>
        <v>40978</v>
      </c>
      <c r="N38" s="61">
        <f t="shared" si="77"/>
        <v>161523</v>
      </c>
      <c r="O38" s="56">
        <f t="shared" si="77"/>
        <v>39801</v>
      </c>
      <c r="P38" s="56">
        <f t="shared" si="77"/>
        <v>40125</v>
      </c>
      <c r="Q38" s="56">
        <f t="shared" si="77"/>
        <v>40562</v>
      </c>
      <c r="R38" s="56">
        <f t="shared" si="77"/>
        <v>39823</v>
      </c>
      <c r="S38" s="61">
        <f t="shared" si="77"/>
        <v>160311</v>
      </c>
      <c r="T38" s="56">
        <f t="shared" si="77"/>
        <v>40279</v>
      </c>
      <c r="U38" s="56">
        <f t="shared" si="77"/>
        <v>42140</v>
      </c>
      <c r="V38" s="56">
        <f t="shared" si="77"/>
        <v>40570</v>
      </c>
      <c r="W38" s="56">
        <f t="shared" si="77"/>
        <v>42494</v>
      </c>
      <c r="X38" s="61">
        <f t="shared" si="77"/>
        <v>165483</v>
      </c>
      <c r="Y38" s="56">
        <f>SUM(Y28,Y30,Y32,Y34,Y36)</f>
        <v>44646</v>
      </c>
      <c r="Z38" s="56">
        <f t="shared" ref="Z38:AH38" si="78">SUM(Z28,Z30,Z32,Z34,Z36)</f>
        <v>49930</v>
      </c>
      <c r="AA38" s="56">
        <f t="shared" si="78"/>
        <v>48137</v>
      </c>
      <c r="AB38" s="60">
        <f t="shared" si="78"/>
        <v>49917</v>
      </c>
      <c r="AC38" s="61">
        <f t="shared" si="78"/>
        <v>192630</v>
      </c>
      <c r="AD38" s="56">
        <f t="shared" si="78"/>
        <v>51069</v>
      </c>
      <c r="AE38" s="56">
        <f t="shared" si="78"/>
        <v>55180</v>
      </c>
      <c r="AF38" s="56">
        <f t="shared" si="78"/>
        <v>56551</v>
      </c>
      <c r="AG38" s="56">
        <f t="shared" si="78"/>
        <v>57053</v>
      </c>
      <c r="AH38" s="61">
        <f t="shared" si="78"/>
        <v>219853</v>
      </c>
      <c r="AI38" s="56">
        <f t="shared" ref="AI38:BQ38" si="79">SUM(AI28,AI30,AI32,AI34,AI36)</f>
        <v>59102</v>
      </c>
      <c r="AJ38" s="56">
        <f t="shared" si="79"/>
        <v>64856</v>
      </c>
      <c r="AK38" s="56">
        <f t="shared" si="79"/>
        <v>65855</v>
      </c>
      <c r="AL38" s="56">
        <f t="shared" si="79"/>
        <v>65882</v>
      </c>
      <c r="AM38" s="61">
        <f t="shared" si="79"/>
        <v>255695</v>
      </c>
      <c r="AN38" s="56">
        <f t="shared" si="79"/>
        <v>69930</v>
      </c>
      <c r="AO38" s="56">
        <f t="shared" si="79"/>
        <v>76840</v>
      </c>
      <c r="AP38" s="56">
        <f t="shared" si="79"/>
        <v>77558</v>
      </c>
      <c r="AQ38" s="56">
        <f t="shared" si="79"/>
        <v>81687</v>
      </c>
      <c r="AR38" s="61">
        <f t="shared" si="79"/>
        <v>306015</v>
      </c>
      <c r="AS38" s="60">
        <f t="shared" si="79"/>
        <v>90399</v>
      </c>
      <c r="AT38" s="56">
        <f t="shared" si="79"/>
        <v>94785</v>
      </c>
      <c r="AU38" s="60">
        <f t="shared" si="79"/>
        <v>93640</v>
      </c>
      <c r="AV38" s="56">
        <f t="shared" si="79"/>
        <v>93085</v>
      </c>
      <c r="AW38" s="61">
        <f t="shared" si="79"/>
        <v>371909</v>
      </c>
      <c r="AX38" s="60">
        <f t="shared" si="79"/>
        <v>97687</v>
      </c>
      <c r="AY38" s="56">
        <f t="shared" si="79"/>
        <v>105647</v>
      </c>
      <c r="AZ38" s="60">
        <f t="shared" si="79"/>
        <v>102720</v>
      </c>
      <c r="BA38" s="56">
        <f t="shared" si="79"/>
        <v>104367</v>
      </c>
      <c r="BB38" s="61">
        <f t="shared" si="79"/>
        <v>410421</v>
      </c>
      <c r="BC38" s="60">
        <f t="shared" si="79"/>
        <v>110211</v>
      </c>
      <c r="BD38" s="35">
        <f t="shared" si="79"/>
        <v>118105</v>
      </c>
      <c r="BE38" s="56">
        <f t="shared" si="79"/>
        <v>114635</v>
      </c>
      <c r="BF38" s="56">
        <f t="shared" si="79"/>
        <v>116193</v>
      </c>
      <c r="BG38" s="61">
        <f t="shared" si="79"/>
        <v>459144</v>
      </c>
      <c r="BH38" s="60">
        <f t="shared" si="79"/>
        <v>120538</v>
      </c>
      <c r="BI38" s="56">
        <f t="shared" si="79"/>
        <v>135520</v>
      </c>
      <c r="BJ38" s="56">
        <f t="shared" si="79"/>
        <v>133096</v>
      </c>
      <c r="BK38" s="56">
        <f t="shared" si="79"/>
        <v>134729</v>
      </c>
      <c r="BL38" s="61">
        <f t="shared" si="79"/>
        <v>523883</v>
      </c>
      <c r="BM38" s="35">
        <f t="shared" si="79"/>
        <v>135131</v>
      </c>
      <c r="BN38" s="56">
        <f t="shared" si="79"/>
        <v>127513</v>
      </c>
      <c r="BO38" s="56">
        <f t="shared" si="79"/>
        <v>129717</v>
      </c>
      <c r="BP38" s="56">
        <f t="shared" si="79"/>
        <v>131703</v>
      </c>
      <c r="BQ38" s="61">
        <f t="shared" si="79"/>
        <v>524064</v>
      </c>
      <c r="BR38" s="35">
        <f t="shared" ref="BR38:BW38" si="80">SUM(BR28,BR30,BR32,BR34,BR36)</f>
        <v>137631</v>
      </c>
      <c r="BS38" s="35">
        <f t="shared" si="80"/>
        <v>204282</v>
      </c>
      <c r="BT38" s="56">
        <f t="shared" si="80"/>
        <v>244458</v>
      </c>
      <c r="BU38" s="56">
        <f t="shared" si="80"/>
        <v>226966</v>
      </c>
      <c r="BV38" s="61">
        <f t="shared" si="80"/>
        <v>813337</v>
      </c>
      <c r="BW38" s="56">
        <f t="shared" si="80"/>
        <v>243697</v>
      </c>
      <c r="BX38" s="56">
        <f t="shared" ref="BX38:CM38" si="81">SUM(BX28,BX30,BX32,BX34,BX36)</f>
        <v>254331</v>
      </c>
      <c r="BY38" s="56">
        <f t="shared" si="81"/>
        <v>247725</v>
      </c>
      <c r="BZ38" s="56">
        <f t="shared" si="81"/>
        <v>240909</v>
      </c>
      <c r="CA38" s="61">
        <f t="shared" si="81"/>
        <v>986662</v>
      </c>
      <c r="CB38" s="56">
        <f t="shared" si="81"/>
        <v>256754</v>
      </c>
      <c r="CC38" s="56">
        <f t="shared" si="81"/>
        <v>265741</v>
      </c>
      <c r="CD38" s="56">
        <f t="shared" si="81"/>
        <v>253642</v>
      </c>
      <c r="CE38" s="56">
        <f t="shared" si="81"/>
        <v>251846</v>
      </c>
      <c r="CF38" s="61">
        <f t="shared" si="81"/>
        <v>1027983</v>
      </c>
      <c r="CG38" s="56">
        <f t="shared" si="81"/>
        <v>272064</v>
      </c>
      <c r="CH38" s="56">
        <f>SUM(CH28,CH30,CH32,CH34,CH36)</f>
        <v>286300</v>
      </c>
      <c r="CI38" s="56">
        <f>SUM(CI28,CI30,CI32,CI34,CI36)</f>
        <v>288661</v>
      </c>
      <c r="CJ38" s="56">
        <f t="shared" ref="CJ38" si="82">SUM(CJ28,CJ30,CJ32,CJ34,CJ36)</f>
        <v>286731</v>
      </c>
      <c r="CK38" s="61">
        <f t="shared" si="81"/>
        <v>1133756</v>
      </c>
      <c r="CL38" s="56">
        <f t="shared" ref="CL38" si="83">SUM(CL28,CL30,CL32,CL34,CL36)</f>
        <v>280076</v>
      </c>
      <c r="CM38" s="56">
        <f t="shared" si="81"/>
        <v>304723</v>
      </c>
      <c r="CN38" s="56">
        <f>SUM(CN28,CN30,CN32,CN34,CN36)</f>
        <v>295744</v>
      </c>
      <c r="CO38" s="56">
        <f>SUM(CO28,CO30,CO32,CO34,CO36)</f>
        <v>294533</v>
      </c>
      <c r="CP38" s="61">
        <f>SUM(CP28,CP30,CP32,CP34,CP36)</f>
        <v>1175076</v>
      </c>
      <c r="CQ38" s="56">
        <f t="shared" ref="CQ38:CU38" si="84">SUM(CQ28,CQ30,CQ32,CQ34,CQ36)</f>
        <v>294312.89759999997</v>
      </c>
      <c r="CR38" s="56">
        <f t="shared" si="84"/>
        <v>318630.10754999996</v>
      </c>
      <c r="CS38" s="56">
        <f t="shared" si="84"/>
        <v>307677.98719999997</v>
      </c>
      <c r="CT38" s="56">
        <f t="shared" si="84"/>
        <v>304522.27938900003</v>
      </c>
      <c r="CU38" s="61">
        <f t="shared" si="84"/>
        <v>1225143.271739</v>
      </c>
      <c r="CV38" s="56"/>
      <c r="CW38" s="56"/>
      <c r="CX38" s="56"/>
      <c r="CY38" s="56"/>
      <c r="CZ38" s="205"/>
      <c r="DA38" s="68"/>
      <c r="DB38" s="68"/>
      <c r="DC38" s="205"/>
      <c r="DD38" s="205"/>
      <c r="DE38" s="68"/>
      <c r="DF38" s="68"/>
      <c r="DG38" s="83"/>
      <c r="DH38" s="83"/>
      <c r="DI38" s="83"/>
      <c r="DJ38" s="83"/>
      <c r="DK38" s="83"/>
      <c r="DL38" s="83"/>
      <c r="DM38" s="83"/>
    </row>
    <row r="39" spans="1:117" ht="3.75" customHeight="1" thickBot="1">
      <c r="A39" s="7"/>
      <c r="B39" s="19"/>
      <c r="C39" s="18"/>
      <c r="D39" s="25"/>
      <c r="E39" s="18"/>
      <c r="F39" s="18"/>
      <c r="G39" s="18"/>
      <c r="H39" s="18"/>
      <c r="I39" s="25"/>
      <c r="J39" s="18"/>
      <c r="K39" s="18"/>
      <c r="L39" s="18"/>
      <c r="M39" s="18"/>
      <c r="N39" s="26"/>
      <c r="O39" s="22"/>
      <c r="P39" s="7"/>
      <c r="Q39" s="7"/>
      <c r="R39" s="7"/>
      <c r="S39" s="26"/>
      <c r="T39" s="12"/>
      <c r="U39" s="7"/>
      <c r="V39" s="7"/>
      <c r="W39" s="7"/>
      <c r="X39" s="26"/>
      <c r="Y39" s="7"/>
      <c r="Z39" s="7"/>
      <c r="AA39" s="7"/>
      <c r="AB39" s="7"/>
      <c r="AC39" s="26"/>
      <c r="AD39" s="7"/>
      <c r="AE39" s="7"/>
      <c r="AF39" s="7"/>
      <c r="AG39" s="7"/>
      <c r="AH39" s="26"/>
      <c r="AI39" s="7"/>
      <c r="AJ39" s="7"/>
      <c r="AK39" s="7"/>
      <c r="AL39" s="7"/>
      <c r="AM39" s="26"/>
      <c r="AN39" s="7"/>
      <c r="AO39" s="7"/>
      <c r="AP39" s="7"/>
      <c r="AQ39" s="7"/>
      <c r="AR39" s="26"/>
      <c r="AS39" s="279"/>
      <c r="AT39" s="7"/>
      <c r="AU39" s="279"/>
      <c r="AV39" s="7"/>
      <c r="AW39" s="26"/>
      <c r="AX39" s="279"/>
      <c r="AY39" s="7"/>
      <c r="AZ39" s="279"/>
      <c r="BA39" s="7"/>
      <c r="BB39" s="26"/>
      <c r="BC39" s="279"/>
      <c r="BD39" s="7"/>
      <c r="BE39" s="7"/>
      <c r="BF39" s="7"/>
      <c r="BG39" s="26"/>
      <c r="BH39" s="279"/>
      <c r="BI39" s="7"/>
      <c r="BJ39" s="7"/>
      <c r="BK39" s="7"/>
      <c r="BL39" s="26"/>
      <c r="BM39" s="7"/>
      <c r="BN39" s="7"/>
      <c r="BO39" s="7"/>
      <c r="BP39" s="7"/>
      <c r="BQ39" s="26"/>
      <c r="BR39" s="7"/>
      <c r="BS39" s="7"/>
      <c r="BT39" s="7"/>
      <c r="BU39" s="7"/>
      <c r="BV39" s="26"/>
      <c r="BW39" s="7"/>
      <c r="BX39" s="7"/>
      <c r="BY39" s="7"/>
      <c r="BZ39" s="7"/>
      <c r="CA39" s="26"/>
      <c r="CB39" s="7"/>
      <c r="CC39" s="7"/>
      <c r="CD39" s="7"/>
      <c r="CE39" s="7"/>
      <c r="CF39" s="26"/>
      <c r="CG39" s="7"/>
      <c r="CH39" s="7"/>
      <c r="CI39" s="7"/>
      <c r="CJ39" s="7"/>
      <c r="CK39" s="26"/>
      <c r="CL39" s="7"/>
      <c r="CM39" s="7"/>
      <c r="CN39" s="7"/>
      <c r="CO39" s="7"/>
      <c r="CP39" s="26"/>
      <c r="CQ39" s="7"/>
      <c r="CR39" s="7"/>
      <c r="CS39" s="7"/>
      <c r="CT39" s="7"/>
      <c r="CU39" s="26"/>
      <c r="CV39" s="7"/>
      <c r="CW39" s="7"/>
      <c r="CX39" s="7"/>
      <c r="CY39" s="7"/>
      <c r="CZ39" s="376"/>
      <c r="DA39" s="68"/>
      <c r="DB39" s="68"/>
      <c r="DC39" s="68"/>
      <c r="DD39" s="68"/>
      <c r="DE39" s="68"/>
      <c r="DF39" s="68"/>
      <c r="DG39" s="103"/>
      <c r="DH39" s="103"/>
      <c r="DI39" s="103"/>
      <c r="DJ39" s="103"/>
      <c r="DK39" s="103"/>
      <c r="DL39" s="103"/>
      <c r="DM39" s="103"/>
    </row>
    <row r="40" spans="1:117" ht="13.5" thickBot="1">
      <c r="A40" s="27"/>
      <c r="B40" s="28" t="s">
        <v>27</v>
      </c>
      <c r="C40" s="29"/>
      <c r="D40" s="30">
        <f>D23-D38</f>
        <v>84425</v>
      </c>
      <c r="E40" s="31">
        <f>E23-E38</f>
        <v>21803</v>
      </c>
      <c r="F40" s="31">
        <f t="shared" ref="F40:Y40" si="85">F23-F38</f>
        <v>29089</v>
      </c>
      <c r="G40" s="31">
        <f t="shared" si="85"/>
        <v>29950</v>
      </c>
      <c r="H40" s="31">
        <f t="shared" si="85"/>
        <v>28945</v>
      </c>
      <c r="I40" s="30">
        <f t="shared" si="85"/>
        <v>109787</v>
      </c>
      <c r="J40" s="31">
        <f t="shared" si="85"/>
        <v>30292</v>
      </c>
      <c r="K40" s="31">
        <f t="shared" si="85"/>
        <v>31997</v>
      </c>
      <c r="L40" s="31">
        <f t="shared" si="85"/>
        <v>33235</v>
      </c>
      <c r="M40" s="31">
        <f t="shared" si="85"/>
        <v>33239</v>
      </c>
      <c r="N40" s="30">
        <f t="shared" si="85"/>
        <v>128763</v>
      </c>
      <c r="O40" s="31">
        <f t="shared" si="85"/>
        <v>30019</v>
      </c>
      <c r="P40" s="31">
        <f t="shared" si="85"/>
        <v>32475</v>
      </c>
      <c r="Q40" s="31">
        <f t="shared" si="85"/>
        <v>33207</v>
      </c>
      <c r="R40" s="31">
        <f t="shared" si="85"/>
        <v>32616</v>
      </c>
      <c r="S40" s="30">
        <f t="shared" si="85"/>
        <v>128317</v>
      </c>
      <c r="T40" s="58">
        <f t="shared" si="85"/>
        <v>33114</v>
      </c>
      <c r="U40" s="31">
        <f t="shared" si="85"/>
        <v>34595</v>
      </c>
      <c r="V40" s="31">
        <f t="shared" si="85"/>
        <v>36614</v>
      </c>
      <c r="W40" s="31">
        <f t="shared" si="85"/>
        <v>39585</v>
      </c>
      <c r="X40" s="30">
        <f t="shared" si="85"/>
        <v>143908</v>
      </c>
      <c r="Y40" s="31">
        <f t="shared" si="85"/>
        <v>38077</v>
      </c>
      <c r="Z40" s="32">
        <f t="shared" ref="Z40:BE40" si="86">Z23-Z38</f>
        <v>41438</v>
      </c>
      <c r="AA40" s="32">
        <f t="shared" si="86"/>
        <v>45708</v>
      </c>
      <c r="AB40" s="32">
        <f t="shared" si="86"/>
        <v>45451</v>
      </c>
      <c r="AC40" s="33">
        <f t="shared" si="86"/>
        <v>170674</v>
      </c>
      <c r="AD40" s="32">
        <f t="shared" si="86"/>
        <v>44730</v>
      </c>
      <c r="AE40" s="32">
        <f t="shared" si="86"/>
        <v>47908</v>
      </c>
      <c r="AF40" s="32">
        <f t="shared" si="86"/>
        <v>50470</v>
      </c>
      <c r="AG40" s="32">
        <f t="shared" si="86"/>
        <v>53682</v>
      </c>
      <c r="AH40" s="33">
        <f t="shared" si="86"/>
        <v>196790</v>
      </c>
      <c r="AI40" s="32">
        <f t="shared" si="86"/>
        <v>53524</v>
      </c>
      <c r="AJ40" s="32">
        <f t="shared" si="86"/>
        <v>59515</v>
      </c>
      <c r="AK40" s="32">
        <f t="shared" si="86"/>
        <v>62809</v>
      </c>
      <c r="AL40" s="32">
        <f t="shared" si="86"/>
        <v>61558</v>
      </c>
      <c r="AM40" s="33">
        <f t="shared" si="86"/>
        <v>237406</v>
      </c>
      <c r="AN40" s="32">
        <f t="shared" si="86"/>
        <v>65036</v>
      </c>
      <c r="AO40" s="32">
        <f t="shared" si="86"/>
        <v>69455</v>
      </c>
      <c r="AP40" s="32">
        <f t="shared" si="86"/>
        <v>73287</v>
      </c>
      <c r="AQ40" s="32">
        <f t="shared" si="86"/>
        <v>80452</v>
      </c>
      <c r="AR40" s="33">
        <f t="shared" si="86"/>
        <v>288230</v>
      </c>
      <c r="AS40" s="404">
        <f t="shared" si="86"/>
        <v>94589</v>
      </c>
      <c r="AT40" s="32">
        <f t="shared" si="86"/>
        <v>98964</v>
      </c>
      <c r="AU40" s="404">
        <f t="shared" si="86"/>
        <v>104117</v>
      </c>
      <c r="AV40" s="32">
        <f t="shared" si="86"/>
        <v>101971</v>
      </c>
      <c r="AW40" s="33">
        <f t="shared" si="86"/>
        <v>399641</v>
      </c>
      <c r="AX40" s="404">
        <f t="shared" si="86"/>
        <v>102170</v>
      </c>
      <c r="AY40" s="32">
        <f t="shared" si="86"/>
        <v>103771</v>
      </c>
      <c r="AZ40" s="404">
        <f t="shared" si="86"/>
        <v>111688</v>
      </c>
      <c r="BA40" s="32">
        <f t="shared" si="86"/>
        <v>113719</v>
      </c>
      <c r="BB40" s="33">
        <f t="shared" si="86"/>
        <v>431348</v>
      </c>
      <c r="BC40" s="404">
        <f t="shared" si="86"/>
        <v>111174</v>
      </c>
      <c r="BD40" s="32">
        <f t="shared" si="86"/>
        <v>119617</v>
      </c>
      <c r="BE40" s="32">
        <f t="shared" si="86"/>
        <v>122933</v>
      </c>
      <c r="BF40" s="32">
        <f t="shared" ref="BF40:CP40" si="87">BF23-BF38</f>
        <v>126840</v>
      </c>
      <c r="BG40" s="33">
        <f t="shared" si="87"/>
        <v>480564</v>
      </c>
      <c r="BH40" s="404">
        <f t="shared" si="87"/>
        <v>128225</v>
      </c>
      <c r="BI40" s="32">
        <f t="shared" si="87"/>
        <v>142461</v>
      </c>
      <c r="BJ40" s="32">
        <f t="shared" si="87"/>
        <v>144091</v>
      </c>
      <c r="BK40" s="32">
        <f t="shared" si="87"/>
        <v>152696</v>
      </c>
      <c r="BL40" s="33">
        <f t="shared" si="87"/>
        <v>567473</v>
      </c>
      <c r="BM40" s="32">
        <f t="shared" si="87"/>
        <v>141649</v>
      </c>
      <c r="BN40" s="32">
        <f t="shared" si="87"/>
        <v>143816</v>
      </c>
      <c r="BO40" s="32">
        <f t="shared" si="87"/>
        <v>156220</v>
      </c>
      <c r="BP40" s="32">
        <f t="shared" si="87"/>
        <v>151705</v>
      </c>
      <c r="BQ40" s="33">
        <f t="shared" si="87"/>
        <v>593390</v>
      </c>
      <c r="BR40" s="32">
        <f t="shared" si="87"/>
        <v>157171</v>
      </c>
      <c r="BS40" s="32">
        <f t="shared" si="87"/>
        <v>201081</v>
      </c>
      <c r="BT40" s="32">
        <f t="shared" si="87"/>
        <v>216166</v>
      </c>
      <c r="BU40" s="32">
        <f t="shared" si="87"/>
        <v>207210</v>
      </c>
      <c r="BV40" s="33">
        <f t="shared" si="87"/>
        <v>781628</v>
      </c>
      <c r="BW40" s="32">
        <f t="shared" si="87"/>
        <v>212411</v>
      </c>
      <c r="BX40" s="32">
        <f t="shared" si="87"/>
        <v>214354</v>
      </c>
      <c r="BY40" s="32">
        <f t="shared" si="87"/>
        <v>225466</v>
      </c>
      <c r="BZ40" s="32">
        <f t="shared" si="87"/>
        <v>211311</v>
      </c>
      <c r="CA40" s="33">
        <f t="shared" si="87"/>
        <v>863542</v>
      </c>
      <c r="CB40" s="32">
        <f t="shared" si="87"/>
        <v>215099</v>
      </c>
      <c r="CC40" s="32">
        <f t="shared" si="87"/>
        <v>238538</v>
      </c>
      <c r="CD40" s="32">
        <f t="shared" si="87"/>
        <v>241042</v>
      </c>
      <c r="CE40" s="32">
        <f t="shared" si="87"/>
        <v>229089</v>
      </c>
      <c r="CF40" s="33">
        <f t="shared" si="87"/>
        <v>923768</v>
      </c>
      <c r="CG40" s="32">
        <f t="shared" si="87"/>
        <v>240295</v>
      </c>
      <c r="CH40" s="32">
        <f>CH23-CH38</f>
        <v>254676</v>
      </c>
      <c r="CI40" s="32">
        <f>CI23-CI38</f>
        <v>254676</v>
      </c>
      <c r="CJ40" s="32">
        <f t="shared" ref="CJ40" si="88">CJ23-CJ38</f>
        <v>254400</v>
      </c>
      <c r="CK40" s="33">
        <f t="shared" si="87"/>
        <v>1004047</v>
      </c>
      <c r="CL40" s="32">
        <f t="shared" ref="CL40" si="89">CL23-CL38</f>
        <v>285089</v>
      </c>
      <c r="CM40" s="32">
        <f t="shared" si="87"/>
        <v>291394</v>
      </c>
      <c r="CN40" s="32">
        <f>CN23-CN38</f>
        <v>300135</v>
      </c>
      <c r="CO40" s="32">
        <f>CO23-CO38</f>
        <v>295625.03399999999</v>
      </c>
      <c r="CP40" s="33">
        <f t="shared" si="87"/>
        <v>1172243.034</v>
      </c>
      <c r="CQ40" s="32">
        <f t="shared" ref="CQ40:CU40" si="90">CQ23-CQ38</f>
        <v>314213.97240000003</v>
      </c>
      <c r="CR40" s="32">
        <f t="shared" si="90"/>
        <v>330323.72245</v>
      </c>
      <c r="CS40" s="32">
        <f t="shared" si="90"/>
        <v>329326.15280000004</v>
      </c>
      <c r="CT40" s="32">
        <f t="shared" si="90"/>
        <v>332866.72985100001</v>
      </c>
      <c r="CU40" s="33">
        <f t="shared" si="90"/>
        <v>1306730.5775009999</v>
      </c>
      <c r="CV40" s="469" t="s">
        <v>965</v>
      </c>
      <c r="CW40" s="469"/>
      <c r="CX40" s="469"/>
      <c r="CY40" s="469"/>
      <c r="CZ40" s="205"/>
      <c r="DA40" s="68"/>
      <c r="DB40" s="68"/>
      <c r="DC40" s="68"/>
      <c r="DD40" s="68"/>
      <c r="DE40" s="68"/>
      <c r="DF40" s="68"/>
    </row>
    <row r="41" spans="1:117" s="639" customFormat="1" ht="15" customHeight="1">
      <c r="A41" s="627"/>
      <c r="B41" s="673"/>
      <c r="C41" s="674" t="s">
        <v>757</v>
      </c>
      <c r="D41" s="684">
        <f>D40/D23</f>
        <v>0.38410617117690948</v>
      </c>
      <c r="E41" s="685">
        <f>E40/E23</f>
        <v>0.36735691058280401</v>
      </c>
      <c r="F41" s="685">
        <f t="shared" ref="F41:AB41" si="91">F40/F23</f>
        <v>0.43050807322884754</v>
      </c>
      <c r="G41" s="685">
        <f t="shared" si="91"/>
        <v>0.43635357023179916</v>
      </c>
      <c r="H41" s="685">
        <f t="shared" si="91"/>
        <v>0.416211319452433</v>
      </c>
      <c r="I41" s="684">
        <f t="shared" si="91"/>
        <v>0.41413272677206048</v>
      </c>
      <c r="J41" s="685">
        <f t="shared" si="91"/>
        <v>0.43544886077768991</v>
      </c>
      <c r="K41" s="685">
        <f t="shared" si="91"/>
        <v>0.44334367898908161</v>
      </c>
      <c r="L41" s="685">
        <f t="shared" si="91"/>
        <v>0.44711564332992521</v>
      </c>
      <c r="M41" s="685">
        <f t="shared" si="91"/>
        <v>0.44786234959645366</v>
      </c>
      <c r="N41" s="684">
        <f t="shared" si="91"/>
        <v>0.44357289018416318</v>
      </c>
      <c r="O41" s="685">
        <f t="shared" si="91"/>
        <v>0.42994843884273848</v>
      </c>
      <c r="P41" s="685">
        <f t="shared" si="91"/>
        <v>0.44731404958677684</v>
      </c>
      <c r="Q41" s="685">
        <f t="shared" si="91"/>
        <v>0.45014843633504587</v>
      </c>
      <c r="R41" s="685">
        <f t="shared" si="91"/>
        <v>0.45025469705545357</v>
      </c>
      <c r="S41" s="684">
        <f t="shared" si="91"/>
        <v>0.44457571683966907</v>
      </c>
      <c r="T41" s="685">
        <f t="shared" si="91"/>
        <v>0.45118744294414997</v>
      </c>
      <c r="U41" s="685">
        <f t="shared" si="91"/>
        <v>0.45083729719163357</v>
      </c>
      <c r="V41" s="685">
        <f t="shared" si="91"/>
        <v>0.47437292703150913</v>
      </c>
      <c r="W41" s="685">
        <f t="shared" si="91"/>
        <v>0.48227926753493583</v>
      </c>
      <c r="X41" s="684">
        <f t="shared" si="91"/>
        <v>0.4651331163479222</v>
      </c>
      <c r="Y41" s="685">
        <f t="shared" si="91"/>
        <v>0.46029520205988661</v>
      </c>
      <c r="Z41" s="685">
        <f t="shared" si="91"/>
        <v>0.45352858768934418</v>
      </c>
      <c r="AA41" s="685">
        <f t="shared" si="91"/>
        <v>0.48705844743992754</v>
      </c>
      <c r="AB41" s="685">
        <f t="shared" si="91"/>
        <v>0.47658543746330007</v>
      </c>
      <c r="AC41" s="660">
        <f t="shared" ref="AC41:BH41" si="92">AC40/AC23</f>
        <v>0.46978288155374009</v>
      </c>
      <c r="AD41" s="627">
        <f t="shared" si="92"/>
        <v>0.46691510349794885</v>
      </c>
      <c r="AE41" s="627">
        <f t="shared" si="92"/>
        <v>0.46472916343318332</v>
      </c>
      <c r="AF41" s="627">
        <f t="shared" si="92"/>
        <v>0.47158968800515788</v>
      </c>
      <c r="AG41" s="627">
        <f t="shared" si="92"/>
        <v>0.48477897683659188</v>
      </c>
      <c r="AH41" s="660">
        <f t="shared" si="92"/>
        <v>0.47232282793662678</v>
      </c>
      <c r="AI41" s="627">
        <f t="shared" si="92"/>
        <v>0.47523662387015431</v>
      </c>
      <c r="AJ41" s="627">
        <f t="shared" si="92"/>
        <v>0.47852795265777393</v>
      </c>
      <c r="AK41" s="627">
        <f t="shared" si="92"/>
        <v>0.48816296710812657</v>
      </c>
      <c r="AL41" s="627">
        <f t="shared" si="92"/>
        <v>0.48303515379786566</v>
      </c>
      <c r="AM41" s="660">
        <f t="shared" si="92"/>
        <v>0.48145511771422084</v>
      </c>
      <c r="AN41" s="627">
        <f t="shared" si="92"/>
        <v>0.4818695078760577</v>
      </c>
      <c r="AO41" s="627">
        <f t="shared" si="92"/>
        <v>0.4747599029358488</v>
      </c>
      <c r="AP41" s="627">
        <f t="shared" si="92"/>
        <v>0.48584308396035664</v>
      </c>
      <c r="AQ41" s="627">
        <f t="shared" si="92"/>
        <v>0.49619153935820498</v>
      </c>
      <c r="AR41" s="660">
        <f t="shared" si="92"/>
        <v>0.48503563345084938</v>
      </c>
      <c r="AS41" s="631">
        <f t="shared" si="92"/>
        <v>0.51132505892274094</v>
      </c>
      <c r="AT41" s="627">
        <f t="shared" si="92"/>
        <v>0.51078457179133829</v>
      </c>
      <c r="AU41" s="631">
        <f t="shared" si="92"/>
        <v>0.52648958064695561</v>
      </c>
      <c r="AV41" s="627">
        <f t="shared" si="92"/>
        <v>0.52277807398900833</v>
      </c>
      <c r="AW41" s="660">
        <f t="shared" si="92"/>
        <v>0.51797161557902927</v>
      </c>
      <c r="AX41" s="631">
        <f t="shared" si="92"/>
        <v>0.5112155190961537</v>
      </c>
      <c r="AY41" s="627">
        <f t="shared" si="92"/>
        <v>0.49552091988272257</v>
      </c>
      <c r="AZ41" s="631">
        <f t="shared" si="92"/>
        <v>0.52091339875377785</v>
      </c>
      <c r="BA41" s="627">
        <f t="shared" si="92"/>
        <v>0.5214410828755629</v>
      </c>
      <c r="BB41" s="660">
        <f t="shared" si="92"/>
        <v>0.51243036985206158</v>
      </c>
      <c r="BC41" s="631">
        <f t="shared" si="92"/>
        <v>0.50217494410190389</v>
      </c>
      <c r="BD41" s="627">
        <f t="shared" si="92"/>
        <v>0.50318018525841113</v>
      </c>
      <c r="BE41" s="627">
        <f t="shared" si="92"/>
        <v>0.51746447332974133</v>
      </c>
      <c r="BF41" s="627">
        <f t="shared" si="92"/>
        <v>0.52190443273135745</v>
      </c>
      <c r="BG41" s="660">
        <f t="shared" si="92"/>
        <v>0.51139715741485658</v>
      </c>
      <c r="BH41" s="631">
        <f t="shared" si="92"/>
        <v>0.51545044882076518</v>
      </c>
      <c r="BI41" s="627">
        <f t="shared" ref="BI41:CM41" si="93">BI40/BI23</f>
        <v>0.51248466621819477</v>
      </c>
      <c r="BJ41" s="627">
        <f t="shared" si="93"/>
        <v>0.51983318120979705</v>
      </c>
      <c r="BK41" s="627">
        <f t="shared" si="93"/>
        <v>0.53125511002870318</v>
      </c>
      <c r="BL41" s="660">
        <f t="shared" si="93"/>
        <v>0.51997056872367953</v>
      </c>
      <c r="BM41" s="627">
        <f t="shared" si="93"/>
        <v>0.51177469470337456</v>
      </c>
      <c r="BN41" s="627">
        <f t="shared" si="93"/>
        <v>0.53004286309240811</v>
      </c>
      <c r="BO41" s="627">
        <f t="shared" si="93"/>
        <v>0.54634412475475369</v>
      </c>
      <c r="BP41" s="627">
        <f t="shared" si="93"/>
        <v>0.53528834754135379</v>
      </c>
      <c r="BQ41" s="660">
        <f t="shared" si="93"/>
        <v>0.53101962138933678</v>
      </c>
      <c r="BR41" s="627">
        <f t="shared" si="93"/>
        <v>0.53314088778230817</v>
      </c>
      <c r="BS41" s="627">
        <f t="shared" si="93"/>
        <v>0.49605168700646085</v>
      </c>
      <c r="BT41" s="627">
        <f t="shared" si="93"/>
        <v>0.46928948556740424</v>
      </c>
      <c r="BU41" s="627">
        <f t="shared" si="93"/>
        <v>0.47724885760613206</v>
      </c>
      <c r="BV41" s="660">
        <f t="shared" si="93"/>
        <v>0.49005965648149019</v>
      </c>
      <c r="BW41" s="627">
        <f t="shared" si="93"/>
        <v>0.46570329834162083</v>
      </c>
      <c r="BX41" s="627">
        <f t="shared" si="93"/>
        <v>0.45735195280412216</v>
      </c>
      <c r="BY41" s="627">
        <f t="shared" si="93"/>
        <v>0.47647989923730588</v>
      </c>
      <c r="BZ41" s="627">
        <f t="shared" si="93"/>
        <v>0.46727477776303566</v>
      </c>
      <c r="CA41" s="660">
        <f t="shared" si="93"/>
        <v>0.46672799323750247</v>
      </c>
      <c r="CB41" s="627">
        <f t="shared" si="93"/>
        <v>0.45586019374678133</v>
      </c>
      <c r="CC41" s="627">
        <f t="shared" si="93"/>
        <v>0.473027827849266</v>
      </c>
      <c r="CD41" s="627">
        <f t="shared" si="93"/>
        <v>0.48726459719740278</v>
      </c>
      <c r="CE41" s="627">
        <f t="shared" si="93"/>
        <v>0.47634087766538097</v>
      </c>
      <c r="CF41" s="660">
        <f t="shared" si="93"/>
        <v>0.4733021784028803</v>
      </c>
      <c r="CG41" s="627">
        <f t="shared" si="93"/>
        <v>0.46899732414186146</v>
      </c>
      <c r="CH41" s="627">
        <f>CH40/CH23</f>
        <v>0.47077134660317649</v>
      </c>
      <c r="CI41" s="627">
        <f>CI40/CI23</f>
        <v>0.4687256711764522</v>
      </c>
      <c r="CJ41" s="627">
        <f t="shared" ref="CJ41" si="94">CJ40/CJ23</f>
        <v>0.47012645736429809</v>
      </c>
      <c r="CK41" s="660">
        <f t="shared" si="93"/>
        <v>0.46966301385113596</v>
      </c>
      <c r="CL41" s="627">
        <f t="shared" ref="CL41" si="95">CL40/CL23</f>
        <v>0.50443498801235043</v>
      </c>
      <c r="CM41" s="627">
        <f t="shared" si="93"/>
        <v>0.48882014772267862</v>
      </c>
      <c r="CN41" s="627">
        <f t="shared" ref="CN41:CO41" si="96">CN40/CN23</f>
        <v>0.50368447285438822</v>
      </c>
      <c r="CO41" s="627">
        <f t="shared" si="96"/>
        <v>0.50092520472236768</v>
      </c>
      <c r="CP41" s="660">
        <f>CP40/CP23</f>
        <v>0.4993965528419943</v>
      </c>
      <c r="CQ41" s="627">
        <f t="shared" ref="CQ41:CS41" si="97">CQ40/CQ23</f>
        <v>0.51635184556435454</v>
      </c>
      <c r="CR41" s="627">
        <f t="shared" si="97"/>
        <v>0.50900958924920747</v>
      </c>
      <c r="CS41" s="627">
        <f t="shared" si="97"/>
        <v>0.51699217025496891</v>
      </c>
      <c r="CT41" s="627">
        <f>CT40/CT23</f>
        <v>0.52223481268981786</v>
      </c>
      <c r="CU41" s="660">
        <f>CU40/CU23</f>
        <v>0.51611204005809574</v>
      </c>
      <c r="CV41" s="627"/>
      <c r="CW41" s="627"/>
      <c r="CX41" s="627"/>
      <c r="CY41" s="627"/>
      <c r="CZ41" s="641"/>
      <c r="DA41" s="642"/>
      <c r="DB41" s="641"/>
      <c r="DC41" s="641"/>
      <c r="DD41" s="641"/>
      <c r="DE41" s="642"/>
      <c r="DF41" s="642"/>
    </row>
    <row r="42" spans="1:117">
      <c r="A42" s="7"/>
      <c r="B42" s="8"/>
      <c r="C42" s="7"/>
      <c r="D42" s="9"/>
      <c r="E42" s="7"/>
      <c r="F42" s="7"/>
      <c r="G42" s="7"/>
      <c r="H42" s="7"/>
      <c r="I42" s="9"/>
      <c r="J42" s="7"/>
      <c r="K42" s="7"/>
      <c r="L42" s="7"/>
      <c r="M42" s="7"/>
      <c r="N42" s="9"/>
      <c r="O42" s="7"/>
      <c r="P42" s="7"/>
      <c r="Q42" s="7"/>
      <c r="R42" s="7"/>
      <c r="S42" s="9"/>
      <c r="T42" s="12"/>
      <c r="U42" s="7"/>
      <c r="V42" s="7"/>
      <c r="W42" s="7"/>
      <c r="X42" s="9"/>
      <c r="Y42" s="7"/>
      <c r="Z42" s="7"/>
      <c r="AA42" s="7"/>
      <c r="AB42" s="7"/>
      <c r="AC42" s="9"/>
      <c r="AD42" s="22"/>
      <c r="AE42" s="7"/>
      <c r="AF42" s="7"/>
      <c r="AG42" s="7"/>
      <c r="AH42" s="9"/>
      <c r="AI42" s="7"/>
      <c r="AJ42" s="7"/>
      <c r="AK42" s="7"/>
      <c r="AL42" s="7"/>
      <c r="AM42" s="9"/>
      <c r="AN42" s="7"/>
      <c r="AO42" s="7"/>
      <c r="AP42" s="7"/>
      <c r="AQ42" s="7"/>
      <c r="AR42" s="9"/>
      <c r="AS42" s="279"/>
      <c r="AT42" s="7"/>
      <c r="AU42" s="279"/>
      <c r="AV42" s="7"/>
      <c r="AW42" s="9"/>
      <c r="AX42" s="279"/>
      <c r="AY42" s="7"/>
      <c r="AZ42" s="489"/>
      <c r="BA42" s="494"/>
      <c r="BB42" s="9"/>
      <c r="BC42" s="279"/>
      <c r="BD42" s="7"/>
      <c r="BE42" s="7"/>
      <c r="BF42" s="7"/>
      <c r="BG42" s="9"/>
      <c r="BH42" s="279"/>
      <c r="BI42" s="7"/>
      <c r="BJ42" s="7"/>
      <c r="BK42" s="7"/>
      <c r="BL42" s="9"/>
      <c r="BM42" s="7"/>
      <c r="BN42" s="7"/>
      <c r="BO42" s="7"/>
      <c r="BP42" s="7"/>
      <c r="BQ42" s="9"/>
      <c r="BR42" s="7"/>
      <c r="BS42" s="7"/>
      <c r="BT42" s="7"/>
      <c r="BU42" s="7"/>
      <c r="BV42" s="9"/>
      <c r="BW42" s="281"/>
      <c r="BX42" s="7"/>
      <c r="BY42" s="7"/>
      <c r="BZ42" s="7"/>
      <c r="CA42" s="9"/>
      <c r="CB42" s="7"/>
      <c r="CC42" s="7"/>
      <c r="CD42" s="7"/>
      <c r="CE42" s="7"/>
      <c r="CF42" s="9"/>
      <c r="CG42" s="7"/>
      <c r="CH42" s="7"/>
      <c r="CI42" s="7"/>
      <c r="CJ42" s="7"/>
      <c r="CK42" s="9"/>
      <c r="CL42" s="7"/>
      <c r="CM42" s="7"/>
      <c r="CN42" s="7"/>
      <c r="CO42" s="7"/>
      <c r="CP42" s="9"/>
      <c r="CQ42" s="7"/>
      <c r="CR42" s="7"/>
      <c r="CS42" s="7"/>
      <c r="CT42" s="7"/>
      <c r="CU42" s="9"/>
      <c r="CV42" s="7"/>
      <c r="CW42" s="7"/>
      <c r="CX42" s="7"/>
      <c r="CY42" s="7"/>
      <c r="CZ42" s="205"/>
      <c r="DA42" s="68"/>
      <c r="DB42" s="68"/>
      <c r="DC42" s="68"/>
      <c r="DD42" s="205"/>
      <c r="DE42" s="68"/>
      <c r="DF42" s="68"/>
    </row>
    <row r="43" spans="1:117">
      <c r="A43" s="7"/>
      <c r="B43" s="34" t="s">
        <v>28</v>
      </c>
      <c r="C43" s="7"/>
      <c r="D43" s="9"/>
      <c r="E43" s="7"/>
      <c r="F43" s="7"/>
      <c r="G43" s="7"/>
      <c r="H43" s="7"/>
      <c r="I43" s="9"/>
      <c r="J43" s="7"/>
      <c r="K43" s="7"/>
      <c r="L43" s="7"/>
      <c r="M43" s="7"/>
      <c r="N43" s="9"/>
      <c r="O43" s="7"/>
      <c r="P43" s="7"/>
      <c r="Q43" s="7"/>
      <c r="R43" s="7"/>
      <c r="S43" s="9"/>
      <c r="T43" s="12"/>
      <c r="U43" s="7"/>
      <c r="V43" s="7"/>
      <c r="W43" s="7"/>
      <c r="X43" s="9"/>
      <c r="Y43" s="7"/>
      <c r="Z43" s="7"/>
      <c r="AA43" s="7"/>
      <c r="AB43" s="7"/>
      <c r="AC43" s="9"/>
      <c r="AD43" s="22"/>
      <c r="AE43" s="22"/>
      <c r="AF43" s="22"/>
      <c r="AG43" s="22"/>
      <c r="AH43" s="9"/>
      <c r="AI43" s="22"/>
      <c r="AJ43" s="22"/>
      <c r="AK43" s="22"/>
      <c r="AL43" s="22"/>
      <c r="AM43" s="9"/>
      <c r="AN43" s="22"/>
      <c r="AO43" s="22"/>
      <c r="AP43" s="22"/>
      <c r="AQ43" s="22"/>
      <c r="AR43" s="9"/>
      <c r="AS43" s="235"/>
      <c r="AT43" s="22"/>
      <c r="AU43" s="462"/>
      <c r="AV43" s="22"/>
      <c r="AW43" s="9"/>
      <c r="AX43" s="235"/>
      <c r="AY43" s="22"/>
      <c r="AZ43" s="235"/>
      <c r="BA43" s="22"/>
      <c r="BB43" s="9"/>
      <c r="BC43" s="235"/>
      <c r="BD43" s="22"/>
      <c r="BE43" s="22"/>
      <c r="BF43" s="22"/>
      <c r="BG43" s="9"/>
      <c r="BH43" s="235"/>
      <c r="BI43" s="22"/>
      <c r="BJ43" s="22"/>
      <c r="BK43" s="22"/>
      <c r="BL43" s="9"/>
      <c r="BM43" s="22"/>
      <c r="BN43" s="22"/>
      <c r="BO43" s="22"/>
      <c r="BP43" s="22"/>
      <c r="BQ43" s="9"/>
      <c r="BR43" s="22"/>
      <c r="BS43" s="22"/>
      <c r="BT43" s="22"/>
      <c r="BU43" s="22"/>
      <c r="BV43" s="9"/>
      <c r="BW43" s="22"/>
      <c r="BX43" s="22"/>
      <c r="BY43" s="22"/>
      <c r="BZ43" s="22"/>
      <c r="CA43" s="9"/>
      <c r="CB43" s="22"/>
      <c r="CC43" s="22"/>
      <c r="CD43" s="22"/>
      <c r="CE43" s="22"/>
      <c r="CF43" s="9"/>
      <c r="CG43" s="22"/>
      <c r="CH43" s="22"/>
      <c r="CI43" s="22"/>
      <c r="CJ43" s="22"/>
      <c r="CK43" s="9"/>
      <c r="CL43" s="22"/>
      <c r="CM43" s="22"/>
      <c r="CN43" s="22"/>
      <c r="CO43" s="22"/>
      <c r="CP43" s="9"/>
      <c r="CQ43" s="22"/>
      <c r="CR43" s="22"/>
      <c r="CS43" s="22"/>
      <c r="CT43" s="22"/>
      <c r="CU43" s="9"/>
      <c r="CV43" s="7" t="s">
        <v>967</v>
      </c>
      <c r="CW43" s="7"/>
      <c r="CX43" s="7"/>
      <c r="CY43" s="7"/>
      <c r="CZ43" s="205"/>
      <c r="DA43" s="68"/>
      <c r="DB43" s="205"/>
      <c r="DC43" s="205"/>
      <c r="DD43" s="68"/>
      <c r="DE43" s="68"/>
      <c r="DF43" s="68"/>
      <c r="DG43" s="179"/>
      <c r="DH43" s="179"/>
      <c r="DI43" s="179"/>
      <c r="DJ43" s="179"/>
      <c r="DK43" s="179"/>
      <c r="DL43" s="179"/>
      <c r="DM43" s="179"/>
    </row>
    <row r="44" spans="1:117">
      <c r="A44" s="7"/>
      <c r="B44" s="82" t="s">
        <v>917</v>
      </c>
      <c r="D44" s="222"/>
      <c r="E44" s="7"/>
      <c r="F44" s="7"/>
      <c r="G44" s="7"/>
      <c r="H44" s="7"/>
      <c r="I44" s="9"/>
      <c r="J44" s="7"/>
      <c r="K44" s="7"/>
      <c r="L44" s="7"/>
      <c r="M44" s="7"/>
      <c r="N44" s="9"/>
      <c r="O44" s="7"/>
      <c r="P44" s="7"/>
      <c r="Q44" s="7"/>
      <c r="R44" s="7"/>
      <c r="S44" s="9"/>
      <c r="T44" s="12"/>
      <c r="U44" s="7"/>
      <c r="V44" s="7"/>
      <c r="W44" s="7"/>
      <c r="X44" s="9"/>
      <c r="Y44" s="7"/>
      <c r="Z44" s="7"/>
      <c r="AA44" s="7"/>
      <c r="AB44" s="7"/>
      <c r="AC44" s="9"/>
      <c r="AD44" s="22"/>
      <c r="AE44" s="22"/>
      <c r="AF44" s="22"/>
      <c r="AG44" s="22"/>
      <c r="AH44" s="9"/>
      <c r="AI44" s="22"/>
      <c r="AJ44" s="22"/>
      <c r="AK44" s="22"/>
      <c r="AL44" s="22"/>
      <c r="AM44" s="9"/>
      <c r="AN44" s="22"/>
      <c r="AO44" s="22"/>
      <c r="AP44" s="22"/>
      <c r="AQ44" s="22"/>
      <c r="AR44" s="9"/>
      <c r="AS44" s="235"/>
      <c r="AT44" s="22"/>
      <c r="AU44" s="462"/>
      <c r="AV44" s="22"/>
      <c r="AW44" s="9"/>
      <c r="AX44" s="235"/>
      <c r="AY44" s="22"/>
      <c r="AZ44" s="235"/>
      <c r="BA44" s="22"/>
      <c r="BB44" s="9"/>
      <c r="BC44" s="235"/>
      <c r="BD44" s="22"/>
      <c r="BE44" s="22"/>
      <c r="BF44" s="22"/>
      <c r="BG44" s="9"/>
      <c r="BH44" s="235"/>
      <c r="BI44" s="22"/>
      <c r="BJ44" s="22"/>
      <c r="BK44" s="22"/>
      <c r="BL44" s="9"/>
      <c r="BM44" s="22">
        <v>27100</v>
      </c>
      <c r="BN44" s="22">
        <v>22234</v>
      </c>
      <c r="BO44" s="22">
        <v>23463</v>
      </c>
      <c r="BP44" s="22">
        <v>25668</v>
      </c>
      <c r="BQ44" s="23">
        <f>SUM(BM44:BP44)</f>
        <v>98465</v>
      </c>
      <c r="BR44" s="22">
        <f>25480</f>
        <v>25480</v>
      </c>
      <c r="BS44" s="22">
        <f>29708</f>
        <v>29708</v>
      </c>
      <c r="BT44" s="22">
        <f>30262</f>
        <v>30262</v>
      </c>
      <c r="BU44" s="22">
        <f>33176</f>
        <v>33176</v>
      </c>
      <c r="BV44" s="23">
        <f>SUM(BR44:BU44)</f>
        <v>118626</v>
      </c>
      <c r="BW44" s="22">
        <f>33066</f>
        <v>33066</v>
      </c>
      <c r="BX44" s="22">
        <f>34021</f>
        <v>34021</v>
      </c>
      <c r="BY44" s="22">
        <f>33689</f>
        <v>33689</v>
      </c>
      <c r="BZ44" s="22">
        <f>34969-2229</f>
        <v>32740</v>
      </c>
      <c r="CA44" s="23">
        <f>SUM(BW44:BZ44)</f>
        <v>133516</v>
      </c>
      <c r="CB44" s="12">
        <f>37103-2393</f>
        <v>34710</v>
      </c>
      <c r="CC44" s="12">
        <f>37103-2367</f>
        <v>34736</v>
      </c>
      <c r="CD44" s="12">
        <f>35898-2628</f>
        <v>33270</v>
      </c>
      <c r="CE44" s="12">
        <f>39666-2730</f>
        <v>36936</v>
      </c>
      <c r="CF44" s="13">
        <f>SUM(CB44:CE44)</f>
        <v>139652</v>
      </c>
      <c r="CG44" s="12">
        <f>36427-2983</f>
        <v>33444</v>
      </c>
      <c r="CH44" s="12">
        <f>41565-3141</f>
        <v>38424</v>
      </c>
      <c r="CI44" s="12">
        <f>38203-3259</f>
        <v>34944</v>
      </c>
      <c r="CJ44" s="12">
        <f>41536-3457</f>
        <v>38079</v>
      </c>
      <c r="CK44" s="13">
        <f>SUM(CG44:CJ44)</f>
        <v>144891</v>
      </c>
      <c r="CL44" s="12">
        <f>36473-3500</f>
        <v>32973</v>
      </c>
      <c r="CM44" s="12">
        <f>36312-3500</f>
        <v>32812</v>
      </c>
      <c r="CN44" s="12">
        <f>37560-3500</f>
        <v>34060</v>
      </c>
      <c r="CO44" s="12">
        <f>38225-3500</f>
        <v>34725</v>
      </c>
      <c r="CP44" s="13">
        <f>SUM(CL44:CO44)</f>
        <v>134570</v>
      </c>
      <c r="CQ44" s="12">
        <f>CQ23*CQ45</f>
        <v>34686.031589999999</v>
      </c>
      <c r="CR44" s="12">
        <f>CR23*CR45</f>
        <v>36341.414479999999</v>
      </c>
      <c r="CS44" s="12">
        <f>CS23*CS45</f>
        <v>37583.244259999999</v>
      </c>
      <c r="CT44" s="12">
        <f>CT23*CT45</f>
        <v>38243.340554399998</v>
      </c>
      <c r="CU44" s="13">
        <f>SUM(CQ44:CT44)</f>
        <v>146854.03088440001</v>
      </c>
      <c r="CV44" s="7"/>
      <c r="CW44" s="7"/>
      <c r="CX44" s="7"/>
      <c r="CY44" s="7"/>
      <c r="CZ44" s="205"/>
      <c r="DA44" s="68"/>
      <c r="DB44" s="205"/>
      <c r="DC44" s="205"/>
      <c r="DD44" s="68"/>
      <c r="DE44" s="68"/>
      <c r="DF44" s="68"/>
      <c r="DG44" s="179"/>
      <c r="DH44" s="179"/>
      <c r="DI44" s="179"/>
      <c r="DJ44" s="179"/>
      <c r="DK44" s="179"/>
      <c r="DL44" s="179"/>
      <c r="DM44" s="179"/>
    </row>
    <row r="45" spans="1:117">
      <c r="A45" s="7"/>
      <c r="B45" s="34"/>
      <c r="C45" s="627" t="s">
        <v>29</v>
      </c>
      <c r="D45" s="222"/>
      <c r="E45" s="7"/>
      <c r="F45" s="7"/>
      <c r="G45" s="7"/>
      <c r="H45" s="7"/>
      <c r="I45" s="9"/>
      <c r="J45" s="7"/>
      <c r="K45" s="7"/>
      <c r="L45" s="7"/>
      <c r="M45" s="7"/>
      <c r="N45" s="9"/>
      <c r="O45" s="7"/>
      <c r="P45" s="7"/>
      <c r="Q45" s="7"/>
      <c r="R45" s="7"/>
      <c r="S45" s="9"/>
      <c r="T45" s="12"/>
      <c r="U45" s="7"/>
      <c r="V45" s="7"/>
      <c r="W45" s="7"/>
      <c r="X45" s="9"/>
      <c r="Y45" s="7"/>
      <c r="Z45" s="7"/>
      <c r="AA45" s="7"/>
      <c r="AB45" s="7"/>
      <c r="AC45" s="9"/>
      <c r="AD45" s="22"/>
      <c r="AE45" s="22"/>
      <c r="AF45" s="22"/>
      <c r="AG45" s="22"/>
      <c r="AH45" s="9"/>
      <c r="AI45" s="22"/>
      <c r="AJ45" s="22"/>
      <c r="AK45" s="22"/>
      <c r="AL45" s="22"/>
      <c r="AM45" s="9"/>
      <c r="AN45" s="22"/>
      <c r="AO45" s="22"/>
      <c r="AP45" s="22"/>
      <c r="AQ45" s="22"/>
      <c r="AR45" s="9"/>
      <c r="AS45" s="235"/>
      <c r="AT45" s="22"/>
      <c r="AU45" s="462"/>
      <c r="AV45" s="22"/>
      <c r="AW45" s="9"/>
      <c r="AX45" s="235"/>
      <c r="AY45" s="22"/>
      <c r="AZ45" s="235"/>
      <c r="BA45" s="22"/>
      <c r="BB45" s="9"/>
      <c r="BC45" s="235"/>
      <c r="BD45" s="22"/>
      <c r="BE45" s="22"/>
      <c r="BF45" s="22"/>
      <c r="BG45" s="9"/>
      <c r="BH45" s="235"/>
      <c r="BI45" s="22"/>
      <c r="BJ45" s="22"/>
      <c r="BK45" s="22"/>
      <c r="BL45" s="9"/>
      <c r="BM45" s="627">
        <f t="shared" ref="BM45:CG45" si="98">BM44/BM23</f>
        <v>9.7911698822169227E-2</v>
      </c>
      <c r="BN45" s="627">
        <f t="shared" si="98"/>
        <v>8.1944797644188425E-2</v>
      </c>
      <c r="BO45" s="627">
        <f t="shared" si="98"/>
        <v>8.2056536929463478E-2</v>
      </c>
      <c r="BP45" s="627">
        <f t="shared" si="98"/>
        <v>9.0569073561790781E-2</v>
      </c>
      <c r="BQ45" s="628">
        <f t="shared" si="98"/>
        <v>8.8115483948332546E-2</v>
      </c>
      <c r="BR45" s="627">
        <f t="shared" si="98"/>
        <v>8.6430892599100417E-2</v>
      </c>
      <c r="BS45" s="627">
        <f t="shared" si="98"/>
        <v>7.3287399195289163E-2</v>
      </c>
      <c r="BT45" s="627">
        <f t="shared" si="98"/>
        <v>6.5697835979019764E-2</v>
      </c>
      <c r="BU45" s="627">
        <f t="shared" si="98"/>
        <v>7.6411409198113206E-2</v>
      </c>
      <c r="BV45" s="628">
        <f t="shared" si="98"/>
        <v>7.4375299771468339E-2</v>
      </c>
      <c r="BW45" s="627">
        <f t="shared" si="98"/>
        <v>7.2495987792364963E-2</v>
      </c>
      <c r="BX45" s="627">
        <f t="shared" si="98"/>
        <v>7.2588198896913703E-2</v>
      </c>
      <c r="BY45" s="627">
        <f t="shared" si="98"/>
        <v>7.1195352405265533E-2</v>
      </c>
      <c r="BZ45" s="627">
        <f t="shared" si="98"/>
        <v>7.2398390164079424E-2</v>
      </c>
      <c r="CA45" s="628">
        <f t="shared" si="98"/>
        <v>7.2162853393463636E-2</v>
      </c>
      <c r="CB45" s="627">
        <f t="shared" si="98"/>
        <v>7.3561045495101229E-2</v>
      </c>
      <c r="CC45" s="627">
        <f t="shared" si="98"/>
        <v>6.8882503534749617E-2</v>
      </c>
      <c r="CD45" s="627">
        <f t="shared" si="98"/>
        <v>6.7255055752763374E-2</v>
      </c>
      <c r="CE45" s="627">
        <f t="shared" si="98"/>
        <v>7.6800399222348131E-2</v>
      </c>
      <c r="CF45" s="628">
        <f t="shared" si="98"/>
        <v>7.1552160085994576E-2</v>
      </c>
      <c r="CG45" s="627">
        <f t="shared" si="98"/>
        <v>6.5274543825715958E-2</v>
      </c>
      <c r="CH45" s="627">
        <f>CH44/CH23</f>
        <v>7.1027180503386467E-2</v>
      </c>
      <c r="CI45" s="627">
        <f>CI44/CI23</f>
        <v>6.4313676410772694E-2</v>
      </c>
      <c r="CJ45" s="627">
        <f t="shared" ref="CJ45" si="99">CJ44/CJ23</f>
        <v>7.0369282114682033E-2</v>
      </c>
      <c r="CK45" s="628">
        <f>CK44/CK23</f>
        <v>6.7775655661443085E-2</v>
      </c>
      <c r="CL45" s="627">
        <f t="shared" ref="CL45" si="100">CL44/CL23</f>
        <v>5.834225403200835E-2</v>
      </c>
      <c r="CM45" s="627">
        <f>CM44/CM23</f>
        <v>5.5042885876430296E-2</v>
      </c>
      <c r="CN45" s="631">
        <f>CN44/CN23</f>
        <v>5.715925548643265E-2</v>
      </c>
      <c r="CO45" s="631">
        <f>CO44/CO23</f>
        <v>5.8840171614100233E-2</v>
      </c>
      <c r="CP45" s="628">
        <f>CP44/CP23</f>
        <v>5.7329233074331215E-2</v>
      </c>
      <c r="CQ45" s="676">
        <v>5.7000000000000002E-2</v>
      </c>
      <c r="CR45" s="676">
        <v>5.6000000000000001E-2</v>
      </c>
      <c r="CS45" s="676">
        <v>5.8999999999999997E-2</v>
      </c>
      <c r="CT45" s="676">
        <v>0.06</v>
      </c>
      <c r="CU45" s="628">
        <f>CU44/CU23</f>
        <v>5.8002112122798544E-2</v>
      </c>
      <c r="CV45" s="7"/>
      <c r="CW45" s="7"/>
      <c r="CX45" s="7"/>
      <c r="CY45" s="7"/>
      <c r="CZ45" s="205"/>
      <c r="DA45" s="68"/>
      <c r="DB45" s="205"/>
      <c r="DC45" s="205"/>
      <c r="DD45" s="68"/>
      <c r="DE45" s="68"/>
      <c r="DF45" s="68"/>
      <c r="DG45" s="179"/>
      <c r="DH45" s="179"/>
      <c r="DI45" s="179"/>
      <c r="DJ45" s="179"/>
      <c r="DK45" s="179"/>
      <c r="DL45" s="179"/>
      <c r="DM45" s="179"/>
    </row>
    <row r="46" spans="1:117" ht="18" customHeight="1">
      <c r="A46" s="10"/>
      <c r="B46" s="82" t="s">
        <v>918</v>
      </c>
      <c r="C46" s="7"/>
      <c r="D46" s="79">
        <v>51724</v>
      </c>
      <c r="E46" s="12">
        <v>14752</v>
      </c>
      <c r="F46" s="12">
        <v>15418</v>
      </c>
      <c r="G46" s="12">
        <v>15985</v>
      </c>
      <c r="H46" s="12">
        <f>I46-G46-F46-E46</f>
        <v>16768</v>
      </c>
      <c r="I46" s="13">
        <v>62923</v>
      </c>
      <c r="J46" s="12">
        <v>17410</v>
      </c>
      <c r="K46" s="12">
        <v>17084</v>
      </c>
      <c r="L46" s="12">
        <v>17114</v>
      </c>
      <c r="M46" s="12">
        <f>N46-L46-K46-J46</f>
        <v>18507</v>
      </c>
      <c r="N46" s="13">
        <v>70115</v>
      </c>
      <c r="O46" s="12">
        <v>17561</v>
      </c>
      <c r="P46" s="12">
        <v>17439</v>
      </c>
      <c r="Q46" s="35">
        <v>17337</v>
      </c>
      <c r="R46" s="12">
        <v>17143</v>
      </c>
      <c r="S46" s="13">
        <f>SUM(O46:R46)</f>
        <v>69480</v>
      </c>
      <c r="T46" s="12">
        <f>17288-1450+196</f>
        <v>16034</v>
      </c>
      <c r="U46" s="12">
        <f>18466-1519+214</f>
        <v>17161</v>
      </c>
      <c r="V46" s="12">
        <f>18755-1616+239</f>
        <v>17378</v>
      </c>
      <c r="W46" s="12">
        <f>21141-1668+222</f>
        <v>19695</v>
      </c>
      <c r="X46" s="13">
        <f>SUM(T46:W46)</f>
        <v>70268</v>
      </c>
      <c r="Y46" s="12">
        <f>21335-1835+248</f>
        <v>19748</v>
      </c>
      <c r="Z46" s="12">
        <f>21699-1768+257</f>
        <v>20188</v>
      </c>
      <c r="AA46" s="12">
        <f>20909-1903+286</f>
        <v>19292</v>
      </c>
      <c r="AB46" s="12">
        <f>22763-1905+293</f>
        <v>21151</v>
      </c>
      <c r="AC46" s="13">
        <f>SUM(Y46:AB46)</f>
        <v>80379</v>
      </c>
      <c r="AD46" s="12">
        <f>22646-2575+336</f>
        <v>20407</v>
      </c>
      <c r="AE46" s="12">
        <f>24971-2903+343</f>
        <v>22411</v>
      </c>
      <c r="AF46" s="12">
        <f>24581-2653-510</f>
        <v>21418</v>
      </c>
      <c r="AG46" s="12">
        <f>26091-3114+422-472</f>
        <v>22927</v>
      </c>
      <c r="AH46" s="13">
        <f>SUM(AD46:AG46)</f>
        <v>87163</v>
      </c>
      <c r="AI46" s="12">
        <f>25367-3462-24+513</f>
        <v>22394</v>
      </c>
      <c r="AJ46" s="12">
        <f>27419+513-3539</f>
        <v>24393</v>
      </c>
      <c r="AK46" s="12">
        <f>27344-144-3316</f>
        <v>23884</v>
      </c>
      <c r="AL46" s="12">
        <f>28130-346-3350</f>
        <v>24434</v>
      </c>
      <c r="AM46" s="13">
        <f>SUM(AI46:AL46)</f>
        <v>95105</v>
      </c>
      <c r="AN46" s="12">
        <f>28545-3557-76</f>
        <v>24912</v>
      </c>
      <c r="AO46" s="12">
        <f>30396-3857-197</f>
        <v>26342</v>
      </c>
      <c r="AP46" s="12">
        <f>31869-4696-342-60</f>
        <v>26771</v>
      </c>
      <c r="AQ46" s="12">
        <f>42507-5533-1173-5723+1031</f>
        <v>31109</v>
      </c>
      <c r="AR46" s="13">
        <f>SUM(AN46:AQ46)</f>
        <v>109134</v>
      </c>
      <c r="AS46" s="81">
        <f>40759-18-6480+1317</f>
        <v>35578</v>
      </c>
      <c r="AT46" s="12">
        <f>42232-174-7212+1571</f>
        <v>36417</v>
      </c>
      <c r="AU46" s="81">
        <f>42007+1779-7656-498</f>
        <v>35632</v>
      </c>
      <c r="AV46" s="12">
        <f>42162-8399-311+1881</f>
        <v>35333</v>
      </c>
      <c r="AW46" s="13">
        <f>SUM(AS46:AV46)</f>
        <v>142960</v>
      </c>
      <c r="AX46" s="12">
        <f>43142-383-8676+2097</f>
        <v>36180</v>
      </c>
      <c r="AY46" s="12">
        <f>43451-128-8901+2253</f>
        <v>36675</v>
      </c>
      <c r="AZ46" s="81">
        <f>44656+2524-173-9791</f>
        <v>37216</v>
      </c>
      <c r="BA46" s="12">
        <f>45725+2541-9980-418</f>
        <v>37868</v>
      </c>
      <c r="BB46" s="13">
        <f>SUM(AX46:BA46)</f>
        <v>147939</v>
      </c>
      <c r="BC46" s="12">
        <f>47604-10557-320+2776</f>
        <v>39503</v>
      </c>
      <c r="BD46" s="12">
        <f>52262-9978-604</f>
        <v>41680</v>
      </c>
      <c r="BE46" s="12">
        <f>52605-10567-484</f>
        <v>41554</v>
      </c>
      <c r="BF46" s="12">
        <f>55134-10826-4</f>
        <v>44304</v>
      </c>
      <c r="BG46" s="13">
        <f>SUM(BC46:BF46)</f>
        <v>167041</v>
      </c>
      <c r="BH46" s="12">
        <f>57766-10618-123-695</f>
        <v>46330</v>
      </c>
      <c r="BI46" s="12">
        <f>65827-11310-308-245</f>
        <v>53964</v>
      </c>
      <c r="BJ46" s="12">
        <f>63888-11275-621-5</f>
        <v>51987</v>
      </c>
      <c r="BK46" s="12">
        <f>70265-11762-693-197</f>
        <v>57613</v>
      </c>
      <c r="BL46" s="13">
        <f>SUM(BH46:BK46)</f>
        <v>209894</v>
      </c>
      <c r="BM46" s="12">
        <f>41120-17302+4252-1198-727</f>
        <v>26145</v>
      </c>
      <c r="BN46" s="12">
        <f>41039-18386+4369-1259</f>
        <v>25763</v>
      </c>
      <c r="BO46" s="12">
        <f>44109-18424-134+4555</f>
        <v>30106</v>
      </c>
      <c r="BP46" s="12">
        <f>37821-8304-703-810</f>
        <v>28004</v>
      </c>
      <c r="BQ46" s="13">
        <f>SUM(BM46:BP46)</f>
        <v>110018</v>
      </c>
      <c r="BR46" s="12">
        <f>53293-20724-767-813</f>
        <v>30989</v>
      </c>
      <c r="BS46" s="12">
        <f>79215-19266-393-19017</f>
        <v>40539</v>
      </c>
      <c r="BT46" s="12">
        <f>71586-29461-401+6303-2888</f>
        <v>45139</v>
      </c>
      <c r="BU46" s="12">
        <f>67860-1876-777-17873</f>
        <v>47334</v>
      </c>
      <c r="BV46" s="13">
        <f>SUM(BR46:BU46)</f>
        <v>164001</v>
      </c>
      <c r="BW46" s="12">
        <f>64829-25279-712-1031+6772</f>
        <v>44579</v>
      </c>
      <c r="BX46" s="12">
        <f>65680-25800-398+6867</f>
        <v>46349</v>
      </c>
      <c r="BY46" s="12">
        <f>69931-26912-86+7181-183-1159</f>
        <v>48772</v>
      </c>
      <c r="BZ46" s="12">
        <f>66883-16098-378-757-1623</f>
        <v>48027</v>
      </c>
      <c r="CA46" s="13">
        <f>SUM(BW46:BZ46)</f>
        <v>187727</v>
      </c>
      <c r="CB46" s="12">
        <f>72360-19161-479-22-1545</f>
        <v>51153</v>
      </c>
      <c r="CC46" s="12">
        <f>77681-17224-669-50</f>
        <v>59738</v>
      </c>
      <c r="CD46" s="12">
        <f>78519-17506-3812-183-43</f>
        <v>56975</v>
      </c>
      <c r="CE46" s="12">
        <f>80015-17722-2863-682-154</f>
        <v>58594</v>
      </c>
      <c r="CF46" s="13">
        <f>SUM(CB46:CE46)</f>
        <v>226460</v>
      </c>
      <c r="CG46" s="12">
        <f>72710-16493-805-27+326</f>
        <v>55711</v>
      </c>
      <c r="CH46" s="12">
        <f>75420-19646-873-2-167</f>
        <v>54732</v>
      </c>
      <c r="CI46" s="12">
        <f>72460-19956-625-35</f>
        <v>51844</v>
      </c>
      <c r="CJ46" s="12">
        <f>80348-22556-1303-1374</f>
        <v>55115</v>
      </c>
      <c r="CK46" s="13">
        <f>SUM(CG46:CJ46)</f>
        <v>217402</v>
      </c>
      <c r="CL46" s="12">
        <f>79452-28946-1064-33-24+3750+3500</f>
        <v>56635</v>
      </c>
      <c r="CM46" s="12">
        <f>76601-22161-1055-24</f>
        <v>53361</v>
      </c>
      <c r="CN46" s="12">
        <f>79971-20112-159-214-57</f>
        <v>59429</v>
      </c>
      <c r="CO46" s="12">
        <f>80423-22178-688-467-60</f>
        <v>57030</v>
      </c>
      <c r="CP46" s="13">
        <f>SUM(CL46:CO46)</f>
        <v>226455</v>
      </c>
      <c r="CQ46" s="12">
        <f>CQ23*CQ47</f>
        <v>58418.579519999999</v>
      </c>
      <c r="CR46" s="12">
        <f>CR23*CR47</f>
        <v>59703.752359999999</v>
      </c>
      <c r="CS46" s="12">
        <f>CS23*CS47</f>
        <v>61152.397440000001</v>
      </c>
      <c r="CT46" s="12">
        <f>CT23*CT47</f>
        <v>61189.344887040003</v>
      </c>
      <c r="CU46" s="13">
        <f>SUM(CQ46:CT46)</f>
        <v>240464.07420703999</v>
      </c>
      <c r="CV46" s="12"/>
      <c r="CW46" s="12">
        <f>24366-6493</f>
        <v>17873</v>
      </c>
      <c r="CX46" s="12"/>
      <c r="CY46" s="12"/>
      <c r="CZ46" s="68"/>
      <c r="DA46" s="68"/>
      <c r="DB46" s="68"/>
      <c r="DC46" s="68"/>
      <c r="DD46" s="68"/>
      <c r="DE46" s="68"/>
      <c r="DF46" s="68"/>
    </row>
    <row r="47" spans="1:117" s="686" customFormat="1" ht="11.65" customHeight="1">
      <c r="A47" s="625"/>
      <c r="B47" s="626"/>
      <c r="C47" s="627" t="s">
        <v>29</v>
      </c>
      <c r="D47" s="628">
        <f t="shared" ref="D47:AI47" si="101">D46/D23</f>
        <v>0.23532730349960873</v>
      </c>
      <c r="E47" s="627">
        <f t="shared" si="101"/>
        <v>0.24855520547252785</v>
      </c>
      <c r="F47" s="627">
        <f t="shared" si="101"/>
        <v>0.22818156255087393</v>
      </c>
      <c r="G47" s="627">
        <f t="shared" si="101"/>
        <v>0.23289188047263137</v>
      </c>
      <c r="H47" s="627">
        <f t="shared" si="101"/>
        <v>0.24111353962958704</v>
      </c>
      <c r="I47" s="628">
        <f t="shared" si="101"/>
        <v>0.23735481948389481</v>
      </c>
      <c r="J47" s="627">
        <f t="shared" si="101"/>
        <v>0.25026953209228781</v>
      </c>
      <c r="K47" s="627">
        <f t="shared" si="101"/>
        <v>0.23671229839827079</v>
      </c>
      <c r="L47" s="627">
        <f t="shared" si="101"/>
        <v>0.23023731367378786</v>
      </c>
      <c r="M47" s="627">
        <f t="shared" si="101"/>
        <v>0.24936335340959617</v>
      </c>
      <c r="N47" s="628">
        <f t="shared" si="101"/>
        <v>0.24153765596687404</v>
      </c>
      <c r="O47" s="627">
        <f t="shared" si="101"/>
        <v>0.25151818963047839</v>
      </c>
      <c r="P47" s="627">
        <f t="shared" si="101"/>
        <v>0.24020661157024795</v>
      </c>
      <c r="Q47" s="682">
        <f t="shared" si="101"/>
        <v>0.23501741924114466</v>
      </c>
      <c r="R47" s="627">
        <f t="shared" si="101"/>
        <v>0.23665428843578734</v>
      </c>
      <c r="S47" s="628">
        <f t="shared" si="101"/>
        <v>0.24072508557728287</v>
      </c>
      <c r="T47" s="627">
        <f t="shared" si="101"/>
        <v>0.21846770127941356</v>
      </c>
      <c r="U47" s="627">
        <f t="shared" si="101"/>
        <v>0.22363979930931127</v>
      </c>
      <c r="V47" s="627">
        <f t="shared" si="101"/>
        <v>0.22515029021558872</v>
      </c>
      <c r="W47" s="627">
        <f t="shared" si="101"/>
        <v>0.23995175379817005</v>
      </c>
      <c r="X47" s="628">
        <f t="shared" si="101"/>
        <v>0.22711714303260275</v>
      </c>
      <c r="Y47" s="627">
        <f t="shared" si="101"/>
        <v>0.23872441763475696</v>
      </c>
      <c r="Z47" s="627">
        <f t="shared" si="101"/>
        <v>0.22095263111811575</v>
      </c>
      <c r="AA47" s="627">
        <f t="shared" si="101"/>
        <v>0.20557301934040173</v>
      </c>
      <c r="AB47" s="627">
        <f t="shared" si="101"/>
        <v>0.22178298800436205</v>
      </c>
      <c r="AC47" s="628">
        <f t="shared" si="101"/>
        <v>0.22124446744324314</v>
      </c>
      <c r="AD47" s="627">
        <f t="shared" si="101"/>
        <v>0.2130189250409712</v>
      </c>
      <c r="AE47" s="627">
        <f t="shared" si="101"/>
        <v>0.21739678721092659</v>
      </c>
      <c r="AF47" s="627">
        <f t="shared" si="101"/>
        <v>0.20012894665532932</v>
      </c>
      <c r="AG47" s="627">
        <f t="shared" si="101"/>
        <v>0.20704384340994267</v>
      </c>
      <c r="AH47" s="628">
        <f t="shared" si="101"/>
        <v>0.20920308273509935</v>
      </c>
      <c r="AI47" s="627">
        <f t="shared" si="101"/>
        <v>0.19883508248539414</v>
      </c>
      <c r="AJ47" s="627">
        <f t="shared" ref="AJ47:BO47" si="102">AJ46/AJ23</f>
        <v>0.19613093084400704</v>
      </c>
      <c r="AK47" s="627">
        <f t="shared" si="102"/>
        <v>0.18563079027544613</v>
      </c>
      <c r="AL47" s="627">
        <f t="shared" si="102"/>
        <v>0.19172944130571248</v>
      </c>
      <c r="AM47" s="628">
        <f t="shared" si="102"/>
        <v>0.19287123733271683</v>
      </c>
      <c r="AN47" s="627">
        <f t="shared" si="102"/>
        <v>0.18457982010284071</v>
      </c>
      <c r="AO47" s="627">
        <f t="shared" si="102"/>
        <v>0.18006083598209099</v>
      </c>
      <c r="AP47" s="627">
        <f t="shared" si="102"/>
        <v>0.17747356558056282</v>
      </c>
      <c r="AQ47" s="627">
        <f t="shared" si="102"/>
        <v>0.19186623822769353</v>
      </c>
      <c r="AR47" s="628">
        <f t="shared" si="102"/>
        <v>0.18365152420298025</v>
      </c>
      <c r="AS47" s="627">
        <f t="shared" si="102"/>
        <v>0.19232598871278136</v>
      </c>
      <c r="AT47" s="627">
        <f t="shared" si="102"/>
        <v>0.18795967979189571</v>
      </c>
      <c r="AU47" s="627">
        <f t="shared" si="102"/>
        <v>0.18018072685164116</v>
      </c>
      <c r="AV47" s="627">
        <f t="shared" si="102"/>
        <v>0.18114285128373389</v>
      </c>
      <c r="AW47" s="628">
        <f t="shared" si="102"/>
        <v>0.18528935260190527</v>
      </c>
      <c r="AX47" s="626">
        <f t="shared" si="102"/>
        <v>0.18102943604677343</v>
      </c>
      <c r="AY47" s="627">
        <f t="shared" si="102"/>
        <v>0.17512821247457239</v>
      </c>
      <c r="AZ47" s="631">
        <f t="shared" si="102"/>
        <v>0.17357561285026679</v>
      </c>
      <c r="BA47" s="631">
        <f t="shared" si="102"/>
        <v>0.1736379226543657</v>
      </c>
      <c r="BB47" s="628">
        <f t="shared" si="102"/>
        <v>0.17574774076973612</v>
      </c>
      <c r="BC47" s="626">
        <f t="shared" si="102"/>
        <v>0.1784357567134178</v>
      </c>
      <c r="BD47" s="627">
        <f t="shared" si="102"/>
        <v>0.17533084863832543</v>
      </c>
      <c r="BE47" s="627">
        <f t="shared" si="102"/>
        <v>0.17491412984913793</v>
      </c>
      <c r="BF47" s="627">
        <f t="shared" si="102"/>
        <v>0.18229623137598597</v>
      </c>
      <c r="BG47" s="628">
        <f t="shared" si="102"/>
        <v>0.17775841005929502</v>
      </c>
      <c r="BH47" s="627">
        <f t="shared" si="102"/>
        <v>0.18624152305608149</v>
      </c>
      <c r="BI47" s="627">
        <f t="shared" si="102"/>
        <v>0.19412837568035227</v>
      </c>
      <c r="BJ47" s="627">
        <f t="shared" si="102"/>
        <v>0.18755208577602847</v>
      </c>
      <c r="BK47" s="627">
        <f t="shared" si="102"/>
        <v>0.20044533356527791</v>
      </c>
      <c r="BL47" s="628">
        <f t="shared" si="102"/>
        <v>0.19232404458306915</v>
      </c>
      <c r="BM47" s="627">
        <f t="shared" si="102"/>
        <v>9.446130500758726E-2</v>
      </c>
      <c r="BN47" s="627">
        <f t="shared" si="102"/>
        <v>9.4951147868454905E-2</v>
      </c>
      <c r="BO47" s="627">
        <f t="shared" si="102"/>
        <v>0.10528892728118432</v>
      </c>
      <c r="BP47" s="627">
        <f t="shared" ref="BP47:CG47" si="103">BP46/BP23</f>
        <v>9.88116072940778E-2</v>
      </c>
      <c r="BQ47" s="628">
        <f t="shared" si="103"/>
        <v>9.8454164556214391E-2</v>
      </c>
      <c r="BR47" s="627">
        <f t="shared" si="103"/>
        <v>0.10511801141104878</v>
      </c>
      <c r="BS47" s="627">
        <f t="shared" si="103"/>
        <v>0.10000666069670888</v>
      </c>
      <c r="BT47" s="627">
        <f t="shared" si="103"/>
        <v>9.7995328076695962E-2</v>
      </c>
      <c r="BU47" s="627">
        <f t="shared" si="103"/>
        <v>0.10902030512971699</v>
      </c>
      <c r="BV47" s="628">
        <f t="shared" si="103"/>
        <v>0.10282419990407313</v>
      </c>
      <c r="BW47" s="627">
        <f t="shared" si="103"/>
        <v>9.7737816482061271E-2</v>
      </c>
      <c r="BX47" s="627">
        <f t="shared" si="103"/>
        <v>9.8891579632375687E-2</v>
      </c>
      <c r="BY47" s="627">
        <f t="shared" si="103"/>
        <v>0.10307043033362849</v>
      </c>
      <c r="BZ47" s="627">
        <f t="shared" si="103"/>
        <v>0.10620273318296404</v>
      </c>
      <c r="CA47" s="628">
        <f t="shared" si="103"/>
        <v>0.10146286571642911</v>
      </c>
      <c r="CB47" s="627">
        <f t="shared" si="103"/>
        <v>0.10840876289861461</v>
      </c>
      <c r="CC47" s="627">
        <f t="shared" si="103"/>
        <v>0.1184622004882218</v>
      </c>
      <c r="CD47" s="627">
        <f t="shared" si="103"/>
        <v>0.11517453566317083</v>
      </c>
      <c r="CE47" s="627">
        <f t="shared" si="103"/>
        <v>0.12183351180512959</v>
      </c>
      <c r="CF47" s="628">
        <f>CF46/CF23</f>
        <v>0.11602914511123601</v>
      </c>
      <c r="CG47" s="627">
        <f t="shared" si="103"/>
        <v>0.10873430543817909</v>
      </c>
      <c r="CH47" s="627">
        <f>CH46/CH23</f>
        <v>0.1011726952766851</v>
      </c>
      <c r="CI47" s="627">
        <f>CI46/CI23</f>
        <v>9.5417760984435079E-2</v>
      </c>
      <c r="CJ47" s="627">
        <f t="shared" ref="CJ47" si="104">CJ46/CJ23</f>
        <v>0.10185149252214344</v>
      </c>
      <c r="CK47" s="628">
        <f>CK46/CK23</f>
        <v>0.10169412242381548</v>
      </c>
      <c r="CL47" s="627">
        <f t="shared" ref="CL47" si="105">CL46/CL23</f>
        <v>0.10020967328125414</v>
      </c>
      <c r="CM47" s="627">
        <f>CM46/CM23</f>
        <v>8.9514306755217515E-2</v>
      </c>
      <c r="CN47" s="631">
        <f>CN46/CN23</f>
        <v>9.9733335123405931E-2</v>
      </c>
      <c r="CO47" s="631">
        <f>CO46/CO23</f>
        <v>9.6635132819355984E-2</v>
      </c>
      <c r="CP47" s="628">
        <f>CP46/CP23</f>
        <v>9.647389073231534E-2</v>
      </c>
      <c r="CQ47" s="676">
        <v>9.6000000000000002E-2</v>
      </c>
      <c r="CR47" s="676">
        <v>9.1999999999999998E-2</v>
      </c>
      <c r="CS47" s="676">
        <v>9.6000000000000002E-2</v>
      </c>
      <c r="CT47" s="676">
        <v>9.6000000000000002E-2</v>
      </c>
      <c r="CU47" s="628">
        <f>CU46/CU23</f>
        <v>9.4974745396268781E-2</v>
      </c>
      <c r="CV47" s="627"/>
      <c r="CW47" s="627"/>
      <c r="CX47" s="627"/>
      <c r="CY47" s="627"/>
      <c r="CZ47" s="643"/>
      <c r="DA47" s="642"/>
      <c r="DB47" s="642"/>
      <c r="DC47" s="642"/>
      <c r="DD47" s="642"/>
      <c r="DE47" s="642"/>
      <c r="DF47" s="642"/>
      <c r="DG47" s="639"/>
      <c r="DH47" s="639"/>
      <c r="DI47" s="639"/>
      <c r="DJ47" s="639"/>
      <c r="DK47" s="639"/>
      <c r="DL47" s="639"/>
      <c r="DM47" s="639"/>
    </row>
    <row r="48" spans="1:117" ht="18" customHeight="1">
      <c r="A48" s="7"/>
      <c r="B48" s="82" t="s">
        <v>30</v>
      </c>
      <c r="C48" s="7"/>
      <c r="D48" s="13">
        <v>4443</v>
      </c>
      <c r="E48" s="12">
        <v>1816</v>
      </c>
      <c r="F48" s="12">
        <v>2253</v>
      </c>
      <c r="G48" s="12">
        <v>1416</v>
      </c>
      <c r="H48" s="12">
        <f>I48-G48-F48-E48</f>
        <v>1801</v>
      </c>
      <c r="I48" s="13">
        <v>7286</v>
      </c>
      <c r="J48" s="12">
        <v>2235</v>
      </c>
      <c r="K48" s="12">
        <v>2839</v>
      </c>
      <c r="L48" s="12">
        <v>2973</v>
      </c>
      <c r="M48" s="12">
        <f>N48-L48-K48-J48</f>
        <v>3112</v>
      </c>
      <c r="N48" s="13">
        <v>11159</v>
      </c>
      <c r="O48" s="12">
        <v>3516</v>
      </c>
      <c r="P48" s="12">
        <v>3744</v>
      </c>
      <c r="Q48" s="35">
        <v>3233</v>
      </c>
      <c r="R48" s="12">
        <v>3478</v>
      </c>
      <c r="S48" s="13">
        <f>SUM(O48:R48)</f>
        <v>13971</v>
      </c>
      <c r="T48" s="12">
        <v>4549</v>
      </c>
      <c r="U48" s="12">
        <v>5035</v>
      </c>
      <c r="V48" s="12">
        <v>4196</v>
      </c>
      <c r="W48" s="12">
        <v>2634</v>
      </c>
      <c r="X48" s="13">
        <f>SUM(T48:W48)</f>
        <v>16414</v>
      </c>
      <c r="Y48" s="12">
        <v>5094</v>
      </c>
      <c r="Z48" s="111">
        <v>5408</v>
      </c>
      <c r="AA48" s="111">
        <v>4273</v>
      </c>
      <c r="AB48" s="111">
        <v>5365</v>
      </c>
      <c r="AC48" s="36">
        <f>SUM(Y48:AB48)</f>
        <v>20140</v>
      </c>
      <c r="AD48" s="111">
        <v>5598</v>
      </c>
      <c r="AE48" s="111">
        <v>5594</v>
      </c>
      <c r="AF48" s="111">
        <v>5982</v>
      </c>
      <c r="AG48" s="111">
        <v>6095</v>
      </c>
      <c r="AH48" s="36">
        <f>SUM(AD48:AG48)</f>
        <v>23269</v>
      </c>
      <c r="AI48" s="111">
        <v>6172</v>
      </c>
      <c r="AJ48" s="111">
        <v>6389</v>
      </c>
      <c r="AK48" s="111">
        <v>6567</v>
      </c>
      <c r="AL48" s="111">
        <v>6615</v>
      </c>
      <c r="AM48" s="36">
        <f>SUM(AI48:AL48)</f>
        <v>25743</v>
      </c>
      <c r="AN48" s="111">
        <v>7004</v>
      </c>
      <c r="AO48" s="111">
        <v>7110</v>
      </c>
      <c r="AP48" s="111">
        <v>7193</v>
      </c>
      <c r="AQ48" s="111">
        <v>8615</v>
      </c>
      <c r="AR48" s="36">
        <f>SUM(AN48:AQ48)</f>
        <v>29922</v>
      </c>
      <c r="AS48" s="405">
        <v>9956</v>
      </c>
      <c r="AT48" s="111">
        <v>10336</v>
      </c>
      <c r="AU48" s="405">
        <v>11070</v>
      </c>
      <c r="AV48" s="111">
        <v>11793</v>
      </c>
      <c r="AW48" s="36">
        <f>SUM(AS48:AV48)</f>
        <v>43155</v>
      </c>
      <c r="AX48" s="111">
        <v>11599</v>
      </c>
      <c r="AY48" s="111">
        <v>11874</v>
      </c>
      <c r="AZ48" s="405">
        <v>11834</v>
      </c>
      <c r="BA48" s="111">
        <v>12017</v>
      </c>
      <c r="BB48" s="36">
        <f>SUM(AX48:BA48)</f>
        <v>47324</v>
      </c>
      <c r="BC48" s="111">
        <v>13048</v>
      </c>
      <c r="BD48" s="111">
        <v>15831</v>
      </c>
      <c r="BE48" s="111">
        <v>17050</v>
      </c>
      <c r="BF48" s="111">
        <f>17335</f>
        <v>17335</v>
      </c>
      <c r="BG48" s="36">
        <f>SUM(BC48:BF48)</f>
        <v>63264</v>
      </c>
      <c r="BH48" s="111">
        <f>18941</f>
        <v>18941</v>
      </c>
      <c r="BI48" s="111">
        <f>20101</f>
        <v>20101</v>
      </c>
      <c r="BJ48" s="111">
        <f>21130</f>
        <v>21130</v>
      </c>
      <c r="BK48" s="111">
        <f>21170</f>
        <v>21170</v>
      </c>
      <c r="BL48" s="36">
        <f>SUM(BH48:BK48)</f>
        <v>81342</v>
      </c>
      <c r="BM48" s="111">
        <v>22361</v>
      </c>
      <c r="BN48" s="111">
        <f>21949</f>
        <v>21949</v>
      </c>
      <c r="BO48" s="111">
        <f>21642</f>
        <v>21642</v>
      </c>
      <c r="BP48" s="111">
        <f>22411</f>
        <v>22411</v>
      </c>
      <c r="BQ48" s="36">
        <f>SUM(BM48:BP48)</f>
        <v>88363</v>
      </c>
      <c r="BR48" s="111">
        <f>21813</f>
        <v>21813</v>
      </c>
      <c r="BS48" s="111">
        <v>23428</v>
      </c>
      <c r="BT48" s="111">
        <f>24002</f>
        <v>24002</v>
      </c>
      <c r="BU48" s="111">
        <f>24238</f>
        <v>24238</v>
      </c>
      <c r="BV48" s="36">
        <f>SUM(BR48:BU48)</f>
        <v>93481</v>
      </c>
      <c r="BW48" s="111">
        <f>23941</f>
        <v>23941</v>
      </c>
      <c r="BX48" s="111">
        <f>23386</f>
        <v>23386</v>
      </c>
      <c r="BY48" s="111">
        <f>25190</f>
        <v>25190</v>
      </c>
      <c r="BZ48" s="111">
        <f>32667</f>
        <v>32667</v>
      </c>
      <c r="CA48" s="36">
        <f>SUM(BW48:BZ48)</f>
        <v>105184</v>
      </c>
      <c r="CB48" s="111">
        <f>26987</f>
        <v>26987</v>
      </c>
      <c r="CC48" s="111">
        <f>28153</f>
        <v>28153</v>
      </c>
      <c r="CD48" s="111">
        <f>28282</f>
        <v>28282</v>
      </c>
      <c r="CE48" s="111">
        <f>26163</f>
        <v>26163</v>
      </c>
      <c r="CF48" s="36">
        <f>SUM(CB48:CE48)</f>
        <v>109585</v>
      </c>
      <c r="CG48" s="111">
        <v>29433</v>
      </c>
      <c r="CH48" s="111">
        <f>28951</f>
        <v>28951</v>
      </c>
      <c r="CI48" s="111">
        <f>30120</f>
        <v>30120</v>
      </c>
      <c r="CJ48" s="111">
        <f>29435</f>
        <v>29435</v>
      </c>
      <c r="CK48" s="36">
        <f>SUM(CG48:CJ48)</f>
        <v>117939</v>
      </c>
      <c r="CL48" s="111">
        <f>47844-3750</f>
        <v>44094</v>
      </c>
      <c r="CM48" s="111">
        <f>50842-3750</f>
        <v>47092</v>
      </c>
      <c r="CN48" s="111">
        <f>51788-3750</f>
        <v>48038</v>
      </c>
      <c r="CO48" s="111">
        <f>54114-3750</f>
        <v>50364</v>
      </c>
      <c r="CP48" s="36">
        <f>SUM(CL48:CO48)</f>
        <v>189588</v>
      </c>
      <c r="CQ48" s="111">
        <f>CQ23*CQ49</f>
        <v>54767.418299999998</v>
      </c>
      <c r="CR48" s="111">
        <f>CR23*CR49</f>
        <v>58405.844699999994</v>
      </c>
      <c r="CS48" s="111">
        <f>CS23*CS49</f>
        <v>57330.372600000002</v>
      </c>
      <c r="CT48" s="111">
        <f>CT23*CT49</f>
        <v>57365.010831600004</v>
      </c>
      <c r="CU48" s="36">
        <f>SUM(CQ48:CT48)</f>
        <v>227868.64643159998</v>
      </c>
      <c r="CV48" s="111">
        <f>244-16</f>
        <v>228</v>
      </c>
      <c r="CW48" s="111"/>
      <c r="CX48" s="111"/>
      <c r="CY48" s="111"/>
      <c r="CZ48" s="68"/>
      <c r="DA48" s="68"/>
      <c r="DB48" s="68"/>
      <c r="DC48" s="68"/>
      <c r="DD48" s="68"/>
      <c r="DE48" s="68"/>
      <c r="DF48" s="68"/>
    </row>
    <row r="49" spans="1:117" s="686" customFormat="1" ht="11.65" customHeight="1">
      <c r="A49" s="625"/>
      <c r="B49" s="626"/>
      <c r="C49" s="627" t="s">
        <v>29</v>
      </c>
      <c r="D49" s="628">
        <f t="shared" ref="D49:AI49" si="106">D48/D23</f>
        <v>2.0214198620539046E-2</v>
      </c>
      <c r="E49" s="627">
        <f t="shared" si="106"/>
        <v>3.0597631042442418E-2</v>
      </c>
      <c r="F49" s="627">
        <f t="shared" si="106"/>
        <v>3.334369311370599E-2</v>
      </c>
      <c r="G49" s="627">
        <f t="shared" si="106"/>
        <v>2.0630272302111105E-2</v>
      </c>
      <c r="H49" s="627">
        <f t="shared" si="106"/>
        <v>2.5897273668468883E-2</v>
      </c>
      <c r="I49" s="628">
        <f t="shared" si="106"/>
        <v>2.7483864640269182E-2</v>
      </c>
      <c r="J49" s="627">
        <f t="shared" si="106"/>
        <v>3.2128225400704376E-2</v>
      </c>
      <c r="K49" s="627">
        <f t="shared" si="106"/>
        <v>3.9336584825139943E-2</v>
      </c>
      <c r="L49" s="627">
        <f t="shared" si="106"/>
        <v>3.9996233116289082E-2</v>
      </c>
      <c r="M49" s="627">
        <f t="shared" si="106"/>
        <v>4.1931093954215341E-2</v>
      </c>
      <c r="N49" s="628">
        <f t="shared" si="106"/>
        <v>3.8441399171851208E-2</v>
      </c>
      <c r="O49" s="627">
        <f t="shared" si="106"/>
        <v>5.0358063592093959E-2</v>
      </c>
      <c r="P49" s="627">
        <f t="shared" si="106"/>
        <v>5.1570247933884296E-2</v>
      </c>
      <c r="Q49" s="682">
        <f t="shared" si="106"/>
        <v>4.382599737016904E-2</v>
      </c>
      <c r="R49" s="627">
        <f t="shared" si="106"/>
        <v>4.8012810778724165E-2</v>
      </c>
      <c r="S49" s="628">
        <f t="shared" si="106"/>
        <v>4.840486716465485E-2</v>
      </c>
      <c r="T49" s="627">
        <f t="shared" si="106"/>
        <v>6.1981387870777865E-2</v>
      </c>
      <c r="U49" s="627">
        <f t="shared" si="106"/>
        <v>6.5615429725679283E-2</v>
      </c>
      <c r="V49" s="627">
        <f t="shared" si="106"/>
        <v>5.4363598673300165E-2</v>
      </c>
      <c r="W49" s="627">
        <f t="shared" si="106"/>
        <v>3.2091034247493266E-2</v>
      </c>
      <c r="X49" s="628">
        <f t="shared" si="106"/>
        <v>5.3052609804422238E-2</v>
      </c>
      <c r="Y49" s="627">
        <f t="shared" si="106"/>
        <v>6.1579004629909458E-2</v>
      </c>
      <c r="Z49" s="627">
        <f t="shared" si="106"/>
        <v>5.9189212853515451E-2</v>
      </c>
      <c r="AA49" s="627">
        <f t="shared" si="106"/>
        <v>4.5532527039266878E-2</v>
      </c>
      <c r="AB49" s="627">
        <f t="shared" si="106"/>
        <v>5.625576713362973E-2</v>
      </c>
      <c r="AC49" s="628">
        <f t="shared" si="106"/>
        <v>5.543566820073547E-2</v>
      </c>
      <c r="AD49" s="627">
        <f t="shared" si="106"/>
        <v>5.8434847962922372E-2</v>
      </c>
      <c r="AE49" s="627">
        <f t="shared" si="106"/>
        <v>5.4264317864348904E-2</v>
      </c>
      <c r="AF49" s="627">
        <f t="shared" si="106"/>
        <v>5.5895571897104306E-2</v>
      </c>
      <c r="AG49" s="627">
        <f t="shared" si="106"/>
        <v>5.5041314850769858E-2</v>
      </c>
      <c r="AH49" s="628">
        <f t="shared" si="106"/>
        <v>5.5848772210261542E-2</v>
      </c>
      <c r="AI49" s="627">
        <f t="shared" si="106"/>
        <v>5.4800845275513647E-2</v>
      </c>
      <c r="AJ49" s="627">
        <f t="shared" ref="AJ49:BO49" si="107">AJ48/AJ23</f>
        <v>5.1370496337570654E-2</v>
      </c>
      <c r="AK49" s="627">
        <f t="shared" si="107"/>
        <v>5.1039917925760118E-2</v>
      </c>
      <c r="AL49" s="627">
        <f t="shared" si="107"/>
        <v>5.190677966101695E-2</v>
      </c>
      <c r="AM49" s="628">
        <f t="shared" si="107"/>
        <v>5.2206343122402916E-2</v>
      </c>
      <c r="AN49" s="627">
        <f t="shared" si="107"/>
        <v>5.1894551220307339E-2</v>
      </c>
      <c r="AO49" s="627">
        <f t="shared" si="107"/>
        <v>4.8600430636727164E-2</v>
      </c>
      <c r="AP49" s="627">
        <f t="shared" si="107"/>
        <v>4.7684709469985744E-2</v>
      </c>
      <c r="AQ49" s="627">
        <f t="shared" si="107"/>
        <v>5.3133422557188587E-2</v>
      </c>
      <c r="AR49" s="628">
        <f t="shared" si="107"/>
        <v>5.0352968893301583E-2</v>
      </c>
      <c r="AS49" s="627">
        <f t="shared" si="107"/>
        <v>5.3819707224252382E-2</v>
      </c>
      <c r="AT49" s="627">
        <f t="shared" si="107"/>
        <v>5.3347372115468986E-2</v>
      </c>
      <c r="AU49" s="627">
        <f t="shared" si="107"/>
        <v>5.5977790925226416E-2</v>
      </c>
      <c r="AV49" s="627">
        <f t="shared" si="107"/>
        <v>6.0459560331392014E-2</v>
      </c>
      <c r="AW49" s="628">
        <f t="shared" si="107"/>
        <v>5.5932862419804288E-2</v>
      </c>
      <c r="AX49" s="626">
        <f t="shared" si="107"/>
        <v>5.8036496094707714E-2</v>
      </c>
      <c r="AY49" s="627">
        <f t="shared" si="107"/>
        <v>5.6699997134916767E-2</v>
      </c>
      <c r="AZ49" s="631">
        <f t="shared" si="107"/>
        <v>5.5193836050893626E-2</v>
      </c>
      <c r="BA49" s="631">
        <f t="shared" si="107"/>
        <v>5.5102115679135755E-2</v>
      </c>
      <c r="BB49" s="628">
        <f t="shared" si="107"/>
        <v>5.6219699228648237E-2</v>
      </c>
      <c r="BC49" s="626">
        <f t="shared" si="107"/>
        <v>5.8938049099984194E-2</v>
      </c>
      <c r="BD49" s="627">
        <f t="shared" si="107"/>
        <v>6.6594593685060696E-2</v>
      </c>
      <c r="BE49" s="627">
        <f t="shared" si="107"/>
        <v>7.1768925107758619E-2</v>
      </c>
      <c r="BF49" s="627">
        <f t="shared" si="107"/>
        <v>7.132776207346328E-2</v>
      </c>
      <c r="BG49" s="628">
        <f t="shared" si="107"/>
        <v>6.7323040774368209E-2</v>
      </c>
      <c r="BH49" s="627">
        <f t="shared" si="107"/>
        <v>7.6140744403307564E-2</v>
      </c>
      <c r="BI49" s="627">
        <f t="shared" si="107"/>
        <v>7.2310697493713605E-2</v>
      </c>
      <c r="BJ49" s="627">
        <f t="shared" si="107"/>
        <v>7.6230126232471218E-2</v>
      </c>
      <c r="BK49" s="627">
        <f t="shared" si="107"/>
        <v>7.3653996694789947E-2</v>
      </c>
      <c r="BL49" s="628">
        <f t="shared" si="107"/>
        <v>7.4532966328127573E-2</v>
      </c>
      <c r="BM49" s="627">
        <f t="shared" si="107"/>
        <v>8.0789796950646725E-2</v>
      </c>
      <c r="BN49" s="627">
        <f t="shared" si="107"/>
        <v>8.0894412318624251E-2</v>
      </c>
      <c r="BO49" s="627">
        <f t="shared" si="107"/>
        <v>7.5688001203062211E-2</v>
      </c>
      <c r="BP49" s="627">
        <f t="shared" ref="BP49:CG49" si="108">BP48/BP23</f>
        <v>7.9076807994128612E-2</v>
      </c>
      <c r="BQ49" s="628">
        <f t="shared" si="108"/>
        <v>7.9075290794967848E-2</v>
      </c>
      <c r="BR49" s="627">
        <f t="shared" si="108"/>
        <v>7.3992035332189066E-2</v>
      </c>
      <c r="BS49" s="627">
        <f t="shared" si="108"/>
        <v>5.7795112035385565E-2</v>
      </c>
      <c r="BT49" s="627">
        <f t="shared" si="108"/>
        <v>5.2107575810205288E-2</v>
      </c>
      <c r="BU49" s="627">
        <f t="shared" si="108"/>
        <v>5.5825287441037735E-2</v>
      </c>
      <c r="BV49" s="628">
        <f t="shared" si="108"/>
        <v>5.8610063543714126E-2</v>
      </c>
      <c r="BW49" s="627">
        <f t="shared" si="108"/>
        <v>5.2489761196909505E-2</v>
      </c>
      <c r="BX49" s="627">
        <f t="shared" si="108"/>
        <v>4.9897052391264921E-2</v>
      </c>
      <c r="BY49" s="627">
        <f t="shared" si="108"/>
        <v>5.3234317643404035E-2</v>
      </c>
      <c r="BZ49" s="627">
        <f t="shared" si="108"/>
        <v>7.2236964309406931E-2</v>
      </c>
      <c r="CA49" s="628">
        <f t="shared" si="108"/>
        <v>5.6849947357156289E-2</v>
      </c>
      <c r="CB49" s="627">
        <f t="shared" si="108"/>
        <v>5.7193659889838572E-2</v>
      </c>
      <c r="CC49" s="627">
        <f t="shared" si="108"/>
        <v>5.5828222075478058E-2</v>
      </c>
      <c r="CD49" s="627">
        <f t="shared" si="108"/>
        <v>5.7171851121119742E-2</v>
      </c>
      <c r="CE49" s="627">
        <f t="shared" si="108"/>
        <v>5.4400282782496596E-2</v>
      </c>
      <c r="CF49" s="628">
        <f>CF48/CF23</f>
        <v>5.6147018753929162E-2</v>
      </c>
      <c r="CG49" s="627">
        <f t="shared" si="108"/>
        <v>5.7446048571411841E-2</v>
      </c>
      <c r="CH49" s="627">
        <f>CH48/CH23</f>
        <v>5.3516237319215641E-2</v>
      </c>
      <c r="CI49" s="627">
        <f>CI48/CI23</f>
        <v>5.543520871945036E-2</v>
      </c>
      <c r="CJ49" s="627">
        <f t="shared" ref="CJ49" si="109">CJ48/CJ23</f>
        <v>5.4395331259898247E-2</v>
      </c>
      <c r="CK49" s="628">
        <f>CK48/CK23</f>
        <v>5.5168319999550942E-2</v>
      </c>
      <c r="CL49" s="627">
        <f t="shared" ref="CL49" si="110">CL48/CL23</f>
        <v>7.8019693363884882E-2</v>
      </c>
      <c r="CM49" s="627">
        <f>CM48/CM23</f>
        <v>7.8997914838865521E-2</v>
      </c>
      <c r="CN49" s="631">
        <f>CN48/CN23</f>
        <v>8.0617038022820067E-2</v>
      </c>
      <c r="CO49" s="631">
        <f>CO48/CO23</f>
        <v>8.5339853223111425E-2</v>
      </c>
      <c r="CP49" s="628">
        <f>CP48/CP23</f>
        <v>8.0767887642835004E-2</v>
      </c>
      <c r="CQ49" s="676">
        <v>0.09</v>
      </c>
      <c r="CR49" s="676">
        <v>0.09</v>
      </c>
      <c r="CS49" s="676">
        <v>0.09</v>
      </c>
      <c r="CT49" s="676">
        <v>0.09</v>
      </c>
      <c r="CU49" s="628">
        <f>CU48/CU23</f>
        <v>0.09</v>
      </c>
      <c r="CV49" s="627"/>
      <c r="CW49" s="627"/>
      <c r="CX49" s="627"/>
      <c r="CY49" s="627"/>
      <c r="CZ49" s="643"/>
      <c r="DA49" s="642"/>
      <c r="DB49" s="642"/>
      <c r="DC49" s="642"/>
      <c r="DD49" s="642"/>
      <c r="DE49" s="642"/>
      <c r="DF49" s="642"/>
    </row>
    <row r="50" spans="1:117" s="68" customFormat="1" ht="18" hidden="1" customHeight="1" outlineLevel="1">
      <c r="A50" s="10"/>
      <c r="B50" s="82" t="s">
        <v>57</v>
      </c>
      <c r="C50" s="12"/>
      <c r="D50" s="13">
        <v>1478</v>
      </c>
      <c r="E50" s="12">
        <v>567</v>
      </c>
      <c r="F50" s="12">
        <f>591+9045</f>
        <v>9636</v>
      </c>
      <c r="G50" s="12">
        <v>612</v>
      </c>
      <c r="H50" s="12">
        <f>I50-G50-F50-E50</f>
        <v>668</v>
      </c>
      <c r="I50" s="13">
        <f>2438+9045</f>
        <v>11483</v>
      </c>
      <c r="J50" s="12">
        <v>672</v>
      </c>
      <c r="K50" s="12">
        <v>677</v>
      </c>
      <c r="L50" s="12">
        <v>685</v>
      </c>
      <c r="M50" s="12">
        <f>N50-L50-K50-J50</f>
        <v>671</v>
      </c>
      <c r="N50" s="13">
        <v>2705</v>
      </c>
      <c r="O50" s="12">
        <v>806</v>
      </c>
      <c r="P50" s="12">
        <v>807</v>
      </c>
      <c r="Q50" s="35">
        <v>806</v>
      </c>
      <c r="R50" s="12">
        <v>806</v>
      </c>
      <c r="S50" s="13">
        <f>SUM(O50:R50)</f>
        <v>3225</v>
      </c>
      <c r="T50" s="12">
        <v>0</v>
      </c>
      <c r="U50" s="12">
        <v>0</v>
      </c>
      <c r="V50" s="12">
        <v>0</v>
      </c>
      <c r="W50" s="12">
        <v>0</v>
      </c>
      <c r="X50" s="13">
        <f>SUM(T50:W50)</f>
        <v>0</v>
      </c>
      <c r="Y50" s="12">
        <v>0</v>
      </c>
      <c r="Z50" s="81"/>
      <c r="AA50" s="81">
        <v>0</v>
      </c>
      <c r="AB50" s="81">
        <v>0</v>
      </c>
      <c r="AC50" s="13">
        <f>SUM(Y50:AB50)</f>
        <v>0</v>
      </c>
      <c r="AD50" s="81">
        <v>0</v>
      </c>
      <c r="AE50" s="81"/>
      <c r="AF50" s="81">
        <v>0</v>
      </c>
      <c r="AG50" s="81">
        <v>0</v>
      </c>
      <c r="AH50" s="13">
        <f>SUM(AD50:AG50)</f>
        <v>0</v>
      </c>
      <c r="AI50" s="81"/>
      <c r="AJ50" s="81"/>
      <c r="AK50" s="81"/>
      <c r="AL50" s="81"/>
      <c r="AM50" s="13">
        <f>SUM(AI50:AL50)</f>
        <v>0</v>
      </c>
      <c r="AN50" s="81"/>
      <c r="AO50" s="81"/>
      <c r="AP50" s="81"/>
      <c r="AQ50" s="81"/>
      <c r="AR50" s="13">
        <f>SUM(AN50:AQ50)</f>
        <v>0</v>
      </c>
      <c r="AS50" s="81"/>
      <c r="AT50" s="81"/>
      <c r="AU50" s="81"/>
      <c r="AV50" s="81"/>
      <c r="AW50" s="13">
        <f>SUM(AS50:AV50)</f>
        <v>0</v>
      </c>
      <c r="AX50" s="81"/>
      <c r="AY50" s="81"/>
      <c r="AZ50" s="81"/>
      <c r="BA50" s="81"/>
      <c r="BB50" s="13">
        <f>SUM(AX50:BA50)</f>
        <v>0</v>
      </c>
      <c r="BC50" s="81"/>
      <c r="BD50" s="12"/>
      <c r="BE50" s="81"/>
      <c r="BF50" s="81"/>
      <c r="BG50" s="13">
        <f>SUM(BC50:BF50)</f>
        <v>0</v>
      </c>
      <c r="BH50" s="81"/>
      <c r="BI50" s="81"/>
      <c r="BJ50" s="81"/>
      <c r="BK50" s="81"/>
      <c r="BL50" s="13">
        <f>SUM(BH50:BK50)</f>
        <v>0</v>
      </c>
      <c r="BM50" s="12"/>
      <c r="BN50" s="81"/>
      <c r="BO50" s="81"/>
      <c r="BP50" s="81"/>
      <c r="BQ50" s="13">
        <f>SUM(BM50:BP50)</f>
        <v>0</v>
      </c>
      <c r="BR50" s="12"/>
      <c r="BS50" s="12">
        <v>0</v>
      </c>
      <c r="BT50" s="81"/>
      <c r="BU50" s="81"/>
      <c r="BV50" s="13">
        <f>SUM(BR50:BU50)</f>
        <v>0</v>
      </c>
      <c r="BW50" s="81"/>
      <c r="BX50" s="81"/>
      <c r="BY50" s="81"/>
      <c r="BZ50" s="81"/>
      <c r="CA50" s="13">
        <f>SUM(BW50:BZ50)</f>
        <v>0</v>
      </c>
      <c r="CB50" s="81"/>
      <c r="CC50" s="81"/>
      <c r="CD50" s="81"/>
      <c r="CE50" s="81"/>
      <c r="CF50" s="13">
        <f>SUM(CB50:CE50)</f>
        <v>0</v>
      </c>
      <c r="CG50" s="81"/>
      <c r="CH50" s="81"/>
      <c r="CI50" s="81"/>
      <c r="CJ50" s="81"/>
      <c r="CK50" s="13">
        <f>SUM(CG50:CJ50)</f>
        <v>0</v>
      </c>
      <c r="CL50" s="81"/>
      <c r="CM50" s="81"/>
      <c r="CN50" s="81"/>
      <c r="CO50" s="81"/>
      <c r="CP50" s="13">
        <f>SUM(CL50:CO50)</f>
        <v>0</v>
      </c>
      <c r="CQ50" s="81"/>
      <c r="CR50" s="81"/>
      <c r="CS50" s="81"/>
      <c r="CT50" s="81"/>
      <c r="CU50" s="13">
        <f>SUM(CQ50:CT50)</f>
        <v>0</v>
      </c>
      <c r="CV50" s="12"/>
      <c r="CW50" s="12"/>
      <c r="CX50" s="12"/>
      <c r="CY50" s="12"/>
      <c r="CZ50" s="205"/>
      <c r="DA50" s="204"/>
      <c r="DB50" s="204"/>
      <c r="DC50" s="204"/>
      <c r="DD50" s="204"/>
      <c r="DE50" s="107"/>
      <c r="DF50" s="67"/>
      <c r="DG50" s="67"/>
      <c r="DH50" s="67"/>
      <c r="DI50" s="67"/>
      <c r="DJ50" s="67"/>
      <c r="DK50" s="67"/>
      <c r="DL50" s="67"/>
      <c r="DM50" s="67"/>
    </row>
    <row r="51" spans="1:117" s="633" customFormat="1" ht="11.65" hidden="1" customHeight="1" outlineLevel="1">
      <c r="A51" s="625"/>
      <c r="B51" s="626"/>
      <c r="C51" s="627" t="s">
        <v>29</v>
      </c>
      <c r="D51" s="628">
        <f t="shared" ref="D51:AC51" si="111">D50/D23</f>
        <v>6.7244171868459848E-3</v>
      </c>
      <c r="E51" s="627">
        <f t="shared" si="111"/>
        <v>9.5533352428771208E-3</v>
      </c>
      <c r="F51" s="627">
        <f t="shared" si="111"/>
        <v>0.14260977667273453</v>
      </c>
      <c r="G51" s="627">
        <f t="shared" si="111"/>
        <v>8.9164736220988684E-3</v>
      </c>
      <c r="H51" s="627">
        <f t="shared" si="111"/>
        <v>9.6054296560450936E-3</v>
      </c>
      <c r="I51" s="628">
        <f t="shared" si="111"/>
        <v>4.331556651993014E-2</v>
      </c>
      <c r="J51" s="627">
        <f t="shared" si="111"/>
        <v>9.6600301875943359E-3</v>
      </c>
      <c r="K51" s="627">
        <f t="shared" si="111"/>
        <v>9.3803691182175915E-3</v>
      </c>
      <c r="L51" s="627">
        <f t="shared" si="111"/>
        <v>9.2154119356401016E-3</v>
      </c>
      <c r="M51" s="627">
        <f t="shared" si="111"/>
        <v>9.0410552838298495E-3</v>
      </c>
      <c r="N51" s="628">
        <f t="shared" si="111"/>
        <v>9.318396340161083E-3</v>
      </c>
      <c r="O51" s="627">
        <f t="shared" si="111"/>
        <v>1.1543970209109139E-2</v>
      </c>
      <c r="P51" s="627">
        <f t="shared" si="111"/>
        <v>1.1115702479338843E-2</v>
      </c>
      <c r="Q51" s="627">
        <f t="shared" si="111"/>
        <v>1.092599872575201E-2</v>
      </c>
      <c r="R51" s="627">
        <f t="shared" si="111"/>
        <v>1.1126603072930327E-2</v>
      </c>
      <c r="S51" s="628">
        <f t="shared" si="111"/>
        <v>1.1173552115525866E-2</v>
      </c>
      <c r="T51" s="627">
        <f t="shared" si="111"/>
        <v>0</v>
      </c>
      <c r="U51" s="627">
        <f t="shared" si="111"/>
        <v>0</v>
      </c>
      <c r="V51" s="627">
        <f t="shared" si="111"/>
        <v>0</v>
      </c>
      <c r="W51" s="627">
        <f t="shared" si="111"/>
        <v>0</v>
      </c>
      <c r="X51" s="628">
        <f t="shared" si="111"/>
        <v>0</v>
      </c>
      <c r="Y51" s="627">
        <f t="shared" si="111"/>
        <v>0</v>
      </c>
      <c r="Z51" s="627">
        <f t="shared" si="111"/>
        <v>0</v>
      </c>
      <c r="AA51" s="627">
        <f t="shared" si="111"/>
        <v>0</v>
      </c>
      <c r="AB51" s="627">
        <f t="shared" si="111"/>
        <v>0</v>
      </c>
      <c r="AC51" s="628">
        <f t="shared" si="111"/>
        <v>0</v>
      </c>
      <c r="AD51" s="627">
        <v>0</v>
      </c>
      <c r="AE51" s="627">
        <v>0</v>
      </c>
      <c r="AF51" s="627">
        <v>0</v>
      </c>
      <c r="AG51" s="627">
        <v>0</v>
      </c>
      <c r="AH51" s="628">
        <f>AH50/AH23</f>
        <v>0</v>
      </c>
      <c r="AI51" s="627">
        <v>0</v>
      </c>
      <c r="AJ51" s="627">
        <v>0</v>
      </c>
      <c r="AK51" s="627">
        <v>0</v>
      </c>
      <c r="AL51" s="627">
        <v>0</v>
      </c>
      <c r="AM51" s="628">
        <f>AM50/AM23</f>
        <v>0</v>
      </c>
      <c r="AN51" s="627">
        <v>0</v>
      </c>
      <c r="AO51" s="627">
        <v>0</v>
      </c>
      <c r="AP51" s="627">
        <v>0</v>
      </c>
      <c r="AQ51" s="627">
        <v>0</v>
      </c>
      <c r="AR51" s="628">
        <f>AR50/AR23</f>
        <v>0</v>
      </c>
      <c r="AS51" s="631">
        <v>0</v>
      </c>
      <c r="AT51" s="627">
        <v>0</v>
      </c>
      <c r="AU51" s="627">
        <v>0</v>
      </c>
      <c r="AV51" s="627">
        <v>0</v>
      </c>
      <c r="AW51" s="628">
        <f>AW50/AW23</f>
        <v>0</v>
      </c>
      <c r="AX51" s="631">
        <v>0</v>
      </c>
      <c r="AY51" s="627">
        <v>0</v>
      </c>
      <c r="AZ51" s="631">
        <v>0</v>
      </c>
      <c r="BA51" s="627">
        <v>0</v>
      </c>
      <c r="BB51" s="628">
        <f>BB50/BB23</f>
        <v>0</v>
      </c>
      <c r="BC51" s="631">
        <v>0</v>
      </c>
      <c r="BD51" s="627">
        <v>0</v>
      </c>
      <c r="BE51" s="627">
        <v>0</v>
      </c>
      <c r="BF51" s="627">
        <v>0</v>
      </c>
      <c r="BG51" s="628">
        <f>BG50/BG23</f>
        <v>0</v>
      </c>
      <c r="BH51" s="626">
        <f>BH50/BH23</f>
        <v>0</v>
      </c>
      <c r="BI51" s="627">
        <v>0</v>
      </c>
      <c r="BJ51" s="627">
        <v>0</v>
      </c>
      <c r="BK51" s="627">
        <v>0</v>
      </c>
      <c r="BL51" s="628">
        <f>BL50/BL23</f>
        <v>0</v>
      </c>
      <c r="BM51" s="626">
        <f>BM50/BM23</f>
        <v>0</v>
      </c>
      <c r="BN51" s="627">
        <v>0</v>
      </c>
      <c r="BO51" s="627">
        <v>0</v>
      </c>
      <c r="BP51" s="627">
        <v>0</v>
      </c>
      <c r="BQ51" s="628">
        <f>BQ50/BQ23</f>
        <v>0</v>
      </c>
      <c r="BR51" s="626">
        <f>BR50/BR23</f>
        <v>0</v>
      </c>
      <c r="BS51" s="627">
        <f>BS50/BS23</f>
        <v>0</v>
      </c>
      <c r="BT51" s="627">
        <v>0</v>
      </c>
      <c r="BU51" s="627">
        <v>0</v>
      </c>
      <c r="BV51" s="628">
        <f>BV50/BV23</f>
        <v>0</v>
      </c>
      <c r="BW51" s="627">
        <v>0</v>
      </c>
      <c r="BX51" s="627">
        <v>0</v>
      </c>
      <c r="BY51" s="627">
        <v>0</v>
      </c>
      <c r="BZ51" s="627">
        <v>0</v>
      </c>
      <c r="CA51" s="628">
        <f>CA50/CA23</f>
        <v>0</v>
      </c>
      <c r="CB51" s="627">
        <v>0</v>
      </c>
      <c r="CC51" s="627">
        <v>0</v>
      </c>
      <c r="CD51" s="627">
        <v>0</v>
      </c>
      <c r="CE51" s="627">
        <v>0</v>
      </c>
      <c r="CF51" s="628">
        <f>CF50/CF23</f>
        <v>0</v>
      </c>
      <c r="CG51" s="627">
        <v>0</v>
      </c>
      <c r="CH51" s="627">
        <v>0</v>
      </c>
      <c r="CI51" s="627">
        <v>0</v>
      </c>
      <c r="CJ51" s="627">
        <v>0</v>
      </c>
      <c r="CK51" s="628">
        <f>CK50/CK23</f>
        <v>0</v>
      </c>
      <c r="CL51" s="627">
        <v>0</v>
      </c>
      <c r="CM51" s="627">
        <v>0</v>
      </c>
      <c r="CN51" s="627">
        <v>0</v>
      </c>
      <c r="CO51" s="627">
        <v>0</v>
      </c>
      <c r="CP51" s="628">
        <f>CP50/CP23</f>
        <v>0</v>
      </c>
      <c r="CQ51" s="627">
        <v>0</v>
      </c>
      <c r="CR51" s="627">
        <v>0</v>
      </c>
      <c r="CS51" s="627">
        <v>0</v>
      </c>
      <c r="CT51" s="627">
        <v>0</v>
      </c>
      <c r="CU51" s="628">
        <f>CU50/CU23</f>
        <v>0</v>
      </c>
      <c r="CV51" s="627"/>
      <c r="CW51" s="627"/>
      <c r="CX51" s="627"/>
      <c r="CY51" s="627"/>
      <c r="CZ51" s="643"/>
      <c r="DA51" s="641"/>
      <c r="DB51" s="641"/>
      <c r="DC51" s="641"/>
      <c r="DD51" s="641"/>
      <c r="DE51" s="639"/>
      <c r="DF51" s="686"/>
      <c r="DG51" s="686"/>
      <c r="DH51" s="686"/>
      <c r="DI51" s="686"/>
      <c r="DJ51" s="686"/>
      <c r="DK51" s="686"/>
      <c r="DL51" s="686"/>
      <c r="DM51" s="686"/>
    </row>
    <row r="52" spans="1:117" ht="18" customHeight="1" collapsed="1">
      <c r="A52" s="7"/>
      <c r="B52" s="8" t="s">
        <v>31</v>
      </c>
      <c r="C52" s="7"/>
      <c r="D52" s="23">
        <f t="shared" ref="D52:AA52" si="112">SUM(D46,D48,D50)</f>
        <v>57645</v>
      </c>
      <c r="E52" s="22">
        <f t="shared" si="112"/>
        <v>17135</v>
      </c>
      <c r="F52" s="22">
        <f t="shared" si="112"/>
        <v>27307</v>
      </c>
      <c r="G52" s="22">
        <f t="shared" si="112"/>
        <v>18013</v>
      </c>
      <c r="H52" s="22">
        <f t="shared" si="112"/>
        <v>19237</v>
      </c>
      <c r="I52" s="23">
        <f t="shared" si="112"/>
        <v>81692</v>
      </c>
      <c r="J52" s="22">
        <f t="shared" si="112"/>
        <v>20317</v>
      </c>
      <c r="K52" s="22">
        <f t="shared" si="112"/>
        <v>20600</v>
      </c>
      <c r="L52" s="22">
        <f t="shared" si="112"/>
        <v>20772</v>
      </c>
      <c r="M52" s="22">
        <f t="shared" si="112"/>
        <v>22290</v>
      </c>
      <c r="N52" s="23">
        <f t="shared" si="112"/>
        <v>83979</v>
      </c>
      <c r="O52" s="22">
        <f t="shared" si="112"/>
        <v>21883</v>
      </c>
      <c r="P52" s="22">
        <f t="shared" si="112"/>
        <v>21990</v>
      </c>
      <c r="Q52" s="22">
        <f t="shared" si="112"/>
        <v>21376</v>
      </c>
      <c r="R52" s="22">
        <f t="shared" si="112"/>
        <v>21427</v>
      </c>
      <c r="S52" s="23">
        <f t="shared" si="112"/>
        <v>86676</v>
      </c>
      <c r="T52" s="22">
        <f t="shared" si="112"/>
        <v>20583</v>
      </c>
      <c r="U52" s="22">
        <f t="shared" si="112"/>
        <v>22196</v>
      </c>
      <c r="V52" s="22">
        <f t="shared" si="112"/>
        <v>21574</v>
      </c>
      <c r="W52" s="22">
        <f t="shared" si="112"/>
        <v>22329</v>
      </c>
      <c r="X52" s="23">
        <f t="shared" si="112"/>
        <v>86682</v>
      </c>
      <c r="Y52" s="22">
        <f t="shared" si="112"/>
        <v>24842</v>
      </c>
      <c r="Z52" s="22">
        <f>SUM(Z46,Z48,Z50)</f>
        <v>25596</v>
      </c>
      <c r="AA52" s="22">
        <f t="shared" si="112"/>
        <v>23565</v>
      </c>
      <c r="AB52" s="22">
        <f>SUM(AB46,AB48,AB50)</f>
        <v>26516</v>
      </c>
      <c r="AC52" s="23">
        <f>SUM(AC46,AC48,AC50)</f>
        <v>100519</v>
      </c>
      <c r="AD52" s="12">
        <f t="shared" ref="AD52:BL52" si="113">AD46+AD48+AD50</f>
        <v>26005</v>
      </c>
      <c r="AE52" s="12">
        <f t="shared" si="113"/>
        <v>28005</v>
      </c>
      <c r="AF52" s="12">
        <f t="shared" si="113"/>
        <v>27400</v>
      </c>
      <c r="AG52" s="12">
        <f t="shared" si="113"/>
        <v>29022</v>
      </c>
      <c r="AH52" s="13">
        <f t="shared" si="113"/>
        <v>110432</v>
      </c>
      <c r="AI52" s="12">
        <f t="shared" si="113"/>
        <v>28566</v>
      </c>
      <c r="AJ52" s="12">
        <f t="shared" si="113"/>
        <v>30782</v>
      </c>
      <c r="AK52" s="12">
        <f t="shared" si="113"/>
        <v>30451</v>
      </c>
      <c r="AL52" s="12">
        <f t="shared" si="113"/>
        <v>31049</v>
      </c>
      <c r="AM52" s="13">
        <f t="shared" si="113"/>
        <v>120848</v>
      </c>
      <c r="AN52" s="12">
        <f t="shared" si="113"/>
        <v>31916</v>
      </c>
      <c r="AO52" s="12">
        <f t="shared" si="113"/>
        <v>33452</v>
      </c>
      <c r="AP52" s="12">
        <f t="shared" si="113"/>
        <v>33964</v>
      </c>
      <c r="AQ52" s="12">
        <f t="shared" si="113"/>
        <v>39724</v>
      </c>
      <c r="AR52" s="13">
        <f t="shared" si="113"/>
        <v>139056</v>
      </c>
      <c r="AS52" s="81">
        <f t="shared" si="113"/>
        <v>45534</v>
      </c>
      <c r="AT52" s="12">
        <f t="shared" si="113"/>
        <v>46753</v>
      </c>
      <c r="AU52" s="81">
        <f t="shared" si="113"/>
        <v>46702</v>
      </c>
      <c r="AV52" s="12">
        <f t="shared" si="113"/>
        <v>47126</v>
      </c>
      <c r="AW52" s="13">
        <f t="shared" si="113"/>
        <v>186115</v>
      </c>
      <c r="AX52" s="81">
        <f t="shared" si="113"/>
        <v>47779</v>
      </c>
      <c r="AY52" s="12">
        <f t="shared" si="113"/>
        <v>48549</v>
      </c>
      <c r="AZ52" s="81">
        <f t="shared" si="113"/>
        <v>49050</v>
      </c>
      <c r="BA52" s="12">
        <f t="shared" si="113"/>
        <v>49885</v>
      </c>
      <c r="BB52" s="13">
        <f t="shared" si="113"/>
        <v>195263</v>
      </c>
      <c r="BC52" s="81">
        <f t="shared" si="113"/>
        <v>52551</v>
      </c>
      <c r="BD52" s="12">
        <f t="shared" si="113"/>
        <v>57511</v>
      </c>
      <c r="BE52" s="12">
        <f t="shared" si="113"/>
        <v>58604</v>
      </c>
      <c r="BF52" s="12">
        <f t="shared" si="113"/>
        <v>61639</v>
      </c>
      <c r="BG52" s="13">
        <f t="shared" si="113"/>
        <v>230305</v>
      </c>
      <c r="BH52" s="81">
        <f t="shared" si="113"/>
        <v>65271</v>
      </c>
      <c r="BI52" s="12">
        <f t="shared" si="113"/>
        <v>74065</v>
      </c>
      <c r="BJ52" s="12">
        <f t="shared" si="113"/>
        <v>73117</v>
      </c>
      <c r="BK52" s="12">
        <f t="shared" si="113"/>
        <v>78783</v>
      </c>
      <c r="BL52" s="13">
        <f t="shared" si="113"/>
        <v>291236</v>
      </c>
      <c r="BM52" s="12">
        <f t="shared" ref="BM52:BS52" si="114">BM44+BM46+BM48+BM50</f>
        <v>75606</v>
      </c>
      <c r="BN52" s="12">
        <f t="shared" si="114"/>
        <v>69946</v>
      </c>
      <c r="BO52" s="12">
        <f t="shared" si="114"/>
        <v>75211</v>
      </c>
      <c r="BP52" s="12">
        <f t="shared" si="114"/>
        <v>76083</v>
      </c>
      <c r="BQ52" s="13">
        <f t="shared" si="114"/>
        <v>296846</v>
      </c>
      <c r="BR52" s="12">
        <f t="shared" si="114"/>
        <v>78282</v>
      </c>
      <c r="BS52" s="12">
        <f t="shared" si="114"/>
        <v>93675</v>
      </c>
      <c r="BT52" s="12">
        <f t="shared" ref="BT52:BY52" si="115">BT44+BT46+BT48+BT50</f>
        <v>99403</v>
      </c>
      <c r="BU52" s="12">
        <f t="shared" si="115"/>
        <v>104748</v>
      </c>
      <c r="BV52" s="13">
        <f t="shared" si="115"/>
        <v>376108</v>
      </c>
      <c r="BW52" s="12">
        <f t="shared" si="115"/>
        <v>101586</v>
      </c>
      <c r="BX52" s="12">
        <f t="shared" si="115"/>
        <v>103756</v>
      </c>
      <c r="BY52" s="12">
        <f t="shared" si="115"/>
        <v>107651</v>
      </c>
      <c r="BZ52" s="12">
        <f>BZ46+BZ48+BZ50+BZ44</f>
        <v>113434</v>
      </c>
      <c r="CA52" s="13">
        <f>CA44+CA46+CA48+CA50</f>
        <v>426427</v>
      </c>
      <c r="CB52" s="12">
        <f t="shared" ref="CB52:CP52" si="116">CB46+CB48+CB50+CB44</f>
        <v>112850</v>
      </c>
      <c r="CC52" s="12">
        <f t="shared" si="116"/>
        <v>122627</v>
      </c>
      <c r="CD52" s="12">
        <f t="shared" si="116"/>
        <v>118527</v>
      </c>
      <c r="CE52" s="12">
        <f t="shared" si="116"/>
        <v>121693</v>
      </c>
      <c r="CF52" s="13">
        <f t="shared" si="116"/>
        <v>475697</v>
      </c>
      <c r="CG52" s="12">
        <f t="shared" si="116"/>
        <v>118588</v>
      </c>
      <c r="CH52" s="12">
        <f>CH46+CH48+CH50+CH44</f>
        <v>122107</v>
      </c>
      <c r="CI52" s="12">
        <f>CI46+CI48+CI50+CI44</f>
        <v>116908</v>
      </c>
      <c r="CJ52" s="12">
        <f t="shared" ref="CJ52" si="117">CJ46+CJ48+CJ50+CJ44</f>
        <v>122629</v>
      </c>
      <c r="CK52" s="13">
        <f t="shared" si="116"/>
        <v>480232</v>
      </c>
      <c r="CL52" s="12">
        <f t="shared" ref="CL52" si="118">CL46+CL48+CL50+CL44</f>
        <v>133702</v>
      </c>
      <c r="CM52" s="12">
        <f t="shared" si="116"/>
        <v>133265</v>
      </c>
      <c r="CN52" s="12">
        <f t="shared" ref="CN52:CO52" si="119">CN46+CN48+CN50+CN44</f>
        <v>141527</v>
      </c>
      <c r="CO52" s="12">
        <f t="shared" si="119"/>
        <v>142119</v>
      </c>
      <c r="CP52" s="13">
        <f t="shared" si="116"/>
        <v>550613</v>
      </c>
      <c r="CQ52" s="12">
        <f t="shared" ref="CQ52:CU52" si="120">CQ46+CQ48+CQ50+CQ44</f>
        <v>147872.02940999999</v>
      </c>
      <c r="CR52" s="12">
        <f t="shared" si="120"/>
        <v>154451.01154000001</v>
      </c>
      <c r="CS52" s="12">
        <f t="shared" si="120"/>
        <v>156066.01430000001</v>
      </c>
      <c r="CT52" s="12">
        <f t="shared" si="120"/>
        <v>156797.69627304</v>
      </c>
      <c r="CU52" s="13">
        <f t="shared" si="120"/>
        <v>615186.75152304</v>
      </c>
      <c r="CV52" s="12" t="s">
        <v>966</v>
      </c>
      <c r="CW52" s="12"/>
      <c r="CX52" s="12"/>
      <c r="CY52" s="12"/>
      <c r="CZ52" s="205"/>
      <c r="DA52" s="205"/>
      <c r="DB52" s="204"/>
      <c r="DC52" s="204"/>
      <c r="DD52" s="204"/>
      <c r="DE52" s="107"/>
      <c r="DF52" s="68"/>
      <c r="DG52" s="68"/>
      <c r="DH52" s="68"/>
      <c r="DI52" s="68"/>
      <c r="DJ52" s="68"/>
      <c r="DK52" s="68"/>
      <c r="DL52" s="68"/>
      <c r="DM52" s="68"/>
    </row>
    <row r="53" spans="1:117" ht="10.5" customHeight="1">
      <c r="A53" s="7"/>
      <c r="B53" s="8"/>
      <c r="C53" s="7"/>
      <c r="D53" s="9"/>
      <c r="E53" s="7"/>
      <c r="F53" s="7"/>
      <c r="G53" s="7"/>
      <c r="H53" s="7"/>
      <c r="I53" s="9"/>
      <c r="J53" s="7"/>
      <c r="K53" s="7"/>
      <c r="L53" s="7"/>
      <c r="M53" s="7"/>
      <c r="N53" s="9"/>
      <c r="O53" s="7"/>
      <c r="P53" s="7"/>
      <c r="Q53" s="7"/>
      <c r="R53" s="7"/>
      <c r="S53" s="9"/>
      <c r="T53" s="12"/>
      <c r="U53" s="7"/>
      <c r="V53" s="7"/>
      <c r="W53" s="7"/>
      <c r="X53" s="9"/>
      <c r="Y53" s="7"/>
      <c r="Z53" s="7"/>
      <c r="AA53" s="7"/>
      <c r="AB53" s="7"/>
      <c r="AC53" s="9"/>
      <c r="AD53" s="7"/>
      <c r="AE53" s="7"/>
      <c r="AF53" s="7"/>
      <c r="AG53" s="7"/>
      <c r="AH53" s="9"/>
      <c r="AI53" s="7"/>
      <c r="AJ53" s="7"/>
      <c r="AK53" s="7"/>
      <c r="AL53" s="7"/>
      <c r="AM53" s="9"/>
      <c r="AN53" s="7"/>
      <c r="AO53" s="7"/>
      <c r="AP53" s="7"/>
      <c r="AQ53" s="7"/>
      <c r="AR53" s="9"/>
      <c r="AS53" s="279"/>
      <c r="AT53" s="7"/>
      <c r="AU53" s="279"/>
      <c r="AV53" s="7"/>
      <c r="AW53" s="9"/>
      <c r="AX53" s="279"/>
      <c r="AY53" s="7"/>
      <c r="AZ53" s="279"/>
      <c r="BA53" s="7"/>
      <c r="BB53" s="9"/>
      <c r="BC53" s="279"/>
      <c r="BD53" s="7"/>
      <c r="BE53" s="7"/>
      <c r="BF53" s="7"/>
      <c r="BG53" s="9"/>
      <c r="BH53" s="279"/>
      <c r="BI53" s="7"/>
      <c r="BJ53" s="7"/>
      <c r="BK53" s="7"/>
      <c r="BL53" s="9"/>
      <c r="BM53" s="7"/>
      <c r="BN53" s="7"/>
      <c r="BO53" s="22"/>
      <c r="BP53" s="7"/>
      <c r="BQ53" s="9"/>
      <c r="BR53" s="7"/>
      <c r="BS53" s="7"/>
      <c r="BT53" s="7"/>
      <c r="BU53" s="7"/>
      <c r="BV53" s="9"/>
      <c r="BW53" s="7"/>
      <c r="BX53" s="7"/>
      <c r="BY53" s="7"/>
      <c r="BZ53" s="7"/>
      <c r="CA53" s="9"/>
      <c r="CB53" s="7"/>
      <c r="CC53" s="7"/>
      <c r="CD53" s="7"/>
      <c r="CE53" s="7"/>
      <c r="CF53" s="9"/>
      <c r="CG53" s="7"/>
      <c r="CH53" s="7"/>
      <c r="CI53" s="7"/>
      <c r="CJ53" s="7"/>
      <c r="CK53" s="9"/>
      <c r="CL53" s="7"/>
      <c r="CM53" s="7"/>
      <c r="CN53" s="7"/>
      <c r="CO53" s="7"/>
      <c r="CP53" s="9"/>
      <c r="CQ53" s="7"/>
      <c r="CR53" s="7"/>
      <c r="CS53" s="7"/>
      <c r="CT53" s="7"/>
      <c r="CU53" s="9"/>
      <c r="CV53" s="7"/>
      <c r="CW53" s="7"/>
      <c r="CX53" s="7"/>
      <c r="CY53" s="7"/>
      <c r="CZ53" s="205"/>
      <c r="DA53" s="205"/>
      <c r="DB53" s="205"/>
      <c r="DC53" s="205"/>
      <c r="DD53" s="205"/>
      <c r="DE53" s="68"/>
      <c r="DF53" s="103"/>
      <c r="DG53" s="103"/>
      <c r="DH53" s="103"/>
      <c r="DI53" s="103"/>
      <c r="DJ53" s="103"/>
      <c r="DK53" s="103"/>
      <c r="DL53" s="103"/>
      <c r="DM53" s="103"/>
    </row>
    <row r="54" spans="1:117">
      <c r="A54" s="7"/>
      <c r="B54" s="34" t="s">
        <v>417</v>
      </c>
      <c r="C54" s="27"/>
      <c r="D54" s="687">
        <f t="shared" ref="D54:AI54" si="121">D40-D52</f>
        <v>26780</v>
      </c>
      <c r="E54" s="688">
        <f t="shared" si="121"/>
        <v>4668</v>
      </c>
      <c r="F54" s="688">
        <f t="shared" si="121"/>
        <v>1782</v>
      </c>
      <c r="G54" s="688">
        <f t="shared" si="121"/>
        <v>11937</v>
      </c>
      <c r="H54" s="688">
        <f t="shared" si="121"/>
        <v>9708</v>
      </c>
      <c r="I54" s="687">
        <f t="shared" si="121"/>
        <v>28095</v>
      </c>
      <c r="J54" s="688">
        <f t="shared" si="121"/>
        <v>9975</v>
      </c>
      <c r="K54" s="688">
        <f t="shared" si="121"/>
        <v>11397</v>
      </c>
      <c r="L54" s="688">
        <f t="shared" si="121"/>
        <v>12463</v>
      </c>
      <c r="M54" s="688">
        <f t="shared" si="121"/>
        <v>10949</v>
      </c>
      <c r="N54" s="687">
        <f t="shared" si="121"/>
        <v>44784</v>
      </c>
      <c r="O54" s="688">
        <f t="shared" si="121"/>
        <v>8136</v>
      </c>
      <c r="P54" s="688">
        <f t="shared" si="121"/>
        <v>10485</v>
      </c>
      <c r="Q54" s="688">
        <f t="shared" si="121"/>
        <v>11831</v>
      </c>
      <c r="R54" s="688">
        <f t="shared" si="121"/>
        <v>11189</v>
      </c>
      <c r="S54" s="687">
        <f t="shared" si="121"/>
        <v>41641</v>
      </c>
      <c r="T54" s="688">
        <f t="shared" si="121"/>
        <v>12531</v>
      </c>
      <c r="U54" s="688">
        <f t="shared" si="121"/>
        <v>12399</v>
      </c>
      <c r="V54" s="688">
        <f t="shared" si="121"/>
        <v>15040</v>
      </c>
      <c r="W54" s="688">
        <f t="shared" si="121"/>
        <v>17256</v>
      </c>
      <c r="X54" s="687">
        <f t="shared" si="121"/>
        <v>57226</v>
      </c>
      <c r="Y54" s="688">
        <f t="shared" si="121"/>
        <v>13235</v>
      </c>
      <c r="Z54" s="688">
        <f t="shared" si="121"/>
        <v>15842</v>
      </c>
      <c r="AA54" s="688">
        <f t="shared" si="121"/>
        <v>22143</v>
      </c>
      <c r="AB54" s="688">
        <f t="shared" si="121"/>
        <v>18935</v>
      </c>
      <c r="AC54" s="687">
        <f t="shared" si="121"/>
        <v>70155</v>
      </c>
      <c r="AD54" s="688">
        <f t="shared" si="121"/>
        <v>18725</v>
      </c>
      <c r="AE54" s="688">
        <f t="shared" si="121"/>
        <v>19903</v>
      </c>
      <c r="AF54" s="688">
        <f t="shared" si="121"/>
        <v>23070</v>
      </c>
      <c r="AG54" s="688">
        <f t="shared" si="121"/>
        <v>24660</v>
      </c>
      <c r="AH54" s="687">
        <f t="shared" si="121"/>
        <v>86358</v>
      </c>
      <c r="AI54" s="688">
        <f t="shared" si="121"/>
        <v>24958</v>
      </c>
      <c r="AJ54" s="688">
        <f t="shared" ref="AJ54:BO54" si="122">AJ40-AJ52</f>
        <v>28733</v>
      </c>
      <c r="AK54" s="688">
        <f t="shared" si="122"/>
        <v>32358</v>
      </c>
      <c r="AL54" s="688">
        <f t="shared" si="122"/>
        <v>30509</v>
      </c>
      <c r="AM54" s="687">
        <f t="shared" si="122"/>
        <v>116558</v>
      </c>
      <c r="AN54" s="688">
        <f t="shared" si="122"/>
        <v>33120</v>
      </c>
      <c r="AO54" s="688">
        <f t="shared" si="122"/>
        <v>36003</v>
      </c>
      <c r="AP54" s="688">
        <f t="shared" si="122"/>
        <v>39323</v>
      </c>
      <c r="AQ54" s="688">
        <f t="shared" si="122"/>
        <v>40728</v>
      </c>
      <c r="AR54" s="687">
        <f t="shared" si="122"/>
        <v>149174</v>
      </c>
      <c r="AS54" s="689">
        <f t="shared" si="122"/>
        <v>49055</v>
      </c>
      <c r="AT54" s="688">
        <f t="shared" si="122"/>
        <v>52211</v>
      </c>
      <c r="AU54" s="689">
        <f t="shared" si="122"/>
        <v>57415</v>
      </c>
      <c r="AV54" s="688">
        <f t="shared" si="122"/>
        <v>54845</v>
      </c>
      <c r="AW54" s="687">
        <f t="shared" si="122"/>
        <v>213526</v>
      </c>
      <c r="AX54" s="689">
        <f t="shared" si="122"/>
        <v>54391</v>
      </c>
      <c r="AY54" s="688">
        <f t="shared" si="122"/>
        <v>55222</v>
      </c>
      <c r="AZ54" s="689">
        <f t="shared" si="122"/>
        <v>62638</v>
      </c>
      <c r="BA54" s="688">
        <f t="shared" si="122"/>
        <v>63834</v>
      </c>
      <c r="BB54" s="687">
        <f t="shared" si="122"/>
        <v>236085</v>
      </c>
      <c r="BC54" s="689">
        <f t="shared" si="122"/>
        <v>58623</v>
      </c>
      <c r="BD54" s="688">
        <f t="shared" si="122"/>
        <v>62106</v>
      </c>
      <c r="BE54" s="688">
        <f t="shared" si="122"/>
        <v>64329</v>
      </c>
      <c r="BF54" s="688">
        <f t="shared" si="122"/>
        <v>65201</v>
      </c>
      <c r="BG54" s="687">
        <f t="shared" si="122"/>
        <v>250259</v>
      </c>
      <c r="BH54" s="689">
        <f t="shared" si="122"/>
        <v>62954</v>
      </c>
      <c r="BI54" s="688">
        <f t="shared" si="122"/>
        <v>68396</v>
      </c>
      <c r="BJ54" s="688">
        <f t="shared" si="122"/>
        <v>70974</v>
      </c>
      <c r="BK54" s="688">
        <f t="shared" si="122"/>
        <v>73913</v>
      </c>
      <c r="BL54" s="687">
        <f t="shared" si="122"/>
        <v>276237</v>
      </c>
      <c r="BM54" s="688">
        <f t="shared" si="122"/>
        <v>66043</v>
      </c>
      <c r="BN54" s="688">
        <f t="shared" si="122"/>
        <v>73870</v>
      </c>
      <c r="BO54" s="688">
        <f t="shared" si="122"/>
        <v>81009</v>
      </c>
      <c r="BP54" s="688">
        <f t="shared" ref="BP54:CK54" si="123">BP40-BP52</f>
        <v>75622</v>
      </c>
      <c r="BQ54" s="687">
        <f t="shared" si="123"/>
        <v>296544</v>
      </c>
      <c r="BR54" s="688">
        <f t="shared" si="123"/>
        <v>78889</v>
      </c>
      <c r="BS54" s="688">
        <f t="shared" si="123"/>
        <v>107406</v>
      </c>
      <c r="BT54" s="688">
        <f t="shared" si="123"/>
        <v>116763</v>
      </c>
      <c r="BU54" s="688">
        <f t="shared" si="123"/>
        <v>102462</v>
      </c>
      <c r="BV54" s="687">
        <f t="shared" si="123"/>
        <v>405520</v>
      </c>
      <c r="BW54" s="688">
        <f t="shared" si="123"/>
        <v>110825</v>
      </c>
      <c r="BX54" s="688">
        <f t="shared" si="123"/>
        <v>110598</v>
      </c>
      <c r="BY54" s="688">
        <f t="shared" si="123"/>
        <v>117815</v>
      </c>
      <c r="BZ54" s="688">
        <f>BZ40-BZ52</f>
        <v>97877</v>
      </c>
      <c r="CA54" s="687">
        <f>CA40-CA52</f>
        <v>437115</v>
      </c>
      <c r="CB54" s="688">
        <f t="shared" si="123"/>
        <v>102249</v>
      </c>
      <c r="CC54" s="688">
        <f t="shared" si="123"/>
        <v>115911</v>
      </c>
      <c r="CD54" s="688">
        <f t="shared" si="123"/>
        <v>122515</v>
      </c>
      <c r="CE54" s="688">
        <f t="shared" si="123"/>
        <v>107396</v>
      </c>
      <c r="CF54" s="687">
        <f t="shared" si="123"/>
        <v>448071</v>
      </c>
      <c r="CG54" s="688">
        <f t="shared" si="123"/>
        <v>121707</v>
      </c>
      <c r="CH54" s="688">
        <f>CH40-CH52</f>
        <v>132569</v>
      </c>
      <c r="CI54" s="688">
        <f>CI40-CI52</f>
        <v>137768</v>
      </c>
      <c r="CJ54" s="688">
        <f t="shared" ref="CJ54" si="124">CJ40-CJ52</f>
        <v>131771</v>
      </c>
      <c r="CK54" s="687">
        <f t="shared" si="123"/>
        <v>523815</v>
      </c>
      <c r="CL54" s="688">
        <f>CL40-CL52</f>
        <v>151387</v>
      </c>
      <c r="CM54" s="688">
        <f t="shared" ref="CM54:CU54" si="125">CM40-CM52</f>
        <v>158129</v>
      </c>
      <c r="CN54" s="688">
        <f t="shared" ref="CN54:CO54" si="126">CN40-CN52</f>
        <v>158608</v>
      </c>
      <c r="CO54" s="688">
        <f t="shared" si="126"/>
        <v>153506.03399999999</v>
      </c>
      <c r="CP54" s="687">
        <f t="shared" si="125"/>
        <v>621630.03399999999</v>
      </c>
      <c r="CQ54" s="688">
        <f t="shared" si="125"/>
        <v>166341.94299000004</v>
      </c>
      <c r="CR54" s="688">
        <f t="shared" si="125"/>
        <v>175872.71090999999</v>
      </c>
      <c r="CS54" s="688">
        <f t="shared" si="125"/>
        <v>173260.13850000003</v>
      </c>
      <c r="CT54" s="688">
        <f t="shared" si="125"/>
        <v>176069.03357796001</v>
      </c>
      <c r="CU54" s="687">
        <f t="shared" si="125"/>
        <v>691543.8259779599</v>
      </c>
      <c r="CV54" s="21" t="s">
        <v>1042</v>
      </c>
      <c r="CW54" s="21"/>
      <c r="CX54" s="21" t="s">
        <v>968</v>
      </c>
      <c r="CY54" s="21"/>
      <c r="CZ54" s="205"/>
      <c r="DA54" s="205"/>
      <c r="DB54" s="205"/>
      <c r="DC54" s="204"/>
      <c r="DD54" s="204"/>
      <c r="DE54" s="103"/>
    </row>
    <row r="55" spans="1:117" s="686" customFormat="1" ht="11.65" customHeight="1">
      <c r="A55" s="625"/>
      <c r="B55" s="626"/>
      <c r="C55" s="627" t="s">
        <v>424</v>
      </c>
      <c r="D55" s="628">
        <f t="shared" ref="D55:AI55" si="127">D54/D23</f>
        <v>0.12184025186991573</v>
      </c>
      <c r="E55" s="627">
        <f t="shared" si="127"/>
        <v>7.8650738824956615E-2</v>
      </c>
      <c r="F55" s="627">
        <f t="shared" si="127"/>
        <v>2.6373040891533101E-2</v>
      </c>
      <c r="G55" s="627">
        <f t="shared" si="127"/>
        <v>0.17391494383495781</v>
      </c>
      <c r="H55" s="627">
        <f t="shared" si="127"/>
        <v>0.139595076498332</v>
      </c>
      <c r="I55" s="628">
        <f t="shared" si="127"/>
        <v>0.10597847612796632</v>
      </c>
      <c r="J55" s="627">
        <f t="shared" si="127"/>
        <v>0.14339107309710342</v>
      </c>
      <c r="K55" s="627">
        <f t="shared" si="127"/>
        <v>0.15791442664745331</v>
      </c>
      <c r="L55" s="627">
        <f t="shared" si="127"/>
        <v>0.16766668460420814</v>
      </c>
      <c r="M55" s="627">
        <f t="shared" si="127"/>
        <v>0.14752684694881227</v>
      </c>
      <c r="N55" s="628">
        <f t="shared" si="127"/>
        <v>0.15427543870527685</v>
      </c>
      <c r="O55" s="627">
        <f t="shared" si="127"/>
        <v>0.116528215411057</v>
      </c>
      <c r="P55" s="627">
        <f t="shared" si="127"/>
        <v>0.14442148760330578</v>
      </c>
      <c r="Q55" s="627">
        <f t="shared" si="127"/>
        <v>0.16037902099798018</v>
      </c>
      <c r="R55" s="627">
        <f t="shared" si="127"/>
        <v>0.1544609947680117</v>
      </c>
      <c r="S55" s="628">
        <f t="shared" si="127"/>
        <v>0.14427221198220547</v>
      </c>
      <c r="T55" s="627">
        <f t="shared" si="127"/>
        <v>0.17073835379395855</v>
      </c>
      <c r="U55" s="627">
        <f t="shared" si="127"/>
        <v>0.161582068156643</v>
      </c>
      <c r="V55" s="627">
        <f t="shared" si="127"/>
        <v>0.19485903814262023</v>
      </c>
      <c r="W55" s="627">
        <f t="shared" si="127"/>
        <v>0.21023647948927254</v>
      </c>
      <c r="X55" s="628">
        <f t="shared" si="127"/>
        <v>0.18496336351089721</v>
      </c>
      <c r="Y55" s="627">
        <f t="shared" si="127"/>
        <v>0.1599917797952202</v>
      </c>
      <c r="Z55" s="627">
        <f t="shared" si="127"/>
        <v>0.17338674371771298</v>
      </c>
      <c r="AA55" s="627">
        <f t="shared" si="127"/>
        <v>0.23595290106025893</v>
      </c>
      <c r="AB55" s="627">
        <f t="shared" si="127"/>
        <v>0.19854668232530828</v>
      </c>
      <c r="AC55" s="628">
        <f t="shared" si="127"/>
        <v>0.19310274590976151</v>
      </c>
      <c r="AD55" s="627">
        <f t="shared" si="127"/>
        <v>0.19546133049405526</v>
      </c>
      <c r="AE55" s="627">
        <f t="shared" si="127"/>
        <v>0.1930680583579078</v>
      </c>
      <c r="AF55" s="627">
        <f t="shared" si="127"/>
        <v>0.21556516945272422</v>
      </c>
      <c r="AG55" s="627">
        <f t="shared" si="127"/>
        <v>0.22269381857587936</v>
      </c>
      <c r="AH55" s="628">
        <f t="shared" si="127"/>
        <v>0.2072709729912659</v>
      </c>
      <c r="AI55" s="627">
        <f t="shared" si="127"/>
        <v>0.22160069610924654</v>
      </c>
      <c r="AJ55" s="627">
        <f t="shared" ref="AJ55:BO55" si="128">AJ54/AJ23</f>
        <v>0.23102652547619623</v>
      </c>
      <c r="AK55" s="627">
        <f t="shared" si="128"/>
        <v>0.25149225890692034</v>
      </c>
      <c r="AL55" s="627">
        <f t="shared" si="128"/>
        <v>0.23939893283113622</v>
      </c>
      <c r="AM55" s="628">
        <f t="shared" si="128"/>
        <v>0.23637753725910107</v>
      </c>
      <c r="AN55" s="627">
        <f t="shared" si="128"/>
        <v>0.24539513655290962</v>
      </c>
      <c r="AO55" s="627">
        <f t="shared" si="128"/>
        <v>0.24609863631703066</v>
      </c>
      <c r="AP55" s="627">
        <f t="shared" si="128"/>
        <v>0.26068480890980811</v>
      </c>
      <c r="AQ55" s="627">
        <f t="shared" si="128"/>
        <v>0.25119187857332287</v>
      </c>
      <c r="AR55" s="628">
        <f t="shared" si="128"/>
        <v>0.25103114035456758</v>
      </c>
      <c r="AS55" s="631">
        <f t="shared" si="128"/>
        <v>0.26517936298570716</v>
      </c>
      <c r="AT55" s="627">
        <f t="shared" si="128"/>
        <v>0.26947751988397362</v>
      </c>
      <c r="AU55" s="631">
        <f t="shared" si="128"/>
        <v>0.29033106287008803</v>
      </c>
      <c r="AV55" s="627">
        <f t="shared" si="128"/>
        <v>0.28117566237388236</v>
      </c>
      <c r="AW55" s="628">
        <f t="shared" si="128"/>
        <v>0.27674940055731967</v>
      </c>
      <c r="AX55" s="631">
        <f t="shared" si="128"/>
        <v>0.27214958695467262</v>
      </c>
      <c r="AY55" s="627">
        <f t="shared" si="128"/>
        <v>0.26369271027323343</v>
      </c>
      <c r="AZ55" s="631">
        <f t="shared" si="128"/>
        <v>0.29214394985261743</v>
      </c>
      <c r="BA55" s="627">
        <f t="shared" si="128"/>
        <v>0.29270104454206136</v>
      </c>
      <c r="BB55" s="628">
        <f t="shared" si="128"/>
        <v>0.28046292985367721</v>
      </c>
      <c r="BC55" s="631">
        <f t="shared" si="128"/>
        <v>0.26480113828850194</v>
      </c>
      <c r="BD55" s="627">
        <f t="shared" si="128"/>
        <v>0.26125474293502493</v>
      </c>
      <c r="BE55" s="627">
        <f t="shared" si="128"/>
        <v>0.27078141837284481</v>
      </c>
      <c r="BF55" s="627">
        <f t="shared" si="128"/>
        <v>0.2682804392819082</v>
      </c>
      <c r="BG55" s="628">
        <f t="shared" si="128"/>
        <v>0.2663157065811933</v>
      </c>
      <c r="BH55" s="631">
        <f t="shared" si="128"/>
        <v>0.2530681813613761</v>
      </c>
      <c r="BI55" s="627">
        <f t="shared" si="128"/>
        <v>0.2460455930441289</v>
      </c>
      <c r="BJ55" s="627">
        <f t="shared" si="128"/>
        <v>0.25605096920129733</v>
      </c>
      <c r="BK55" s="627">
        <f t="shared" si="128"/>
        <v>0.2571557797686353</v>
      </c>
      <c r="BL55" s="628">
        <f t="shared" si="128"/>
        <v>0.25311355781248279</v>
      </c>
      <c r="BM55" s="627">
        <f t="shared" si="128"/>
        <v>0.2386118939229713</v>
      </c>
      <c r="BN55" s="627">
        <f t="shared" si="128"/>
        <v>0.27225250526114053</v>
      </c>
      <c r="BO55" s="627">
        <f t="shared" si="128"/>
        <v>0.28331065934104366</v>
      </c>
      <c r="BP55" s="627">
        <f t="shared" ref="BP55:CK55" si="129">BP54/BP23</f>
        <v>0.26683085869135664</v>
      </c>
      <c r="BQ55" s="628">
        <f t="shared" si="129"/>
        <v>0.26537468208982207</v>
      </c>
      <c r="BR55" s="627">
        <f t="shared" si="129"/>
        <v>0.26759994843996987</v>
      </c>
      <c r="BS55" s="627">
        <f t="shared" si="129"/>
        <v>0.26496251507907725</v>
      </c>
      <c r="BT55" s="627">
        <f t="shared" si="129"/>
        <v>0.25348874570148322</v>
      </c>
      <c r="BU55" s="627">
        <f t="shared" si="129"/>
        <v>0.23599185583726415</v>
      </c>
      <c r="BV55" s="628">
        <f t="shared" si="129"/>
        <v>0.25425009326223458</v>
      </c>
      <c r="BW55" s="627">
        <f t="shared" si="129"/>
        <v>0.2429797328702851</v>
      </c>
      <c r="BX55" s="627">
        <f t="shared" si="129"/>
        <v>0.23597512188356787</v>
      </c>
      <c r="BY55" s="627">
        <f t="shared" si="129"/>
        <v>0.24897979885500782</v>
      </c>
      <c r="BZ55" s="627">
        <f t="shared" si="129"/>
        <v>0.21643669010658528</v>
      </c>
      <c r="CA55" s="628">
        <f t="shared" si="129"/>
        <v>0.23625232677045341</v>
      </c>
      <c r="CB55" s="627">
        <f>CB54/CB23</f>
        <v>0.21669672546322691</v>
      </c>
      <c r="CC55" s="627">
        <f t="shared" si="129"/>
        <v>0.22985490175081652</v>
      </c>
      <c r="CD55" s="627">
        <f t="shared" si="129"/>
        <v>0.24766315466034883</v>
      </c>
      <c r="CE55" s="627">
        <f t="shared" si="129"/>
        <v>0.22330668385540667</v>
      </c>
      <c r="CF55" s="628">
        <f t="shared" si="129"/>
        <v>0.22957385445172054</v>
      </c>
      <c r="CG55" s="627">
        <f t="shared" si="129"/>
        <v>0.23754242630655459</v>
      </c>
      <c r="CH55" s="627">
        <f>CH54/CH23</f>
        <v>0.24505523350388927</v>
      </c>
      <c r="CI55" s="627">
        <f>CI54/CI23</f>
        <v>0.25355902506179406</v>
      </c>
      <c r="CJ55" s="627">
        <f t="shared" ref="CJ55" si="130">CJ54/CJ23</f>
        <v>0.24351035146757438</v>
      </c>
      <c r="CK55" s="628">
        <f t="shared" si="129"/>
        <v>0.24502491576632646</v>
      </c>
      <c r="CL55" s="627">
        <f t="shared" ref="CL55" si="131">CL54/CL23</f>
        <v>0.267863367335203</v>
      </c>
      <c r="CM55" s="627">
        <f t="shared" ref="CM55:CU55" si="132">CM54/CM23</f>
        <v>0.26526504025216524</v>
      </c>
      <c r="CN55" s="627">
        <f t="shared" ref="CN55:CO55" si="133">CN54/CN23</f>
        <v>0.2661748442217296</v>
      </c>
      <c r="CO55" s="627">
        <f t="shared" si="133"/>
        <v>0.26011004706579999</v>
      </c>
      <c r="CP55" s="628">
        <f t="shared" si="132"/>
        <v>0.26482554139251274</v>
      </c>
      <c r="CQ55" s="627">
        <f t="shared" si="132"/>
        <v>0.27335184556435455</v>
      </c>
      <c r="CR55" s="627">
        <f t="shared" si="132"/>
        <v>0.27100958924920748</v>
      </c>
      <c r="CS55" s="627">
        <f t="shared" si="132"/>
        <v>0.27199217025496886</v>
      </c>
      <c r="CT55" s="627">
        <f t="shared" si="132"/>
        <v>0.27623481268981787</v>
      </c>
      <c r="CU55" s="628">
        <f t="shared" si="132"/>
        <v>0.27313518253902841</v>
      </c>
      <c r="CV55" s="627"/>
      <c r="CW55" s="627"/>
      <c r="CX55" s="627"/>
      <c r="CY55" s="627"/>
      <c r="CZ55" s="643"/>
      <c r="DA55" s="641"/>
      <c r="DB55" s="641"/>
      <c r="DC55" s="641"/>
      <c r="DD55" s="641"/>
      <c r="DE55" s="639"/>
      <c r="DF55" s="639"/>
      <c r="DG55" s="639"/>
      <c r="DH55" s="639"/>
      <c r="DI55" s="639"/>
      <c r="DJ55" s="639"/>
      <c r="DK55" s="639"/>
      <c r="DL55" s="639"/>
      <c r="DM55" s="639"/>
    </row>
    <row r="56" spans="1:117" s="107" customFormat="1">
      <c r="A56" s="97"/>
      <c r="B56" s="98"/>
      <c r="C56" s="99"/>
      <c r="D56" s="100"/>
      <c r="E56" s="99"/>
      <c r="F56" s="99"/>
      <c r="G56" s="99"/>
      <c r="H56" s="99"/>
      <c r="I56" s="100"/>
      <c r="J56" s="99"/>
      <c r="K56" s="99"/>
      <c r="L56" s="99"/>
      <c r="M56" s="99"/>
      <c r="N56" s="100"/>
      <c r="O56" s="99"/>
      <c r="P56" s="99"/>
      <c r="Q56" s="99"/>
      <c r="R56" s="99"/>
      <c r="S56" s="100"/>
      <c r="T56" s="99"/>
      <c r="U56" s="99"/>
      <c r="V56" s="99"/>
      <c r="W56" s="99"/>
      <c r="X56" s="100"/>
      <c r="Y56" s="99"/>
      <c r="Z56" s="99"/>
      <c r="AA56" s="99"/>
      <c r="AB56" s="99"/>
      <c r="AC56" s="100"/>
      <c r="AD56" s="263"/>
      <c r="AE56" s="264"/>
      <c r="AF56" s="264"/>
      <c r="AG56" s="264"/>
      <c r="AH56" s="100"/>
      <c r="AI56" s="263"/>
      <c r="AJ56" s="264"/>
      <c r="AK56" s="264"/>
      <c r="AL56" s="264"/>
      <c r="AM56" s="100"/>
      <c r="AN56" s="263"/>
      <c r="AO56" s="264"/>
      <c r="AP56" s="264"/>
      <c r="AQ56" s="264"/>
      <c r="AR56" s="100"/>
      <c r="AS56" s="407"/>
      <c r="AT56" s="264"/>
      <c r="AU56" s="457"/>
      <c r="AV56" s="21"/>
      <c r="AW56" s="100"/>
      <c r="AX56" s="474"/>
      <c r="AY56" s="264"/>
      <c r="AZ56" s="490"/>
      <c r="BA56" s="495"/>
      <c r="BB56" s="100"/>
      <c r="BC56" s="407"/>
      <c r="BD56" s="264"/>
      <c r="BE56" s="264"/>
      <c r="BF56" s="264"/>
      <c r="BG56" s="100"/>
      <c r="BH56" s="407"/>
      <c r="BI56" s="264"/>
      <c r="BJ56" s="264"/>
      <c r="BK56" s="264"/>
      <c r="BL56" s="100"/>
      <c r="BM56" s="263"/>
      <c r="BN56" s="264"/>
      <c r="BO56" s="264"/>
      <c r="BP56" s="264"/>
      <c r="BQ56" s="100"/>
      <c r="BR56" s="263"/>
      <c r="BS56" s="264"/>
      <c r="BT56" s="264"/>
      <c r="BU56" s="264"/>
      <c r="BV56" s="100"/>
      <c r="BW56" s="264"/>
      <c r="BX56" s="264"/>
      <c r="BY56" s="264"/>
      <c r="BZ56" s="264"/>
      <c r="CA56" s="100"/>
      <c r="CB56" s="264"/>
      <c r="CC56" s="264"/>
      <c r="CD56" s="264"/>
      <c r="CE56" s="264"/>
      <c r="CF56" s="100"/>
      <c r="CG56" s="264"/>
      <c r="CH56" s="264"/>
      <c r="CI56" s="264"/>
      <c r="CJ56" s="264"/>
      <c r="CK56" s="100"/>
      <c r="CL56" s="264"/>
      <c r="CM56" s="264"/>
      <c r="CN56" s="264"/>
      <c r="CO56" s="264"/>
      <c r="CP56" s="100"/>
      <c r="CQ56" s="264"/>
      <c r="CR56" s="264"/>
      <c r="CS56" s="264"/>
      <c r="CT56" s="264"/>
      <c r="CU56" s="100"/>
      <c r="CV56" s="99"/>
      <c r="CW56" s="99"/>
      <c r="CX56" s="99"/>
      <c r="CY56" s="99"/>
      <c r="CZ56" s="204"/>
      <c r="DA56" s="205"/>
      <c r="DB56" s="205"/>
      <c r="DC56" s="205"/>
      <c r="DD56" s="205"/>
      <c r="DE56" s="67"/>
      <c r="DF56" s="67"/>
      <c r="DG56" s="67"/>
      <c r="DH56" s="67"/>
      <c r="DI56" s="67"/>
      <c r="DJ56" s="67"/>
      <c r="DK56" s="67"/>
      <c r="DL56" s="67"/>
      <c r="DM56" s="67"/>
    </row>
    <row r="57" spans="1:117" s="68" customFormat="1" ht="12.75" hidden="1" customHeight="1" outlineLevel="1">
      <c r="A57" s="10"/>
      <c r="B57" s="11" t="s">
        <v>419</v>
      </c>
      <c r="C57" s="12"/>
      <c r="D57" s="13"/>
      <c r="E57" s="12"/>
      <c r="F57" s="12"/>
      <c r="G57" s="12"/>
      <c r="H57" s="12"/>
      <c r="I57" s="13"/>
      <c r="J57" s="12"/>
      <c r="K57" s="12"/>
      <c r="L57" s="12"/>
      <c r="M57" s="12"/>
      <c r="N57" s="13"/>
      <c r="O57" s="12"/>
      <c r="P57" s="12"/>
      <c r="Q57" s="12"/>
      <c r="R57" s="12"/>
      <c r="S57" s="13"/>
      <c r="T57" s="12"/>
      <c r="U57" s="12"/>
      <c r="V57" s="12"/>
      <c r="W57" s="12"/>
      <c r="X57" s="13"/>
      <c r="Y57" s="12"/>
      <c r="Z57" s="12"/>
      <c r="AA57" s="12"/>
      <c r="AB57" s="12"/>
      <c r="AC57" s="13"/>
      <c r="AD57" s="12"/>
      <c r="AE57" s="12"/>
      <c r="AF57" s="12"/>
      <c r="AG57" s="12"/>
      <c r="AH57" s="13"/>
      <c r="AI57" s="12"/>
      <c r="AJ57" s="12"/>
      <c r="AK57" s="12"/>
      <c r="AL57" s="12"/>
      <c r="AM57" s="13"/>
      <c r="AN57" s="12"/>
      <c r="AO57" s="12"/>
      <c r="AP57" s="12"/>
      <c r="AQ57" s="12"/>
      <c r="AR57" s="13"/>
      <c r="AS57" s="81"/>
      <c r="AT57" s="12"/>
      <c r="AU57" s="81"/>
      <c r="AV57" s="12"/>
      <c r="AW57" s="13"/>
      <c r="AX57" s="81"/>
      <c r="AY57" s="12"/>
      <c r="AZ57" s="81"/>
      <c r="BA57" s="12"/>
      <c r="BB57" s="13"/>
      <c r="BC57" s="81"/>
      <c r="BD57" s="12"/>
      <c r="BE57" s="12"/>
      <c r="BF57" s="12"/>
      <c r="BG57" s="13"/>
      <c r="BH57" s="81"/>
      <c r="BI57" s="12"/>
      <c r="BJ57" s="12"/>
      <c r="BK57" s="12"/>
      <c r="BL57" s="13"/>
      <c r="BM57" s="12"/>
      <c r="BN57" s="12"/>
      <c r="BO57" s="12"/>
      <c r="BP57" s="12"/>
      <c r="BQ57" s="13"/>
      <c r="BR57" s="12"/>
      <c r="BS57" s="12"/>
      <c r="BT57" s="12"/>
      <c r="BU57" s="12"/>
      <c r="BV57" s="13"/>
      <c r="BW57" s="12"/>
      <c r="BX57" s="12"/>
      <c r="BY57" s="12"/>
      <c r="BZ57" s="12"/>
      <c r="CA57" s="13"/>
      <c r="CB57" s="12"/>
      <c r="CC57" s="12"/>
      <c r="CD57" s="12"/>
      <c r="CE57" s="12"/>
      <c r="CF57" s="13"/>
      <c r="CG57" s="12"/>
      <c r="CH57" s="12"/>
      <c r="CI57" s="12"/>
      <c r="CJ57" s="12"/>
      <c r="CK57" s="13"/>
      <c r="CL57" s="12"/>
      <c r="CM57" s="12"/>
      <c r="CN57" s="12"/>
      <c r="CO57" s="12"/>
      <c r="CP57" s="13"/>
      <c r="CQ57" s="12"/>
      <c r="CR57" s="12"/>
      <c r="CS57" s="12"/>
      <c r="CT57" s="12"/>
      <c r="CU57" s="13"/>
      <c r="CV57" s="12"/>
      <c r="CW57" s="12"/>
      <c r="CX57" s="12"/>
      <c r="CY57" s="12"/>
      <c r="CZ57" s="205"/>
      <c r="DA57" s="205"/>
      <c r="DB57" s="205"/>
      <c r="DC57" s="205"/>
      <c r="DD57" s="205"/>
    </row>
    <row r="58" spans="1:117" s="68" customFormat="1" ht="12.75" hidden="1" customHeight="1" outlineLevel="1">
      <c r="A58" s="10"/>
      <c r="B58" s="11"/>
      <c r="C58" s="12" t="s">
        <v>420</v>
      </c>
      <c r="D58" s="13"/>
      <c r="E58" s="12"/>
      <c r="F58" s="12"/>
      <c r="G58" s="12"/>
      <c r="H58" s="12"/>
      <c r="I58" s="13"/>
      <c r="J58" s="12"/>
      <c r="K58" s="12"/>
      <c r="L58" s="12"/>
      <c r="M58" s="12"/>
      <c r="N58" s="13"/>
      <c r="O58" s="12"/>
      <c r="P58" s="12"/>
      <c r="Q58" s="12"/>
      <c r="R58" s="12"/>
      <c r="S58" s="13"/>
      <c r="T58" s="12">
        <v>295</v>
      </c>
      <c r="U58" s="12">
        <v>244</v>
      </c>
      <c r="V58" s="12">
        <v>243</v>
      </c>
      <c r="W58" s="12">
        <v>343</v>
      </c>
      <c r="X58" s="13">
        <f>SUM(T58:W58)</f>
        <v>1125</v>
      </c>
      <c r="Y58" s="12">
        <v>410</v>
      </c>
      <c r="Z58" s="12">
        <v>482</v>
      </c>
      <c r="AA58" s="12">
        <v>478</v>
      </c>
      <c r="AB58" s="12">
        <v>518</v>
      </c>
      <c r="AC58" s="13">
        <f>SUM(Y58:AB58)</f>
        <v>1888</v>
      </c>
      <c r="AD58" s="12">
        <v>549</v>
      </c>
      <c r="AE58" s="12">
        <v>523</v>
      </c>
      <c r="AF58" s="12">
        <v>513</v>
      </c>
      <c r="AG58" s="12">
        <v>493</v>
      </c>
      <c r="AH58" s="13">
        <f>SUM(AD58:AG58)</f>
        <v>2078</v>
      </c>
      <c r="AI58" s="12">
        <v>481</v>
      </c>
      <c r="AJ58" s="12">
        <v>444</v>
      </c>
      <c r="AK58" s="12">
        <v>448</v>
      </c>
      <c r="AL58" s="12">
        <v>485</v>
      </c>
      <c r="AM58" s="13">
        <f>SUM(AI58:AL58)</f>
        <v>1858</v>
      </c>
      <c r="AN58" s="12">
        <v>456</v>
      </c>
      <c r="AO58" s="12">
        <v>456</v>
      </c>
      <c r="AP58" s="12">
        <v>552</v>
      </c>
      <c r="AQ58" s="12">
        <v>2976</v>
      </c>
      <c r="AR58" s="13">
        <f>SUM(AN58:AQ58)</f>
        <v>4440</v>
      </c>
      <c r="AS58" s="81">
        <v>5459</v>
      </c>
      <c r="AT58" s="12">
        <v>5680</v>
      </c>
      <c r="AU58" s="81">
        <v>5598</v>
      </c>
      <c r="AV58" s="12">
        <v>5498</v>
      </c>
      <c r="AW58" s="13">
        <f>SUM(AS58:AV58)</f>
        <v>22235</v>
      </c>
      <c r="AX58" s="81">
        <v>5410</v>
      </c>
      <c r="AY58" s="12">
        <v>5360</v>
      </c>
      <c r="AZ58" s="81">
        <v>5473</v>
      </c>
      <c r="BA58" s="12">
        <v>5443</v>
      </c>
      <c r="BB58" s="13">
        <f>SUM(AX58:BA58)</f>
        <v>21686</v>
      </c>
      <c r="BC58" s="81">
        <v>5382</v>
      </c>
      <c r="BD58" s="12">
        <v>5724</v>
      </c>
      <c r="BE58" s="12">
        <v>5897</v>
      </c>
      <c r="BF58" s="12">
        <v>5969</v>
      </c>
      <c r="BG58" s="13">
        <f>SUM(BC58:BF58)</f>
        <v>22972</v>
      </c>
      <c r="BH58" s="81">
        <f>6682</f>
        <v>6682</v>
      </c>
      <c r="BI58" s="12">
        <v>7988</v>
      </c>
      <c r="BJ58" s="12">
        <v>7975</v>
      </c>
      <c r="BK58" s="12">
        <v>7997</v>
      </c>
      <c r="BL58" s="13">
        <f>SUM(BH58:BK58)</f>
        <v>30642</v>
      </c>
      <c r="BM58" s="12">
        <v>8027</v>
      </c>
      <c r="BN58" s="12">
        <v>8006</v>
      </c>
      <c r="BO58" s="12">
        <v>7965</v>
      </c>
      <c r="BP58" s="12">
        <v>7964</v>
      </c>
      <c r="BQ58" s="13">
        <f>SUM(BM58:BP58)</f>
        <v>31962</v>
      </c>
      <c r="BR58" s="12">
        <v>7964</v>
      </c>
      <c r="BS58" s="12">
        <v>11823</v>
      </c>
      <c r="BT58" s="12">
        <v>12896</v>
      </c>
      <c r="BU58" s="12">
        <v>12918</v>
      </c>
      <c r="BV58" s="13">
        <f>SUM(BR58:BU58)</f>
        <v>45601</v>
      </c>
      <c r="BW58" s="12">
        <v>14714</v>
      </c>
      <c r="BX58" s="12">
        <v>14039</v>
      </c>
      <c r="BY58" s="12">
        <v>13622</v>
      </c>
      <c r="BZ58" s="12">
        <v>11310</v>
      </c>
      <c r="CA58" s="13">
        <f t="shared" ref="CA58:CA63" si="134">SUM(BW58:BZ58)</f>
        <v>53685</v>
      </c>
      <c r="CB58" s="12">
        <v>8920</v>
      </c>
      <c r="CC58" s="12">
        <v>8924</v>
      </c>
      <c r="CD58" s="12">
        <v>9035</v>
      </c>
      <c r="CE58" s="12">
        <v>9183</v>
      </c>
      <c r="CF58" s="13">
        <f t="shared" ref="CF58:CF63" si="135">SUM(CB58:CE58)</f>
        <v>36062</v>
      </c>
      <c r="CG58" s="12">
        <v>9239</v>
      </c>
      <c r="CH58" s="12">
        <v>9240</v>
      </c>
      <c r="CI58" s="12">
        <f>9244</f>
        <v>9244</v>
      </c>
      <c r="CJ58" s="12">
        <f>9241</f>
        <v>9241</v>
      </c>
      <c r="CK58" s="13">
        <f t="shared" ref="CK58:CK63" si="136">SUM(CG58:CJ58)</f>
        <v>36964</v>
      </c>
      <c r="CL58" s="12">
        <v>9294</v>
      </c>
      <c r="CM58" s="12">
        <v>9319</v>
      </c>
      <c r="CN58" s="12">
        <v>9376</v>
      </c>
      <c r="CO58" s="12">
        <v>9446</v>
      </c>
      <c r="CP58" s="13">
        <f t="shared" ref="CP58:CP63" si="137">SUM(CL58:CO58)</f>
        <v>37435</v>
      </c>
      <c r="CQ58" s="12">
        <v>11000</v>
      </c>
      <c r="CR58" s="12">
        <v>9000</v>
      </c>
      <c r="CS58" s="12">
        <v>9000</v>
      </c>
      <c r="CT58" s="12">
        <v>8000</v>
      </c>
      <c r="CU58" s="13">
        <f t="shared" ref="CU58:CU63" si="138">SUM(CQ58:CT58)</f>
        <v>37000</v>
      </c>
      <c r="CV58" s="12"/>
      <c r="CW58" s="12"/>
      <c r="CX58" s="12"/>
      <c r="CY58" s="12"/>
      <c r="CZ58" s="205"/>
      <c r="DA58" s="205"/>
      <c r="DB58" s="205"/>
      <c r="DC58" s="205"/>
      <c r="DD58" s="205"/>
    </row>
    <row r="59" spans="1:117" s="68" customFormat="1" ht="12.75" hidden="1" customHeight="1" outlineLevel="1">
      <c r="A59" s="10"/>
      <c r="B59" s="11"/>
      <c r="C59" s="12" t="s">
        <v>421</v>
      </c>
      <c r="D59" s="13"/>
      <c r="E59" s="12"/>
      <c r="F59" s="12"/>
      <c r="G59" s="12"/>
      <c r="H59" s="12"/>
      <c r="I59" s="13"/>
      <c r="J59" s="12"/>
      <c r="K59" s="12"/>
      <c r="L59" s="12"/>
      <c r="M59" s="12"/>
      <c r="N59" s="13"/>
      <c r="O59" s="12"/>
      <c r="P59" s="12"/>
      <c r="Q59" s="12"/>
      <c r="R59" s="12"/>
      <c r="S59" s="13"/>
      <c r="T59" s="12">
        <v>804</v>
      </c>
      <c r="U59" s="12">
        <v>803</v>
      </c>
      <c r="V59" s="12">
        <v>801</v>
      </c>
      <c r="W59" s="12">
        <v>923</v>
      </c>
      <c r="X59" s="13">
        <f>SUM(T59:W59)</f>
        <v>3331</v>
      </c>
      <c r="Y59" s="12">
        <v>946</v>
      </c>
      <c r="Z59" s="12">
        <v>1137</v>
      </c>
      <c r="AA59" s="12">
        <v>1103</v>
      </c>
      <c r="AB59" s="12">
        <v>1093</v>
      </c>
      <c r="AC59" s="13">
        <f>SUM(Y59:AB59)</f>
        <v>4279</v>
      </c>
      <c r="AD59" s="12">
        <v>1131</v>
      </c>
      <c r="AE59" s="12">
        <v>1128</v>
      </c>
      <c r="AF59" s="12">
        <v>1129</v>
      </c>
      <c r="AG59" s="12">
        <v>1129</v>
      </c>
      <c r="AH59" s="13">
        <f>SUM(AD59:AG59)</f>
        <v>4517</v>
      </c>
      <c r="AI59" s="12">
        <v>1129</v>
      </c>
      <c r="AJ59" s="12">
        <v>1128</v>
      </c>
      <c r="AK59" s="12">
        <v>1136</v>
      </c>
      <c r="AL59" s="12">
        <v>1153</v>
      </c>
      <c r="AM59" s="13">
        <f>SUM(AI59:AL59)</f>
        <v>4546</v>
      </c>
      <c r="AN59" s="12">
        <v>1152</v>
      </c>
      <c r="AO59" s="12">
        <v>1151</v>
      </c>
      <c r="AP59" s="12">
        <v>1282</v>
      </c>
      <c r="AQ59" s="12">
        <v>2320</v>
      </c>
      <c r="AR59" s="13">
        <f>SUM(AN59:AQ59)</f>
        <v>5905</v>
      </c>
      <c r="AS59" s="81">
        <v>3362</v>
      </c>
      <c r="AT59" s="12">
        <v>3453</v>
      </c>
      <c r="AU59" s="81">
        <v>3458</v>
      </c>
      <c r="AV59" s="12">
        <v>3458</v>
      </c>
      <c r="AW59" s="13">
        <f>SUM(AS59:AV59)</f>
        <v>13731</v>
      </c>
      <c r="AX59" s="81">
        <v>3458</v>
      </c>
      <c r="AY59" s="12">
        <v>3463</v>
      </c>
      <c r="AZ59" s="81">
        <v>3492</v>
      </c>
      <c r="BA59" s="12">
        <v>3499</v>
      </c>
      <c r="BB59" s="13">
        <f>SUM(AX59:BA59)</f>
        <v>13912</v>
      </c>
      <c r="BC59" s="81">
        <v>3315</v>
      </c>
      <c r="BD59" s="12">
        <v>4041</v>
      </c>
      <c r="BE59" s="12">
        <v>4386</v>
      </c>
      <c r="BF59" s="12">
        <v>4475</v>
      </c>
      <c r="BG59" s="13">
        <f>SUM(BC59:BF59)</f>
        <v>16217</v>
      </c>
      <c r="BH59" s="81">
        <f>4850</f>
        <v>4850</v>
      </c>
      <c r="BI59" s="12">
        <v>5266</v>
      </c>
      <c r="BJ59" s="12">
        <f>5646</f>
        <v>5646</v>
      </c>
      <c r="BK59" s="12">
        <v>5683</v>
      </c>
      <c r="BL59" s="13">
        <f>SUM(BH59:BK59)</f>
        <v>21445</v>
      </c>
      <c r="BM59" s="12">
        <v>5392</v>
      </c>
      <c r="BN59" s="12">
        <v>5392</v>
      </c>
      <c r="BO59" s="12">
        <v>5392</v>
      </c>
      <c r="BP59" s="12">
        <v>5486</v>
      </c>
      <c r="BQ59" s="13">
        <f>SUM(BM59:BP59)</f>
        <v>21662</v>
      </c>
      <c r="BR59" s="12">
        <v>5412</v>
      </c>
      <c r="BS59" s="12">
        <v>11420</v>
      </c>
      <c r="BT59" s="12">
        <v>14183</v>
      </c>
      <c r="BU59" s="12">
        <v>13834</v>
      </c>
      <c r="BV59" s="13">
        <f>SUM(BR59:BU59)</f>
        <v>44849</v>
      </c>
      <c r="BW59" s="12">
        <v>13221</v>
      </c>
      <c r="BX59" s="12">
        <v>13604</v>
      </c>
      <c r="BY59" s="12">
        <v>14941</v>
      </c>
      <c r="BZ59" s="12">
        <v>18104</v>
      </c>
      <c r="CA59" s="13">
        <f t="shared" si="134"/>
        <v>59870</v>
      </c>
      <c r="CB59" s="12">
        <v>18407</v>
      </c>
      <c r="CC59" s="12">
        <v>18366</v>
      </c>
      <c r="CD59" s="12">
        <v>18526</v>
      </c>
      <c r="CE59" s="12">
        <v>19333</v>
      </c>
      <c r="CF59" s="13">
        <f t="shared" si="135"/>
        <v>74632</v>
      </c>
      <c r="CG59" s="12">
        <v>18118</v>
      </c>
      <c r="CH59" s="12">
        <v>13845</v>
      </c>
      <c r="CI59" s="12">
        <f>13850</f>
        <v>13850</v>
      </c>
      <c r="CJ59" s="12">
        <f>13814</f>
        <v>13814</v>
      </c>
      <c r="CK59" s="13">
        <f t="shared" si="136"/>
        <v>59627</v>
      </c>
      <c r="CL59" s="12">
        <v>14139</v>
      </c>
      <c r="CM59" s="12">
        <v>13833</v>
      </c>
      <c r="CN59" s="12">
        <v>14201</v>
      </c>
      <c r="CO59" s="12">
        <v>14246</v>
      </c>
      <c r="CP59" s="13">
        <f t="shared" si="137"/>
        <v>56419</v>
      </c>
      <c r="CQ59" s="12">
        <v>12000</v>
      </c>
      <c r="CR59" s="12">
        <v>12000</v>
      </c>
      <c r="CS59" s="12">
        <v>12000</v>
      </c>
      <c r="CT59" s="12">
        <v>12000</v>
      </c>
      <c r="CU59" s="13">
        <f t="shared" si="138"/>
        <v>48000</v>
      </c>
      <c r="CV59" s="12">
        <f>54000-BQ59</f>
        <v>32338</v>
      </c>
      <c r="CW59" s="43">
        <f>CV59/3</f>
        <v>10779.333333333334</v>
      </c>
      <c r="CX59" s="12"/>
      <c r="CY59" s="12"/>
      <c r="CZ59" s="205"/>
      <c r="DA59" s="205"/>
      <c r="DB59" s="205"/>
      <c r="DC59" s="205"/>
      <c r="DD59" s="205"/>
    </row>
    <row r="60" spans="1:117" s="68" customFormat="1" ht="12.75" hidden="1" customHeight="1" outlineLevel="1">
      <c r="A60" s="10"/>
      <c r="B60" s="11"/>
      <c r="C60" s="12" t="s">
        <v>422</v>
      </c>
      <c r="D60" s="13"/>
      <c r="E60" s="12"/>
      <c r="F60" s="12"/>
      <c r="G60" s="12"/>
      <c r="H60" s="12"/>
      <c r="I60" s="13"/>
      <c r="J60" s="12"/>
      <c r="K60" s="12"/>
      <c r="L60" s="12"/>
      <c r="M60" s="12"/>
      <c r="N60" s="13"/>
      <c r="O60" s="12"/>
      <c r="P60" s="12"/>
      <c r="Q60" s="12"/>
      <c r="R60" s="12"/>
      <c r="S60" s="13"/>
      <c r="T60" s="12">
        <v>1450</v>
      </c>
      <c r="U60" s="12">
        <v>1519</v>
      </c>
      <c r="V60" s="12">
        <v>1616</v>
      </c>
      <c r="W60" s="12">
        <v>1668</v>
      </c>
      <c r="X60" s="13">
        <f>SUM(T60:W60)</f>
        <v>6253</v>
      </c>
      <c r="Y60" s="12">
        <v>1835</v>
      </c>
      <c r="Z60" s="12">
        <v>1768</v>
      </c>
      <c r="AA60" s="12">
        <v>1903</v>
      </c>
      <c r="AB60" s="12">
        <v>1905</v>
      </c>
      <c r="AC60" s="13">
        <f>SUM(Y60:AB60)</f>
        <v>7411</v>
      </c>
      <c r="AD60" s="12">
        <v>2575</v>
      </c>
      <c r="AE60" s="12">
        <v>2903</v>
      </c>
      <c r="AF60" s="12">
        <f>408+2653+510</f>
        <v>3571</v>
      </c>
      <c r="AG60" s="12">
        <f>3114+472</f>
        <v>3586</v>
      </c>
      <c r="AH60" s="13">
        <f>SUM(AD60:AG60)</f>
        <v>12635</v>
      </c>
      <c r="AI60" s="215">
        <f>3462+24</f>
        <v>3486</v>
      </c>
      <c r="AJ60" s="215">
        <v>3539</v>
      </c>
      <c r="AK60" s="215">
        <f>3885+144</f>
        <v>4029</v>
      </c>
      <c r="AL60" s="215">
        <f>3932+346</f>
        <v>4278</v>
      </c>
      <c r="AM60" s="13">
        <f>SUM(AI60:AL60)</f>
        <v>15332</v>
      </c>
      <c r="AN60" s="215">
        <f>4258+76</f>
        <v>4334</v>
      </c>
      <c r="AO60" s="215">
        <f>4603+197</f>
        <v>4800</v>
      </c>
      <c r="AP60" s="215">
        <f>5598+60</f>
        <v>5658</v>
      </c>
      <c r="AQ60" s="215">
        <f>5723+1173</f>
        <v>6896</v>
      </c>
      <c r="AR60" s="13">
        <f>SUM(AN60:AQ60)</f>
        <v>21688</v>
      </c>
      <c r="AS60" s="408">
        <f>6480+18</f>
        <v>6498</v>
      </c>
      <c r="AT60" s="215">
        <f>7212+174</f>
        <v>7386</v>
      </c>
      <c r="AU60" s="408">
        <f>7656+498</f>
        <v>8154</v>
      </c>
      <c r="AV60" s="215">
        <f>8399+311</f>
        <v>8710</v>
      </c>
      <c r="AW60" s="13">
        <f>SUM(AS60:AV60)</f>
        <v>30748</v>
      </c>
      <c r="AX60" s="408">
        <f>8676+383</f>
        <v>9059</v>
      </c>
      <c r="AY60" s="215">
        <f>8901+128</f>
        <v>9029</v>
      </c>
      <c r="AZ60" s="408">
        <f>173+9791</f>
        <v>9964</v>
      </c>
      <c r="BA60" s="215">
        <f>9980+418</f>
        <v>10398</v>
      </c>
      <c r="BB60" s="13">
        <f>SUM(AX60:BA60)</f>
        <v>38450</v>
      </c>
      <c r="BC60" s="408">
        <f>10557+320</f>
        <v>10877</v>
      </c>
      <c r="BD60" s="215">
        <f>12933+604</f>
        <v>13537</v>
      </c>
      <c r="BE60" s="215">
        <f>14476+484</f>
        <v>14960</v>
      </c>
      <c r="BF60" s="215">
        <v>14774</v>
      </c>
      <c r="BG60" s="13">
        <f>SUM(BC60:BF60)</f>
        <v>54148</v>
      </c>
      <c r="BH60" s="408">
        <f>14416+123</f>
        <v>14539</v>
      </c>
      <c r="BI60" s="215">
        <v>15066</v>
      </c>
      <c r="BJ60" s="215">
        <v>14887</v>
      </c>
      <c r="BK60" s="215">
        <v>15598</v>
      </c>
      <c r="BL60" s="13">
        <f>SUM(BH60:BK60)</f>
        <v>60090</v>
      </c>
      <c r="BM60" s="215">
        <f>17302+1198</f>
        <v>18500</v>
      </c>
      <c r="BN60" s="215">
        <f>18386+1259</f>
        <v>19645</v>
      </c>
      <c r="BO60" s="215">
        <v>18424</v>
      </c>
      <c r="BP60" s="215">
        <v>13253</v>
      </c>
      <c r="BQ60" s="13">
        <f>SUM(BM60:BP60)</f>
        <v>69822</v>
      </c>
      <c r="BR60" s="215">
        <v>25724</v>
      </c>
      <c r="BS60" s="215">
        <v>25175</v>
      </c>
      <c r="BT60" s="215">
        <v>29461</v>
      </c>
      <c r="BU60" s="215">
        <v>24366</v>
      </c>
      <c r="BV60" s="13">
        <f>SUM(BR60:BU60)</f>
        <v>104726</v>
      </c>
      <c r="BW60" s="215">
        <v>25279</v>
      </c>
      <c r="BX60" s="215">
        <v>25800</v>
      </c>
      <c r="BY60" s="215">
        <v>26912</v>
      </c>
      <c r="BZ60" s="215">
        <v>24994</v>
      </c>
      <c r="CA60" s="13">
        <f t="shared" si="134"/>
        <v>102985</v>
      </c>
      <c r="CB60" s="215">
        <v>27896</v>
      </c>
      <c r="CC60" s="215">
        <v>26028</v>
      </c>
      <c r="CD60" s="215">
        <v>26981</v>
      </c>
      <c r="CE60" s="215">
        <v>27433</v>
      </c>
      <c r="CF60" s="13">
        <f t="shared" si="135"/>
        <v>108338</v>
      </c>
      <c r="CG60" s="215">
        <v>26866</v>
      </c>
      <c r="CH60" s="215">
        <v>30407</v>
      </c>
      <c r="CI60" s="215">
        <f>31187</f>
        <v>31187</v>
      </c>
      <c r="CJ60" s="215">
        <v>34353</v>
      </c>
      <c r="CK60" s="13">
        <f t="shared" si="136"/>
        <v>122813</v>
      </c>
      <c r="CL60" s="215">
        <v>37660</v>
      </c>
      <c r="CM60" s="215">
        <v>38302</v>
      </c>
      <c r="CN60" s="215">
        <v>36669</v>
      </c>
      <c r="CO60" s="215">
        <v>38645</v>
      </c>
      <c r="CP60" s="13">
        <f t="shared" si="137"/>
        <v>151276</v>
      </c>
      <c r="CQ60" s="215">
        <v>35000</v>
      </c>
      <c r="CR60" s="215">
        <v>35000</v>
      </c>
      <c r="CS60" s="215">
        <v>35000</v>
      </c>
      <c r="CT60" s="215">
        <v>37000</v>
      </c>
      <c r="CU60" s="13">
        <f t="shared" si="138"/>
        <v>142000</v>
      </c>
      <c r="CV60" s="12"/>
      <c r="CW60" s="12"/>
      <c r="CX60" s="12"/>
      <c r="CY60" s="12"/>
      <c r="CZ60" s="205"/>
      <c r="DA60" s="205"/>
      <c r="DB60" s="205"/>
      <c r="DC60" s="205"/>
      <c r="DD60" s="205"/>
    </row>
    <row r="61" spans="1:117" s="68" customFormat="1" ht="12.75" hidden="1" customHeight="1" outlineLevel="1">
      <c r="A61" s="10"/>
      <c r="B61" s="11"/>
      <c r="C61" s="12" t="s">
        <v>796</v>
      </c>
      <c r="D61" s="13"/>
      <c r="E61" s="12"/>
      <c r="F61" s="12"/>
      <c r="G61" s="12"/>
      <c r="H61" s="12"/>
      <c r="I61" s="13"/>
      <c r="J61" s="12"/>
      <c r="K61" s="12"/>
      <c r="L61" s="12"/>
      <c r="M61" s="12"/>
      <c r="N61" s="13"/>
      <c r="O61" s="12"/>
      <c r="P61" s="12"/>
      <c r="Q61" s="12"/>
      <c r="R61" s="12"/>
      <c r="S61" s="13"/>
      <c r="T61" s="12"/>
      <c r="U61" s="12"/>
      <c r="V61" s="12"/>
      <c r="W61" s="12"/>
      <c r="X61" s="13"/>
      <c r="Y61" s="12"/>
      <c r="Z61" s="12"/>
      <c r="AA61" s="12"/>
      <c r="AB61" s="12"/>
      <c r="AC61" s="13"/>
      <c r="AD61" s="12"/>
      <c r="AE61" s="12"/>
      <c r="AF61" s="12"/>
      <c r="AG61" s="12"/>
      <c r="AH61" s="13"/>
      <c r="AI61" s="215"/>
      <c r="AJ61" s="215"/>
      <c r="AK61" s="215"/>
      <c r="AL61" s="215"/>
      <c r="AM61" s="13"/>
      <c r="AN61" s="215"/>
      <c r="AO61" s="215"/>
      <c r="AP61" s="215"/>
      <c r="AQ61" s="215"/>
      <c r="AR61" s="13"/>
      <c r="AS61" s="408"/>
      <c r="AT61" s="215"/>
      <c r="AU61" s="408"/>
      <c r="AV61" s="215"/>
      <c r="AW61" s="13"/>
      <c r="AX61" s="408"/>
      <c r="AY61" s="215"/>
      <c r="AZ61" s="408"/>
      <c r="BA61" s="215"/>
      <c r="BB61" s="13"/>
      <c r="BC61" s="408"/>
      <c r="BD61" s="215"/>
      <c r="BE61" s="215"/>
      <c r="BF61" s="215"/>
      <c r="BG61" s="13"/>
      <c r="BH61" s="408"/>
      <c r="BI61" s="215"/>
      <c r="BJ61" s="215"/>
      <c r="BK61" s="215"/>
      <c r="BL61" s="13"/>
      <c r="BM61" s="215"/>
      <c r="BN61" s="215"/>
      <c r="BO61" s="215"/>
      <c r="BP61" s="215"/>
      <c r="BQ61" s="13"/>
      <c r="BR61" s="215"/>
      <c r="BS61" s="215"/>
      <c r="BT61" s="215"/>
      <c r="BU61" s="215"/>
      <c r="BV61" s="13"/>
      <c r="BW61" s="215">
        <v>0</v>
      </c>
      <c r="BX61" s="215"/>
      <c r="BY61" s="215">
        <v>0</v>
      </c>
      <c r="BZ61" s="215"/>
      <c r="CA61" s="13">
        <f t="shared" si="134"/>
        <v>0</v>
      </c>
      <c r="CB61" s="215"/>
      <c r="CC61" s="215"/>
      <c r="CD61" s="215"/>
      <c r="CE61" s="215"/>
      <c r="CF61" s="13">
        <f t="shared" si="135"/>
        <v>0</v>
      </c>
      <c r="CG61" s="215"/>
      <c r="CH61" s="215"/>
      <c r="CI61" s="215"/>
      <c r="CJ61" s="215"/>
      <c r="CK61" s="13">
        <f t="shared" si="136"/>
        <v>0</v>
      </c>
      <c r="CL61" s="215">
        <v>0</v>
      </c>
      <c r="CM61" s="215"/>
      <c r="CN61" s="215"/>
      <c r="CO61" s="215"/>
      <c r="CP61" s="13">
        <f t="shared" si="137"/>
        <v>0</v>
      </c>
      <c r="CQ61" s="215"/>
      <c r="CR61" s="215"/>
      <c r="CS61" s="215"/>
      <c r="CT61" s="215"/>
      <c r="CU61" s="13">
        <f t="shared" si="138"/>
        <v>0</v>
      </c>
      <c r="CV61" s="12"/>
      <c r="CW61" s="12"/>
      <c r="CX61" s="12"/>
      <c r="CY61" s="12"/>
      <c r="CZ61" s="205"/>
      <c r="DA61" s="205"/>
      <c r="DB61" s="205"/>
      <c r="DC61" s="205"/>
      <c r="DD61" s="205"/>
    </row>
    <row r="62" spans="1:117" s="68" customFormat="1" ht="12.75" hidden="1" customHeight="1" outlineLevel="1">
      <c r="A62" s="10"/>
      <c r="B62" s="11"/>
      <c r="C62" s="12" t="s">
        <v>650</v>
      </c>
      <c r="D62" s="13"/>
      <c r="E62" s="12"/>
      <c r="F62" s="12"/>
      <c r="G62" s="12"/>
      <c r="H62" s="12"/>
      <c r="I62" s="13"/>
      <c r="J62" s="12"/>
      <c r="K62" s="12"/>
      <c r="L62" s="12"/>
      <c r="M62" s="12"/>
      <c r="N62" s="13"/>
      <c r="O62" s="12"/>
      <c r="P62" s="12"/>
      <c r="Q62" s="12"/>
      <c r="R62" s="12"/>
      <c r="S62" s="13"/>
      <c r="T62" s="12"/>
      <c r="U62" s="12"/>
      <c r="V62" s="12"/>
      <c r="W62" s="12"/>
      <c r="X62" s="13"/>
      <c r="Y62" s="12"/>
      <c r="Z62" s="12"/>
      <c r="AA62" s="12"/>
      <c r="AB62" s="12"/>
      <c r="AC62" s="13"/>
      <c r="AD62" s="12"/>
      <c r="AE62" s="12"/>
      <c r="AF62" s="12"/>
      <c r="AG62" s="12"/>
      <c r="AH62" s="13"/>
      <c r="AI62" s="215"/>
      <c r="AJ62" s="215"/>
      <c r="AK62" s="215"/>
      <c r="AL62" s="215"/>
      <c r="AM62" s="13"/>
      <c r="AN62" s="215"/>
      <c r="AO62" s="215"/>
      <c r="AP62" s="215"/>
      <c r="AQ62" s="215"/>
      <c r="AR62" s="13"/>
      <c r="AS62" s="408"/>
      <c r="AT62" s="215"/>
      <c r="AU62" s="408"/>
      <c r="AV62" s="215"/>
      <c r="AW62" s="13"/>
      <c r="AX62" s="408"/>
      <c r="AY62" s="215"/>
      <c r="AZ62" s="408"/>
      <c r="BA62" s="215"/>
      <c r="BB62" s="13"/>
      <c r="BC62" s="408"/>
      <c r="BD62" s="215">
        <v>1551</v>
      </c>
      <c r="BE62" s="215">
        <v>1397</v>
      </c>
      <c r="BF62" s="215">
        <v>952</v>
      </c>
      <c r="BG62" s="13">
        <f>SUM(BC62:BF62)</f>
        <v>3900</v>
      </c>
      <c r="BH62" s="408">
        <f>1597</f>
        <v>1597</v>
      </c>
      <c r="BI62" s="215">
        <v>2757</v>
      </c>
      <c r="BJ62" s="215">
        <v>1698</v>
      </c>
      <c r="BK62" s="215">
        <v>-1495</v>
      </c>
      <c r="BL62" s="13">
        <f>SUM(BH62:BK62)</f>
        <v>4557</v>
      </c>
      <c r="BM62" s="215">
        <v>160</v>
      </c>
      <c r="BN62" s="215">
        <v>160</v>
      </c>
      <c r="BO62" s="215">
        <v>113</v>
      </c>
      <c r="BP62" s="215">
        <v>45</v>
      </c>
      <c r="BQ62" s="13">
        <f>SUM(BM62:BP62)</f>
        <v>478</v>
      </c>
      <c r="BR62" s="215"/>
      <c r="BS62" s="215">
        <v>1288</v>
      </c>
      <c r="BT62" s="215">
        <v>751</v>
      </c>
      <c r="BU62" s="215">
        <v>639</v>
      </c>
      <c r="BV62" s="13">
        <f>SUM(BR62:BU62)</f>
        <v>2678</v>
      </c>
      <c r="BW62" s="215"/>
      <c r="BX62" s="215"/>
      <c r="BY62" s="215"/>
      <c r="BZ62" s="215">
        <v>0</v>
      </c>
      <c r="CA62" s="13">
        <f t="shared" si="134"/>
        <v>0</v>
      </c>
      <c r="CB62" s="215"/>
      <c r="CC62" s="215"/>
      <c r="CD62" s="215"/>
      <c r="CE62" s="215">
        <v>0</v>
      </c>
      <c r="CF62" s="13">
        <f t="shared" si="135"/>
        <v>0</v>
      </c>
      <c r="CG62" s="215"/>
      <c r="CH62" s="215"/>
      <c r="CI62" s="215"/>
      <c r="CJ62" s="215"/>
      <c r="CK62" s="13">
        <f t="shared" si="136"/>
        <v>0</v>
      </c>
      <c r="CL62" s="215">
        <v>0</v>
      </c>
      <c r="CM62" s="215"/>
      <c r="CN62" s="215"/>
      <c r="CO62" s="215"/>
      <c r="CP62" s="13">
        <f t="shared" si="137"/>
        <v>0</v>
      </c>
      <c r="CQ62" s="215"/>
      <c r="CR62" s="215"/>
      <c r="CS62" s="215"/>
      <c r="CT62" s="215">
        <v>0</v>
      </c>
      <c r="CU62" s="13">
        <f t="shared" si="138"/>
        <v>0</v>
      </c>
      <c r="CV62" s="12"/>
      <c r="CW62" s="12"/>
      <c r="CX62" s="12"/>
      <c r="CY62" s="12"/>
      <c r="CZ62" s="205"/>
      <c r="DA62" s="205"/>
      <c r="DB62" s="205"/>
      <c r="DC62" s="205"/>
      <c r="DD62" s="205"/>
    </row>
    <row r="63" spans="1:117" s="68" customFormat="1" ht="12.75" hidden="1" customHeight="1" outlineLevel="1">
      <c r="A63" s="10"/>
      <c r="B63" s="11"/>
      <c r="C63" s="12" t="s">
        <v>522</v>
      </c>
      <c r="D63" s="13"/>
      <c r="E63" s="12"/>
      <c r="F63" s="12"/>
      <c r="G63" s="12"/>
      <c r="H63" s="12"/>
      <c r="I63" s="13"/>
      <c r="J63" s="12"/>
      <c r="K63" s="12"/>
      <c r="L63" s="12"/>
      <c r="M63" s="12"/>
      <c r="N63" s="13"/>
      <c r="O63" s="12"/>
      <c r="P63" s="12"/>
      <c r="Q63" s="12"/>
      <c r="R63" s="12"/>
      <c r="S63" s="13"/>
      <c r="T63" s="12"/>
      <c r="U63" s="12"/>
      <c r="V63" s="12"/>
      <c r="W63" s="12"/>
      <c r="X63" s="13"/>
      <c r="Y63" s="12"/>
      <c r="Z63" s="12"/>
      <c r="AA63" s="12"/>
      <c r="AB63" s="12"/>
      <c r="AC63" s="13"/>
      <c r="AD63" s="12"/>
      <c r="AE63" s="12"/>
      <c r="AF63" s="12"/>
      <c r="AG63" s="12"/>
      <c r="AH63" s="13"/>
      <c r="AI63" s="215"/>
      <c r="AJ63" s="215"/>
      <c r="AK63" s="215"/>
      <c r="AL63" s="215"/>
      <c r="AM63" s="13"/>
      <c r="AN63" s="215"/>
      <c r="AO63" s="215"/>
      <c r="AP63" s="215">
        <v>342</v>
      </c>
      <c r="AQ63" s="215">
        <f>5533+3186+37</f>
        <v>8756</v>
      </c>
      <c r="AR63" s="13">
        <f>SUM(AN63:AQ63)</f>
        <v>9098</v>
      </c>
      <c r="AS63" s="408">
        <f>5584+111</f>
        <v>5695</v>
      </c>
      <c r="AT63" s="215">
        <f>4666+111</f>
        <v>4777</v>
      </c>
      <c r="AU63" s="408">
        <f>3149+111</f>
        <v>3260</v>
      </c>
      <c r="AV63" s="215">
        <f>1664+111</f>
        <v>1775</v>
      </c>
      <c r="AW63" s="13">
        <f>SUM(AS63:AV63)</f>
        <v>15507</v>
      </c>
      <c r="AX63" s="408">
        <f>204+111</f>
        <v>315</v>
      </c>
      <c r="AY63" s="215">
        <f>184+111</f>
        <v>295</v>
      </c>
      <c r="AZ63" s="408">
        <f>111+151</f>
        <v>262</v>
      </c>
      <c r="BA63" s="215">
        <f>124+111</f>
        <v>235</v>
      </c>
      <c r="BB63" s="13">
        <f>SUM(AX63:BA63)</f>
        <v>1107</v>
      </c>
      <c r="BC63" s="408">
        <f>100+111</f>
        <v>211</v>
      </c>
      <c r="BD63" s="215">
        <v>111</v>
      </c>
      <c r="BE63" s="215">
        <v>104</v>
      </c>
      <c r="BF63" s="215">
        <f>100+4</f>
        <v>104</v>
      </c>
      <c r="BG63" s="13">
        <f>SUM(BC63:BF63)</f>
        <v>530</v>
      </c>
      <c r="BH63" s="408">
        <f>100+695</f>
        <v>795</v>
      </c>
      <c r="BI63" s="215">
        <f>308+245+100</f>
        <v>653</v>
      </c>
      <c r="BJ63" s="215">
        <f>621+5+89</f>
        <v>715</v>
      </c>
      <c r="BK63" s="215">
        <f>83+693+197</f>
        <v>973</v>
      </c>
      <c r="BL63" s="13">
        <f>SUM(BH63:BK63)</f>
        <v>3136</v>
      </c>
      <c r="BM63" s="215">
        <f>79+727</f>
        <v>806</v>
      </c>
      <c r="BN63" s="215">
        <v>78</v>
      </c>
      <c r="BO63" s="215">
        <f>78+134</f>
        <v>212</v>
      </c>
      <c r="BP63" s="215">
        <f>703+810+78</f>
        <v>1591</v>
      </c>
      <c r="BQ63" s="13">
        <f>SUM(BM63:BP63)</f>
        <v>2687</v>
      </c>
      <c r="BR63" s="215">
        <f>767+813</f>
        <v>1580</v>
      </c>
      <c r="BS63" s="215">
        <f>19017+393</f>
        <v>19410</v>
      </c>
      <c r="BT63" s="215">
        <f>2888+401</f>
        <v>3289</v>
      </c>
      <c r="BU63" s="215">
        <f>1876+777</f>
        <v>2653</v>
      </c>
      <c r="BV63" s="13">
        <f>SUM(BR63:BU63)</f>
        <v>26932</v>
      </c>
      <c r="BW63" s="215">
        <f>712+1031</f>
        <v>1743</v>
      </c>
      <c r="BX63" s="215">
        <v>398</v>
      </c>
      <c r="BY63" s="215">
        <f>1159+183+86</f>
        <v>1428</v>
      </c>
      <c r="BZ63" s="215">
        <f>378+757+1623</f>
        <v>2758</v>
      </c>
      <c r="CA63" s="13">
        <f t="shared" si="134"/>
        <v>6327</v>
      </c>
      <c r="CB63" s="215">
        <f>479+22+1545</f>
        <v>2046</v>
      </c>
      <c r="CC63" s="215">
        <f>669+50</f>
        <v>719</v>
      </c>
      <c r="CD63" s="215">
        <f>3812+183+43</f>
        <v>4038</v>
      </c>
      <c r="CE63" s="215">
        <f>682+154+2863</f>
        <v>3699</v>
      </c>
      <c r="CF63" s="13">
        <f t="shared" si="135"/>
        <v>10502</v>
      </c>
      <c r="CG63" s="215">
        <f>805+27-326</f>
        <v>506</v>
      </c>
      <c r="CH63" s="215">
        <f>873+2+167</f>
        <v>1042</v>
      </c>
      <c r="CI63" s="215">
        <f>625+35</f>
        <v>660</v>
      </c>
      <c r="CJ63" s="215">
        <f>1303+1374</f>
        <v>2677</v>
      </c>
      <c r="CK63" s="13">
        <f t="shared" si="136"/>
        <v>4885</v>
      </c>
      <c r="CL63" s="215">
        <f>33+24+1064</f>
        <v>1121</v>
      </c>
      <c r="CM63" s="215">
        <f>1055+24</f>
        <v>1079</v>
      </c>
      <c r="CN63" s="215">
        <f>159+214+57</f>
        <v>430</v>
      </c>
      <c r="CO63" s="215">
        <f>688+467+60</f>
        <v>1215</v>
      </c>
      <c r="CP63" s="13">
        <f t="shared" si="137"/>
        <v>3845</v>
      </c>
      <c r="CQ63" s="215">
        <v>0</v>
      </c>
      <c r="CR63" s="215">
        <v>0</v>
      </c>
      <c r="CS63" s="215">
        <v>0</v>
      </c>
      <c r="CT63" s="215">
        <v>0</v>
      </c>
      <c r="CU63" s="13">
        <f t="shared" si="138"/>
        <v>0</v>
      </c>
      <c r="CV63" s="12"/>
      <c r="CW63" s="12"/>
      <c r="CX63" s="12"/>
      <c r="CY63" s="12"/>
      <c r="CZ63" s="205"/>
      <c r="DA63" s="205"/>
      <c r="DB63" s="205"/>
      <c r="DC63" s="205"/>
      <c r="DD63" s="205"/>
    </row>
    <row r="64" spans="1:117" s="68" customFormat="1" collapsed="1">
      <c r="A64" s="10"/>
      <c r="B64" s="8" t="s">
        <v>423</v>
      </c>
      <c r="C64" s="12"/>
      <c r="D64" s="13"/>
      <c r="E64" s="12"/>
      <c r="F64" s="12"/>
      <c r="G64" s="12"/>
      <c r="H64" s="12"/>
      <c r="I64" s="13"/>
      <c r="J64" s="12"/>
      <c r="K64" s="12"/>
      <c r="L64" s="12"/>
      <c r="M64" s="12"/>
      <c r="N64" s="13"/>
      <c r="O64" s="12"/>
      <c r="P64" s="12"/>
      <c r="Q64" s="12"/>
      <c r="R64" s="12"/>
      <c r="S64" s="13"/>
      <c r="T64" s="12">
        <f>SUM(T58:T60)</f>
        <v>2549</v>
      </c>
      <c r="U64" s="12">
        <f t="shared" ref="U64:AM64" si="139">SUM(U58:U60)</f>
        <v>2566</v>
      </c>
      <c r="V64" s="12">
        <f t="shared" si="139"/>
        <v>2660</v>
      </c>
      <c r="W64" s="12">
        <f t="shared" si="139"/>
        <v>2934</v>
      </c>
      <c r="X64" s="13">
        <f t="shared" si="139"/>
        <v>10709</v>
      </c>
      <c r="Y64" s="12">
        <f t="shared" si="139"/>
        <v>3191</v>
      </c>
      <c r="Z64" s="12">
        <f>SUM(Z58:Z60)</f>
        <v>3387</v>
      </c>
      <c r="AA64" s="12">
        <f t="shared" si="139"/>
        <v>3484</v>
      </c>
      <c r="AB64" s="12">
        <f t="shared" si="139"/>
        <v>3516</v>
      </c>
      <c r="AC64" s="13">
        <f t="shared" si="139"/>
        <v>13578</v>
      </c>
      <c r="AD64" s="12">
        <f t="shared" si="139"/>
        <v>4255</v>
      </c>
      <c r="AE64" s="12">
        <f>SUM(AE58:AE60)</f>
        <v>4554</v>
      </c>
      <c r="AF64" s="12">
        <f t="shared" si="139"/>
        <v>5213</v>
      </c>
      <c r="AG64" s="12">
        <f t="shared" si="139"/>
        <v>5208</v>
      </c>
      <c r="AH64" s="13">
        <f t="shared" si="139"/>
        <v>19230</v>
      </c>
      <c r="AI64" s="12">
        <f t="shared" si="139"/>
        <v>5096</v>
      </c>
      <c r="AJ64" s="12">
        <f t="shared" si="139"/>
        <v>5111</v>
      </c>
      <c r="AK64" s="12">
        <f t="shared" si="139"/>
        <v>5613</v>
      </c>
      <c r="AL64" s="12">
        <f t="shared" si="139"/>
        <v>5916</v>
      </c>
      <c r="AM64" s="13">
        <f t="shared" si="139"/>
        <v>21736</v>
      </c>
      <c r="AN64" s="12">
        <f>SUM(AN58:AN60)</f>
        <v>5942</v>
      </c>
      <c r="AO64" s="12">
        <f>SUM(AO58:AO60)</f>
        <v>6407</v>
      </c>
      <c r="AP64" s="12">
        <f t="shared" ref="AP64:AW64" si="140">SUM(AP58:AP63)</f>
        <v>7834</v>
      </c>
      <c r="AQ64" s="12">
        <f t="shared" si="140"/>
        <v>20948</v>
      </c>
      <c r="AR64" s="13">
        <f t="shared" si="140"/>
        <v>41131</v>
      </c>
      <c r="AS64" s="81">
        <f t="shared" si="140"/>
        <v>21014</v>
      </c>
      <c r="AT64" s="12">
        <f>SUM(AT58:AT63)</f>
        <v>21296</v>
      </c>
      <c r="AU64" s="81">
        <f>SUM(AU58:AU63)</f>
        <v>20470</v>
      </c>
      <c r="AV64" s="12">
        <f t="shared" si="140"/>
        <v>19441</v>
      </c>
      <c r="AW64" s="13">
        <f t="shared" si="140"/>
        <v>82221</v>
      </c>
      <c r="AX64" s="81">
        <f t="shared" ref="AX64:CP64" si="141">SUM(AX58:AX63)</f>
        <v>18242</v>
      </c>
      <c r="AY64" s="12">
        <f t="shared" si="141"/>
        <v>18147</v>
      </c>
      <c r="AZ64" s="81">
        <f t="shared" si="141"/>
        <v>19191</v>
      </c>
      <c r="BA64" s="12">
        <f t="shared" si="141"/>
        <v>19575</v>
      </c>
      <c r="BB64" s="13">
        <f t="shared" si="141"/>
        <v>75155</v>
      </c>
      <c r="BC64" s="81">
        <f t="shared" si="141"/>
        <v>19785</v>
      </c>
      <c r="BD64" s="12">
        <f t="shared" si="141"/>
        <v>24964</v>
      </c>
      <c r="BE64" s="12">
        <f t="shared" si="141"/>
        <v>26744</v>
      </c>
      <c r="BF64" s="12">
        <f t="shared" si="141"/>
        <v>26274</v>
      </c>
      <c r="BG64" s="13">
        <f t="shared" si="141"/>
        <v>97767</v>
      </c>
      <c r="BH64" s="81">
        <f t="shared" si="141"/>
        <v>28463</v>
      </c>
      <c r="BI64" s="12">
        <f t="shared" si="141"/>
        <v>31730</v>
      </c>
      <c r="BJ64" s="12">
        <f t="shared" si="141"/>
        <v>30921</v>
      </c>
      <c r="BK64" s="12">
        <f t="shared" si="141"/>
        <v>28756</v>
      </c>
      <c r="BL64" s="13">
        <f t="shared" si="141"/>
        <v>119870</v>
      </c>
      <c r="BM64" s="12">
        <f t="shared" si="141"/>
        <v>32885</v>
      </c>
      <c r="BN64" s="12">
        <f t="shared" si="141"/>
        <v>33281</v>
      </c>
      <c r="BO64" s="12">
        <f t="shared" si="141"/>
        <v>32106</v>
      </c>
      <c r="BP64" s="12">
        <f t="shared" si="141"/>
        <v>28339</v>
      </c>
      <c r="BQ64" s="13">
        <f t="shared" si="141"/>
        <v>126611</v>
      </c>
      <c r="BR64" s="12">
        <f t="shared" si="141"/>
        <v>40680</v>
      </c>
      <c r="BS64" s="12">
        <f t="shared" si="141"/>
        <v>69116</v>
      </c>
      <c r="BT64" s="12">
        <f t="shared" si="141"/>
        <v>60580</v>
      </c>
      <c r="BU64" s="12">
        <f t="shared" si="141"/>
        <v>54410</v>
      </c>
      <c r="BV64" s="13">
        <f t="shared" si="141"/>
        <v>224786</v>
      </c>
      <c r="BW64" s="12">
        <f t="shared" si="141"/>
        <v>54957</v>
      </c>
      <c r="BX64" s="12">
        <f t="shared" si="141"/>
        <v>53841</v>
      </c>
      <c r="BY64" s="12">
        <f t="shared" si="141"/>
        <v>56903</v>
      </c>
      <c r="BZ64" s="12">
        <f t="shared" si="141"/>
        <v>57166</v>
      </c>
      <c r="CA64" s="13">
        <f t="shared" si="141"/>
        <v>222867</v>
      </c>
      <c r="CB64" s="12">
        <f t="shared" si="141"/>
        <v>57269</v>
      </c>
      <c r="CC64" s="12">
        <f t="shared" si="141"/>
        <v>54037</v>
      </c>
      <c r="CD64" s="12">
        <f t="shared" si="141"/>
        <v>58580</v>
      </c>
      <c r="CE64" s="12">
        <f t="shared" si="141"/>
        <v>59648</v>
      </c>
      <c r="CF64" s="13">
        <f t="shared" si="141"/>
        <v>229534</v>
      </c>
      <c r="CG64" s="12">
        <f t="shared" si="141"/>
        <v>54729</v>
      </c>
      <c r="CH64" s="12">
        <f>SUM(CH58:CH63)</f>
        <v>54534</v>
      </c>
      <c r="CI64" s="12">
        <f>SUM(CI58:CI63)</f>
        <v>54941</v>
      </c>
      <c r="CJ64" s="12">
        <f t="shared" ref="CJ64" si="142">SUM(CJ58:CJ63)</f>
        <v>60085</v>
      </c>
      <c r="CK64" s="13">
        <f t="shared" si="141"/>
        <v>224289</v>
      </c>
      <c r="CL64" s="12">
        <f t="shared" ref="CL64" si="143">SUM(CL58:CL63)</f>
        <v>62214</v>
      </c>
      <c r="CM64" s="12">
        <f t="shared" si="141"/>
        <v>62533</v>
      </c>
      <c r="CN64" s="12">
        <f t="shared" ref="CN64:CO64" si="144">SUM(CN58:CN63)</f>
        <v>60676</v>
      </c>
      <c r="CO64" s="12">
        <f t="shared" si="144"/>
        <v>63552</v>
      </c>
      <c r="CP64" s="13">
        <f t="shared" si="141"/>
        <v>248975</v>
      </c>
      <c r="CQ64" s="12">
        <f t="shared" ref="CQ64:CU64" si="145">SUM(CQ58:CQ63)</f>
        <v>58000</v>
      </c>
      <c r="CR64" s="12">
        <f t="shared" si="145"/>
        <v>56000</v>
      </c>
      <c r="CS64" s="12">
        <f t="shared" si="145"/>
        <v>56000</v>
      </c>
      <c r="CT64" s="12">
        <f t="shared" si="145"/>
        <v>57000</v>
      </c>
      <c r="CU64" s="13">
        <f t="shared" si="145"/>
        <v>227000</v>
      </c>
      <c r="CV64" s="12"/>
      <c r="CW64" s="12"/>
      <c r="CX64" s="12"/>
      <c r="CY64" s="12"/>
      <c r="CZ64" s="205"/>
      <c r="DA64" s="205"/>
      <c r="DB64" s="205"/>
      <c r="DC64" s="205"/>
      <c r="DD64" s="205"/>
    </row>
    <row r="65" spans="1:117" s="68" customFormat="1">
      <c r="A65" s="10"/>
      <c r="B65" s="11"/>
      <c r="C65" s="12"/>
      <c r="D65" s="13"/>
      <c r="E65" s="12"/>
      <c r="F65" s="12"/>
      <c r="G65" s="12"/>
      <c r="H65" s="12"/>
      <c r="I65" s="13"/>
      <c r="J65" s="12"/>
      <c r="K65" s="12"/>
      <c r="L65" s="12"/>
      <c r="M65" s="12"/>
      <c r="N65" s="13"/>
      <c r="O65" s="12"/>
      <c r="P65" s="12"/>
      <c r="Q65" s="12"/>
      <c r="R65" s="12"/>
      <c r="S65" s="13"/>
      <c r="T65" s="12"/>
      <c r="U65" s="12"/>
      <c r="V65" s="12"/>
      <c r="W65" s="12"/>
      <c r="X65" s="13"/>
      <c r="Y65" s="12"/>
      <c r="Z65" s="12"/>
      <c r="AA65" s="12"/>
      <c r="AB65" s="12"/>
      <c r="AC65" s="13"/>
      <c r="AD65" s="12"/>
      <c r="AE65" s="12"/>
      <c r="AF65" s="12"/>
      <c r="AG65" s="12"/>
      <c r="AH65" s="13"/>
      <c r="AI65" s="12"/>
      <c r="AJ65" s="12"/>
      <c r="AK65" s="12"/>
      <c r="AL65" s="12"/>
      <c r="AM65" s="13"/>
      <c r="AN65" s="12"/>
      <c r="AO65" s="12"/>
      <c r="AP65" s="12"/>
      <c r="AQ65" s="12"/>
      <c r="AR65" s="13"/>
      <c r="AS65" s="81"/>
      <c r="AT65" s="12"/>
      <c r="AU65" s="81"/>
      <c r="AV65" s="12"/>
      <c r="AW65" s="13"/>
      <c r="AX65" s="81"/>
      <c r="AY65" s="12"/>
      <c r="AZ65" s="81"/>
      <c r="BA65" s="12"/>
      <c r="BB65" s="13"/>
      <c r="BC65" s="81"/>
      <c r="BD65" s="12">
        <f>24964-BD64</f>
        <v>0</v>
      </c>
      <c r="BE65" s="12"/>
      <c r="BF65" s="12"/>
      <c r="BG65" s="13"/>
      <c r="BH65" s="81"/>
      <c r="BI65" s="12"/>
      <c r="BJ65" s="12"/>
      <c r="BK65" s="12"/>
      <c r="BL65" s="13"/>
      <c r="BM65" s="12"/>
      <c r="BN65" s="12"/>
      <c r="BO65" s="12"/>
      <c r="BP65" s="12"/>
      <c r="BQ65" s="13"/>
      <c r="BR65" s="12"/>
      <c r="BS65" s="12"/>
      <c r="BT65" s="12"/>
      <c r="BU65" s="12"/>
      <c r="BV65" s="13"/>
      <c r="BW65" s="12"/>
      <c r="BX65" s="12"/>
      <c r="BY65" s="12"/>
      <c r="BZ65" s="12"/>
      <c r="CA65" s="13"/>
      <c r="CB65" s="12"/>
      <c r="CC65" s="12"/>
      <c r="CD65" s="12"/>
      <c r="CE65" s="12"/>
      <c r="CF65" s="13"/>
      <c r="CG65" s="12"/>
      <c r="CH65" s="12"/>
      <c r="CI65" s="12"/>
      <c r="CJ65" s="12"/>
      <c r="CK65" s="13"/>
      <c r="CL65" s="12"/>
      <c r="CM65" s="12"/>
      <c r="CN65" s="12"/>
      <c r="CO65" s="12"/>
      <c r="CP65" s="13"/>
      <c r="CQ65" s="12"/>
      <c r="CR65" s="12"/>
      <c r="CS65" s="12"/>
      <c r="CT65" s="12"/>
      <c r="CU65" s="13"/>
      <c r="CV65" s="12" t="s">
        <v>374</v>
      </c>
      <c r="CW65" s="12"/>
      <c r="CX65" s="12"/>
      <c r="CY65" s="12"/>
      <c r="CZ65" s="205"/>
      <c r="DA65" s="205"/>
      <c r="DB65" s="205"/>
      <c r="DC65" s="205"/>
      <c r="DD65" s="205"/>
    </row>
    <row r="66" spans="1:117" s="68" customFormat="1">
      <c r="A66" s="10"/>
      <c r="B66" s="11" t="s">
        <v>32</v>
      </c>
      <c r="C66" s="12"/>
      <c r="D66" s="13"/>
      <c r="E66" s="12"/>
      <c r="F66" s="12"/>
      <c r="G66" s="12"/>
      <c r="H66" s="12"/>
      <c r="I66" s="13"/>
      <c r="J66" s="12"/>
      <c r="K66" s="12"/>
      <c r="L66" s="12"/>
      <c r="M66" s="12"/>
      <c r="N66" s="13"/>
      <c r="O66" s="12"/>
      <c r="P66" s="12"/>
      <c r="Q66" s="12"/>
      <c r="R66" s="12"/>
      <c r="S66" s="13"/>
      <c r="T66" s="12">
        <f>T54-T64</f>
        <v>9982</v>
      </c>
      <c r="U66" s="12">
        <f t="shared" ref="U66:AM66" si="146">U54-U64</f>
        <v>9833</v>
      </c>
      <c r="V66" s="12">
        <f t="shared" si="146"/>
        <v>12380</v>
      </c>
      <c r="W66" s="12">
        <f t="shared" si="146"/>
        <v>14322</v>
      </c>
      <c r="X66" s="13">
        <f t="shared" si="146"/>
        <v>46517</v>
      </c>
      <c r="Y66" s="12">
        <f t="shared" si="146"/>
        <v>10044</v>
      </c>
      <c r="Z66" s="12">
        <f t="shared" si="146"/>
        <v>12455</v>
      </c>
      <c r="AA66" s="12">
        <f t="shared" si="146"/>
        <v>18659</v>
      </c>
      <c r="AB66" s="12">
        <f t="shared" si="146"/>
        <v>15419</v>
      </c>
      <c r="AC66" s="13">
        <f t="shared" si="146"/>
        <v>56577</v>
      </c>
      <c r="AD66" s="12">
        <f t="shared" si="146"/>
        <v>14470</v>
      </c>
      <c r="AE66" s="12">
        <f>AE54-AE64</f>
        <v>15349</v>
      </c>
      <c r="AF66" s="12">
        <f t="shared" si="146"/>
        <v>17857</v>
      </c>
      <c r="AG66" s="12">
        <f>AG54-AG64</f>
        <v>19452</v>
      </c>
      <c r="AH66" s="13">
        <f t="shared" si="146"/>
        <v>67128</v>
      </c>
      <c r="AI66" s="12">
        <f t="shared" si="146"/>
        <v>19862</v>
      </c>
      <c r="AJ66" s="12">
        <f t="shared" si="146"/>
        <v>23622</v>
      </c>
      <c r="AK66" s="12">
        <f t="shared" si="146"/>
        <v>26745</v>
      </c>
      <c r="AL66" s="12">
        <f t="shared" si="146"/>
        <v>24593</v>
      </c>
      <c r="AM66" s="13">
        <f t="shared" si="146"/>
        <v>94822</v>
      </c>
      <c r="AN66" s="12">
        <f t="shared" ref="AN66:BQ66" si="147">AN54-AN64</f>
        <v>27178</v>
      </c>
      <c r="AO66" s="12">
        <f t="shared" si="147"/>
        <v>29596</v>
      </c>
      <c r="AP66" s="12">
        <f t="shared" si="147"/>
        <v>31489</v>
      </c>
      <c r="AQ66" s="12">
        <f t="shared" si="147"/>
        <v>19780</v>
      </c>
      <c r="AR66" s="13">
        <f t="shared" si="147"/>
        <v>108043</v>
      </c>
      <c r="AS66" s="81">
        <f t="shared" si="147"/>
        <v>28041</v>
      </c>
      <c r="AT66" s="12">
        <f t="shared" si="147"/>
        <v>30915</v>
      </c>
      <c r="AU66" s="81">
        <f t="shared" si="147"/>
        <v>36945</v>
      </c>
      <c r="AV66" s="12">
        <f t="shared" si="147"/>
        <v>35404</v>
      </c>
      <c r="AW66" s="13">
        <f t="shared" si="147"/>
        <v>131305</v>
      </c>
      <c r="AX66" s="81">
        <f t="shared" si="147"/>
        <v>36149</v>
      </c>
      <c r="AY66" s="12">
        <f t="shared" si="147"/>
        <v>37075</v>
      </c>
      <c r="AZ66" s="81">
        <f t="shared" si="147"/>
        <v>43447</v>
      </c>
      <c r="BA66" s="12">
        <f t="shared" si="147"/>
        <v>44259</v>
      </c>
      <c r="BB66" s="13">
        <f t="shared" si="147"/>
        <v>160930</v>
      </c>
      <c r="BC66" s="81">
        <f t="shared" si="147"/>
        <v>38838</v>
      </c>
      <c r="BD66" s="12">
        <f t="shared" si="147"/>
        <v>37142</v>
      </c>
      <c r="BE66" s="12">
        <f t="shared" si="147"/>
        <v>37585</v>
      </c>
      <c r="BF66" s="12">
        <f t="shared" si="147"/>
        <v>38927</v>
      </c>
      <c r="BG66" s="13">
        <f t="shared" si="147"/>
        <v>152492</v>
      </c>
      <c r="BH66" s="81">
        <f t="shared" si="147"/>
        <v>34491</v>
      </c>
      <c r="BI66" s="12">
        <f t="shared" si="147"/>
        <v>36666</v>
      </c>
      <c r="BJ66" s="12">
        <f t="shared" si="147"/>
        <v>40053</v>
      </c>
      <c r="BK66" s="12">
        <f t="shared" si="147"/>
        <v>45157</v>
      </c>
      <c r="BL66" s="13">
        <f t="shared" si="147"/>
        <v>156367</v>
      </c>
      <c r="BM66" s="12">
        <f t="shared" si="147"/>
        <v>33158</v>
      </c>
      <c r="BN66" s="12">
        <f t="shared" si="147"/>
        <v>40589</v>
      </c>
      <c r="BO66" s="12">
        <f t="shared" si="147"/>
        <v>48903</v>
      </c>
      <c r="BP66" s="12">
        <f t="shared" si="147"/>
        <v>47283</v>
      </c>
      <c r="BQ66" s="13">
        <f t="shared" si="147"/>
        <v>169933</v>
      </c>
      <c r="BR66" s="12">
        <f t="shared" ref="BR66:BW66" si="148">BR54-BR64</f>
        <v>38209</v>
      </c>
      <c r="BS66" s="12">
        <f t="shared" si="148"/>
        <v>38290</v>
      </c>
      <c r="BT66" s="12">
        <f t="shared" si="148"/>
        <v>56183</v>
      </c>
      <c r="BU66" s="12">
        <f t="shared" si="148"/>
        <v>48052</v>
      </c>
      <c r="BV66" s="13">
        <f t="shared" si="148"/>
        <v>180734</v>
      </c>
      <c r="BW66" s="12">
        <f t="shared" si="148"/>
        <v>55868</v>
      </c>
      <c r="BX66" s="12">
        <f t="shared" ref="BX66:CP66" si="149">BX54-BX64</f>
        <v>56757</v>
      </c>
      <c r="BY66" s="12">
        <f t="shared" si="149"/>
        <v>60912</v>
      </c>
      <c r="BZ66" s="12">
        <f t="shared" si="149"/>
        <v>40711</v>
      </c>
      <c r="CA66" s="13">
        <f t="shared" si="149"/>
        <v>214248</v>
      </c>
      <c r="CB66" s="12">
        <f t="shared" si="149"/>
        <v>44980</v>
      </c>
      <c r="CC66" s="12">
        <f t="shared" si="149"/>
        <v>61874</v>
      </c>
      <c r="CD66" s="12">
        <f t="shared" si="149"/>
        <v>63935</v>
      </c>
      <c r="CE66" s="12">
        <f t="shared" si="149"/>
        <v>47748</v>
      </c>
      <c r="CF66" s="13">
        <f t="shared" si="149"/>
        <v>218537</v>
      </c>
      <c r="CG66" s="12">
        <f t="shared" si="149"/>
        <v>66978</v>
      </c>
      <c r="CH66" s="12">
        <f>CH54-CH64</f>
        <v>78035</v>
      </c>
      <c r="CI66" s="12">
        <f>CI54-CI64</f>
        <v>82827</v>
      </c>
      <c r="CJ66" s="12">
        <f t="shared" ref="CJ66" si="150">CJ54-CJ64</f>
        <v>71686</v>
      </c>
      <c r="CK66" s="13">
        <f t="shared" si="149"/>
        <v>299526</v>
      </c>
      <c r="CL66" s="12">
        <f t="shared" ref="CL66" si="151">CL54-CL64</f>
        <v>89173</v>
      </c>
      <c r="CM66" s="12">
        <f t="shared" si="149"/>
        <v>95596</v>
      </c>
      <c r="CN66" s="12">
        <f t="shared" ref="CN66:CO66" si="152">CN54-CN64</f>
        <v>97932</v>
      </c>
      <c r="CO66" s="12">
        <f t="shared" si="152"/>
        <v>89954.033999999985</v>
      </c>
      <c r="CP66" s="13">
        <f t="shared" si="149"/>
        <v>372655.03399999999</v>
      </c>
      <c r="CQ66" s="12">
        <f t="shared" ref="CQ66:CU66" si="153">CQ54-CQ64</f>
        <v>108341.94299000004</v>
      </c>
      <c r="CR66" s="12">
        <f t="shared" si="153"/>
        <v>119872.71090999999</v>
      </c>
      <c r="CS66" s="12">
        <f t="shared" si="153"/>
        <v>117260.13850000003</v>
      </c>
      <c r="CT66" s="12">
        <f t="shared" si="153"/>
        <v>119069.03357796001</v>
      </c>
      <c r="CU66" s="13">
        <f t="shared" si="153"/>
        <v>464543.8259779599</v>
      </c>
      <c r="CV66" s="12"/>
      <c r="CW66" s="12"/>
      <c r="CX66" s="12"/>
      <c r="CY66" s="12"/>
      <c r="CZ66" s="205"/>
      <c r="DA66" s="205"/>
      <c r="DB66" s="205"/>
      <c r="DC66" s="205"/>
      <c r="DD66" s="205"/>
    </row>
    <row r="67" spans="1:117" s="107" customFormat="1">
      <c r="A67" s="97"/>
      <c r="B67" s="98"/>
      <c r="C67" s="99" t="s">
        <v>33</v>
      </c>
      <c r="D67" s="100">
        <f t="shared" ref="D67:S67" si="154">D66/D32</f>
        <v>0</v>
      </c>
      <c r="E67" s="99">
        <f t="shared" si="154"/>
        <v>0</v>
      </c>
      <c r="F67" s="99">
        <f t="shared" si="154"/>
        <v>0</v>
      </c>
      <c r="G67" s="99">
        <f t="shared" si="154"/>
        <v>0</v>
      </c>
      <c r="H67" s="99">
        <f t="shared" si="154"/>
        <v>0</v>
      </c>
      <c r="I67" s="100">
        <f t="shared" si="154"/>
        <v>0</v>
      </c>
      <c r="J67" s="99">
        <f t="shared" si="154"/>
        <v>0</v>
      </c>
      <c r="K67" s="99">
        <f t="shared" si="154"/>
        <v>0</v>
      </c>
      <c r="L67" s="99">
        <f t="shared" si="154"/>
        <v>0</v>
      </c>
      <c r="M67" s="99">
        <f t="shared" si="154"/>
        <v>0</v>
      </c>
      <c r="N67" s="100">
        <f t="shared" si="154"/>
        <v>0</v>
      </c>
      <c r="O67" s="99">
        <f t="shared" si="154"/>
        <v>0</v>
      </c>
      <c r="P67" s="99">
        <f t="shared" si="154"/>
        <v>0</v>
      </c>
      <c r="Q67" s="99">
        <f t="shared" si="154"/>
        <v>0</v>
      </c>
      <c r="R67" s="99">
        <f t="shared" si="154"/>
        <v>0</v>
      </c>
      <c r="S67" s="100">
        <f t="shared" si="154"/>
        <v>0</v>
      </c>
      <c r="T67" s="99">
        <f t="shared" ref="T67:AY67" si="155">T66/T23</f>
        <v>0.13600752115324349</v>
      </c>
      <c r="U67" s="99">
        <f t="shared" si="155"/>
        <v>0.12814230794292045</v>
      </c>
      <c r="V67" s="99">
        <f t="shared" si="155"/>
        <v>0.16039593698175789</v>
      </c>
      <c r="W67" s="99">
        <f t="shared" si="155"/>
        <v>0.17449042995163197</v>
      </c>
      <c r="X67" s="100">
        <f t="shared" si="155"/>
        <v>0.15035020411065608</v>
      </c>
      <c r="Y67" s="99">
        <f t="shared" si="155"/>
        <v>0.1214172600123303</v>
      </c>
      <c r="Z67" s="99">
        <f t="shared" si="155"/>
        <v>0.13631687242798354</v>
      </c>
      <c r="AA67" s="99">
        <f t="shared" si="155"/>
        <v>0.19882785444083328</v>
      </c>
      <c r="AB67" s="99">
        <f t="shared" si="155"/>
        <v>0.16167896988507677</v>
      </c>
      <c r="AC67" s="100">
        <f t="shared" si="155"/>
        <v>0.15572908638495586</v>
      </c>
      <c r="AD67" s="99">
        <f t="shared" si="155"/>
        <v>0.1510454180106264</v>
      </c>
      <c r="AE67" s="99">
        <f t="shared" si="155"/>
        <v>0.14889220859847896</v>
      </c>
      <c r="AF67" s="99">
        <f t="shared" si="155"/>
        <v>0.16685510320404406</v>
      </c>
      <c r="AG67" s="99">
        <f t="shared" si="155"/>
        <v>0.17566261796180069</v>
      </c>
      <c r="AH67" s="100">
        <f t="shared" si="155"/>
        <v>0.16111635140876002</v>
      </c>
      <c r="AI67" s="99">
        <f t="shared" si="155"/>
        <v>0.17635359508461634</v>
      </c>
      <c r="AJ67" s="99">
        <f t="shared" si="155"/>
        <v>0.18993173649805822</v>
      </c>
      <c r="AK67" s="99">
        <f t="shared" si="155"/>
        <v>0.20786700242492073</v>
      </c>
      <c r="AL67" s="99">
        <f t="shared" si="155"/>
        <v>0.19297708725674828</v>
      </c>
      <c r="AM67" s="100">
        <f t="shared" si="155"/>
        <v>0.19229731839927316</v>
      </c>
      <c r="AN67" s="99">
        <f t="shared" si="155"/>
        <v>0.20136923373294016</v>
      </c>
      <c r="AO67" s="99">
        <f t="shared" si="155"/>
        <v>0.20230356471513039</v>
      </c>
      <c r="AP67" s="99">
        <f t="shared" si="155"/>
        <v>0.20875070436540821</v>
      </c>
      <c r="AQ67" s="99">
        <f t="shared" si="155"/>
        <v>0.12199409148940107</v>
      </c>
      <c r="AR67" s="100">
        <f t="shared" si="155"/>
        <v>0.18181558111553314</v>
      </c>
      <c r="AS67" s="236">
        <f t="shared" si="155"/>
        <v>0.1515828053711592</v>
      </c>
      <c r="AT67" s="99">
        <f t="shared" si="155"/>
        <v>0.15956211386897481</v>
      </c>
      <c r="AU67" s="236">
        <f t="shared" si="155"/>
        <v>0.1868201884130524</v>
      </c>
      <c r="AV67" s="99">
        <f t="shared" si="155"/>
        <v>0.1815068493150685</v>
      </c>
      <c r="AW67" s="100">
        <f t="shared" si="155"/>
        <v>0.17018339705787053</v>
      </c>
      <c r="AX67" s="236">
        <f t="shared" si="155"/>
        <v>0.18087432514247687</v>
      </c>
      <c r="AY67" s="99">
        <f t="shared" si="155"/>
        <v>0.17703826796168429</v>
      </c>
      <c r="AZ67" s="236">
        <f t="shared" ref="AZ67:CE67" si="156">AZ66/AZ23</f>
        <v>0.20263702846908696</v>
      </c>
      <c r="BA67" s="99">
        <f t="shared" si="156"/>
        <v>0.20294287574626524</v>
      </c>
      <c r="BB67" s="100">
        <f t="shared" si="156"/>
        <v>0.1911807158495977</v>
      </c>
      <c r="BC67" s="236">
        <f t="shared" si="156"/>
        <v>0.17543193983332203</v>
      </c>
      <c r="BD67" s="99">
        <f t="shared" si="156"/>
        <v>0.15624132389934461</v>
      </c>
      <c r="BE67" s="99">
        <f t="shared" si="156"/>
        <v>0.15820733432112069</v>
      </c>
      <c r="BF67" s="99">
        <f t="shared" si="156"/>
        <v>0.16017166393041274</v>
      </c>
      <c r="BG67" s="100">
        <f t="shared" si="156"/>
        <v>0.16227594103700299</v>
      </c>
      <c r="BH67" s="236">
        <f t="shared" si="156"/>
        <v>0.1386500403998987</v>
      </c>
      <c r="BI67" s="99">
        <f t="shared" si="156"/>
        <v>0.13190110115439543</v>
      </c>
      <c r="BJ67" s="99">
        <f t="shared" si="156"/>
        <v>0.14449811859863557</v>
      </c>
      <c r="BK67" s="99">
        <f t="shared" si="156"/>
        <v>0.1571088109941724</v>
      </c>
      <c r="BL67" s="100">
        <f t="shared" si="156"/>
        <v>0.14327772056047705</v>
      </c>
      <c r="BM67" s="99">
        <f t="shared" si="156"/>
        <v>0.11979911843341282</v>
      </c>
      <c r="BN67" s="99">
        <f t="shared" si="156"/>
        <v>0.14959329817306666</v>
      </c>
      <c r="BO67" s="99">
        <f t="shared" si="156"/>
        <v>0.17102718430983049</v>
      </c>
      <c r="BP67" s="99">
        <f t="shared" si="156"/>
        <v>0.16683720995878734</v>
      </c>
      <c r="BQ67" s="100">
        <f t="shared" si="156"/>
        <v>0.15207158415469452</v>
      </c>
      <c r="BR67" s="99">
        <f t="shared" si="156"/>
        <v>0.12960902571895713</v>
      </c>
      <c r="BS67" s="99">
        <f t="shared" si="156"/>
        <v>9.4458547030686082E-2</v>
      </c>
      <c r="BT67" s="99">
        <f t="shared" si="156"/>
        <v>0.12197149953107089</v>
      </c>
      <c r="BU67" s="99">
        <f t="shared" si="156"/>
        <v>0.11067401238207547</v>
      </c>
      <c r="BV67" s="100">
        <f t="shared" si="156"/>
        <v>0.1133153392080704</v>
      </c>
      <c r="BW67" s="99">
        <f t="shared" si="156"/>
        <v>0.12248853341752391</v>
      </c>
      <c r="BX67" s="99">
        <f t="shared" si="156"/>
        <v>0.12109839231040037</v>
      </c>
      <c r="BY67" s="99">
        <f t="shared" si="156"/>
        <v>0.12872603240551914</v>
      </c>
      <c r="BZ67" s="99">
        <f t="shared" si="156"/>
        <v>9.0024766706470305E-2</v>
      </c>
      <c r="CA67" s="100">
        <f t="shared" si="156"/>
        <v>0.11579696076756942</v>
      </c>
      <c r="CB67" s="99">
        <f t="shared" si="156"/>
        <v>9.5326298656573133E-2</v>
      </c>
      <c r="CC67" s="99">
        <f t="shared" si="156"/>
        <v>0.12269795093589064</v>
      </c>
      <c r="CD67" s="99">
        <f t="shared" si="156"/>
        <v>0.12924412352127823</v>
      </c>
      <c r="CE67" s="99">
        <f t="shared" si="156"/>
        <v>9.928160770166447E-2</v>
      </c>
      <c r="CF67" s="100">
        <f t="shared" ref="CF67:CK67" si="157">CF66/CF23</f>
        <v>0.11196971334970496</v>
      </c>
      <c r="CG67" s="99">
        <f t="shared" si="157"/>
        <v>0.13072474573492415</v>
      </c>
      <c r="CH67" s="99">
        <f t="shared" si="157"/>
        <v>0.14424854337345835</v>
      </c>
      <c r="CI67" s="99">
        <f>CI66/CI23</f>
        <v>0.15244130254335708</v>
      </c>
      <c r="CJ67" s="99">
        <f t="shared" ref="CJ67" si="158">CJ66/CJ23</f>
        <v>0.13247439159833754</v>
      </c>
      <c r="CK67" s="100">
        <f t="shared" si="157"/>
        <v>0.1401092617046566</v>
      </c>
      <c r="CL67" s="99">
        <f t="shared" ref="CL67" si="159">CL66/CL23</f>
        <v>0.15778224058460805</v>
      </c>
      <c r="CM67" s="99">
        <f t="shared" ref="CM67:CU67" si="160">CM66/CM23</f>
        <v>0.1603644922053892</v>
      </c>
      <c r="CN67" s="99">
        <f t="shared" ref="CN67:CO67" si="161">CN66/CN23</f>
        <v>0.16434880235752561</v>
      </c>
      <c r="CO67" s="99">
        <f t="shared" si="161"/>
        <v>0.15242363708972229</v>
      </c>
      <c r="CP67" s="100">
        <f t="shared" si="160"/>
        <v>0.1587577268373993</v>
      </c>
      <c r="CQ67" s="99">
        <f t="shared" si="160"/>
        <v>0.17803970265109254</v>
      </c>
      <c r="CR67" s="99">
        <f t="shared" si="160"/>
        <v>0.18471685560435017</v>
      </c>
      <c r="CS67" s="99">
        <f t="shared" si="160"/>
        <v>0.18408065369873425</v>
      </c>
      <c r="CT67" s="99">
        <f t="shared" si="160"/>
        <v>0.1868074784030771</v>
      </c>
      <c r="CU67" s="100">
        <f t="shared" si="160"/>
        <v>0.18347826694343536</v>
      </c>
      <c r="CV67" s="99"/>
      <c r="CW67" s="99"/>
      <c r="CX67" s="99"/>
      <c r="CY67" s="99"/>
      <c r="CZ67" s="204"/>
      <c r="DA67" s="205"/>
      <c r="DB67" s="205"/>
      <c r="DC67" s="205"/>
      <c r="DD67" s="205"/>
      <c r="DE67" s="67"/>
      <c r="DF67" s="67"/>
      <c r="DG67" s="67"/>
      <c r="DH67" s="67"/>
      <c r="DI67" s="67"/>
      <c r="DJ67" s="67"/>
      <c r="DK67" s="67"/>
      <c r="DL67" s="67"/>
      <c r="DM67" s="67"/>
    </row>
    <row r="68" spans="1:117" s="68" customFormat="1">
      <c r="A68" s="10"/>
      <c r="B68" s="11"/>
      <c r="C68" s="12"/>
      <c r="D68" s="13"/>
      <c r="E68" s="12"/>
      <c r="F68" s="12"/>
      <c r="G68" s="12"/>
      <c r="H68" s="12"/>
      <c r="I68" s="13"/>
      <c r="J68" s="12"/>
      <c r="K68" s="12"/>
      <c r="L68" s="12"/>
      <c r="M68" s="12"/>
      <c r="N68" s="13"/>
      <c r="O68" s="12"/>
      <c r="P68" s="12"/>
      <c r="Q68" s="35"/>
      <c r="R68" s="12"/>
      <c r="S68" s="13"/>
      <c r="T68" s="12"/>
      <c r="U68" s="12"/>
      <c r="V68" s="12"/>
      <c r="W68" s="12"/>
      <c r="X68" s="13"/>
      <c r="Y68" s="12"/>
      <c r="Z68" s="12"/>
      <c r="AA68" s="12"/>
      <c r="AB68" s="12"/>
      <c r="AC68" s="13"/>
      <c r="AD68" s="12"/>
      <c r="AE68" s="12"/>
      <c r="AF68" s="12"/>
      <c r="AG68" s="12"/>
      <c r="AH68" s="13"/>
      <c r="AI68" s="12"/>
      <c r="AJ68" s="12"/>
      <c r="AK68" s="12"/>
      <c r="AL68" s="12"/>
      <c r="AM68" s="13"/>
      <c r="AN68" s="12"/>
      <c r="AO68" s="12">
        <f>AO66-29596</f>
        <v>0</v>
      </c>
      <c r="AP68" s="12"/>
      <c r="AQ68" s="12"/>
      <c r="AR68" s="13"/>
      <c r="AS68" s="81"/>
      <c r="AT68" s="12"/>
      <c r="AU68" s="81"/>
      <c r="AV68" s="12"/>
      <c r="AW68" s="13"/>
      <c r="AX68" s="81"/>
      <c r="AY68" s="12"/>
      <c r="AZ68" s="81"/>
      <c r="BA68" s="12"/>
      <c r="BB68" s="13"/>
      <c r="BC68" s="81"/>
      <c r="BD68" s="12"/>
      <c r="BE68" s="12"/>
      <c r="BF68" s="12"/>
      <c r="BG68" s="13"/>
      <c r="BH68" s="81"/>
      <c r="BI68" s="12"/>
      <c r="BJ68" s="12"/>
      <c r="BK68" s="12"/>
      <c r="BL68" s="13"/>
      <c r="BM68" s="12"/>
      <c r="BN68" s="12"/>
      <c r="BO68" s="12"/>
      <c r="BP68" s="12"/>
      <c r="BQ68" s="13"/>
      <c r="BR68" s="12"/>
      <c r="BS68" s="12"/>
      <c r="BT68" s="12"/>
      <c r="BU68" s="12"/>
      <c r="BV68" s="13"/>
      <c r="BW68" s="12"/>
      <c r="BX68" s="12"/>
      <c r="BY68" s="12"/>
      <c r="BZ68" s="12"/>
      <c r="CA68" s="13"/>
      <c r="CB68" s="12"/>
      <c r="CC68" s="12"/>
      <c r="CD68" s="12"/>
      <c r="CE68" s="12"/>
      <c r="CF68" s="13"/>
      <c r="CG68" s="12"/>
      <c r="CH68" s="12"/>
      <c r="CI68" s="12"/>
      <c r="CJ68" s="12"/>
      <c r="CK68" s="13"/>
      <c r="CL68" s="12"/>
      <c r="CM68" s="12"/>
      <c r="CN68" s="12"/>
      <c r="CO68" s="12"/>
      <c r="CP68" s="13"/>
      <c r="CQ68" s="12"/>
      <c r="CR68" s="12"/>
      <c r="CS68" s="12"/>
      <c r="CT68" s="12"/>
      <c r="CU68" s="13"/>
      <c r="CV68" s="12"/>
      <c r="CW68" s="12"/>
      <c r="CX68" s="12"/>
      <c r="CY68" s="12"/>
      <c r="CZ68" s="205"/>
      <c r="DA68" s="205"/>
      <c r="DB68" s="204"/>
      <c r="DC68" s="205"/>
      <c r="DD68" s="205"/>
    </row>
    <row r="69" spans="1:117" hidden="1" outlineLevel="1">
      <c r="A69" s="7"/>
      <c r="B69" s="8" t="s">
        <v>374</v>
      </c>
      <c r="C69" s="7"/>
      <c r="D69" s="9"/>
      <c r="E69" s="7"/>
      <c r="F69" s="7"/>
      <c r="G69" s="7"/>
      <c r="H69" s="7"/>
      <c r="I69" s="9"/>
      <c r="J69" s="177">
        <v>-14</v>
      </c>
      <c r="K69" s="177">
        <v>-48</v>
      </c>
      <c r="L69" s="177">
        <v>-41</v>
      </c>
      <c r="M69" s="177">
        <v>-27</v>
      </c>
      <c r="N69" s="13">
        <f>SUM(J69:M69)</f>
        <v>-130</v>
      </c>
      <c r="O69" s="12">
        <f>-131-P69</f>
        <v>-42</v>
      </c>
      <c r="P69" s="12">
        <v>-89</v>
      </c>
      <c r="Q69" s="35">
        <v>-318</v>
      </c>
      <c r="R69" s="12">
        <v>-436</v>
      </c>
      <c r="S69" s="13">
        <f>SUM(O69:R69)</f>
        <v>-885</v>
      </c>
      <c r="T69" s="12">
        <f>-739-U69</f>
        <v>-344</v>
      </c>
      <c r="U69" s="12">
        <v>-395</v>
      </c>
      <c r="V69" s="12">
        <v>-446</v>
      </c>
      <c r="W69" s="12">
        <v>-707</v>
      </c>
      <c r="X69" s="13">
        <f>SUM(T69:W69)</f>
        <v>-1892</v>
      </c>
      <c r="Y69" s="12">
        <f>-1219+641</f>
        <v>-578</v>
      </c>
      <c r="Z69" s="12">
        <v>-641</v>
      </c>
      <c r="AA69" s="81">
        <v>-535</v>
      </c>
      <c r="AB69" s="81">
        <v>-310</v>
      </c>
      <c r="AC69" s="13">
        <f>SUM(Y69:AB69)</f>
        <v>-2064</v>
      </c>
      <c r="AD69" s="12">
        <v>-210</v>
      </c>
      <c r="AE69" s="12">
        <v>0</v>
      </c>
      <c r="AF69" s="12">
        <v>-162</v>
      </c>
      <c r="AG69" s="12">
        <v>0</v>
      </c>
      <c r="AH69" s="13">
        <f>SUM(AD69:AG69)</f>
        <v>-372</v>
      </c>
      <c r="AI69" s="12">
        <v>0</v>
      </c>
      <c r="AJ69" s="12">
        <v>0</v>
      </c>
      <c r="AK69" s="12">
        <v>0</v>
      </c>
      <c r="AL69" s="12">
        <v>0</v>
      </c>
      <c r="AM69" s="13">
        <f>SUM(AI69:AL69)</f>
        <v>0</v>
      </c>
      <c r="AN69" s="12">
        <v>0</v>
      </c>
      <c r="AO69" s="12">
        <v>0</v>
      </c>
      <c r="AP69" s="12">
        <v>0</v>
      </c>
      <c r="AQ69" s="12">
        <v>0</v>
      </c>
      <c r="AR69" s="13">
        <f>SUM(AN69:AQ69)</f>
        <v>0</v>
      </c>
      <c r="AS69" s="81">
        <v>0</v>
      </c>
      <c r="AT69" s="12">
        <v>0</v>
      </c>
      <c r="AU69" s="81">
        <v>0</v>
      </c>
      <c r="AV69" s="12">
        <v>0</v>
      </c>
      <c r="AW69" s="13">
        <f>SUM(AS69:AV69)</f>
        <v>0</v>
      </c>
      <c r="AX69" s="81">
        <v>0</v>
      </c>
      <c r="AY69" s="12">
        <v>0</v>
      </c>
      <c r="AZ69" s="81">
        <v>0</v>
      </c>
      <c r="BA69" s="12">
        <v>0</v>
      </c>
      <c r="BB69" s="13">
        <f>SUM(AX69:BA69)</f>
        <v>0</v>
      </c>
      <c r="BC69" s="81">
        <v>0</v>
      </c>
      <c r="BD69" s="12">
        <v>0</v>
      </c>
      <c r="BE69" s="12">
        <v>0</v>
      </c>
      <c r="BF69" s="12">
        <v>0</v>
      </c>
      <c r="BG69" s="13">
        <f>SUM(BC69:BF69)</f>
        <v>0</v>
      </c>
      <c r="BH69" s="81">
        <v>0</v>
      </c>
      <c r="BI69" s="12">
        <v>0</v>
      </c>
      <c r="BJ69" s="12">
        <v>0</v>
      </c>
      <c r="BK69" s="12">
        <v>0</v>
      </c>
      <c r="BL69" s="13">
        <f>SUM(BH69:BK69)</f>
        <v>0</v>
      </c>
      <c r="BM69" s="12">
        <v>0</v>
      </c>
      <c r="BN69" s="12">
        <v>0</v>
      </c>
      <c r="BO69" s="12">
        <v>0</v>
      </c>
      <c r="BP69" s="12">
        <v>0</v>
      </c>
      <c r="BQ69" s="13">
        <f>SUM(BM69:BP69)</f>
        <v>0</v>
      </c>
      <c r="BR69" s="12">
        <v>0</v>
      </c>
      <c r="BS69" s="12">
        <v>-12199</v>
      </c>
      <c r="BT69" s="12">
        <v>-5396</v>
      </c>
      <c r="BU69" s="12">
        <v>-4987</v>
      </c>
      <c r="BV69" s="13">
        <f>SUM(BR69:BU69)</f>
        <v>-22582</v>
      </c>
      <c r="BW69" s="12">
        <v>-4804</v>
      </c>
      <c r="BX69" s="12">
        <v>-6214</v>
      </c>
      <c r="BY69" s="12">
        <f>-9258</f>
        <v>-9258</v>
      </c>
      <c r="BZ69" s="12">
        <v>-8103</v>
      </c>
      <c r="CA69" s="13">
        <f>SUM(BW69:BZ69)</f>
        <v>-28379</v>
      </c>
      <c r="CB69" s="12">
        <f>-7684</f>
        <v>-7684</v>
      </c>
      <c r="CC69" s="12">
        <v>-6387</v>
      </c>
      <c r="CD69" s="12">
        <f>-5808</f>
        <v>-5808</v>
      </c>
      <c r="CE69" s="12">
        <v>-3750</v>
      </c>
      <c r="CF69" s="13">
        <f>SUM(CB69:CE69)</f>
        <v>-23629</v>
      </c>
      <c r="CG69" s="12">
        <v>-2184</v>
      </c>
      <c r="CH69" s="12">
        <v>-1253</v>
      </c>
      <c r="CI69" s="12">
        <v>-1235</v>
      </c>
      <c r="CJ69" s="12">
        <v>-1259</v>
      </c>
      <c r="CK69" s="13">
        <f>SUM(CG69:CJ69)</f>
        <v>-5931</v>
      </c>
      <c r="CL69" s="12">
        <f>-1246</f>
        <v>-1246</v>
      </c>
      <c r="CM69" s="81">
        <v>-1262</v>
      </c>
      <c r="CN69" s="81">
        <v>-1235</v>
      </c>
      <c r="CO69" s="81">
        <v>-1252</v>
      </c>
      <c r="CP69" s="13">
        <f>SUM(CL69:CO69)</f>
        <v>-4995</v>
      </c>
      <c r="CQ69" s="418">
        <f>CO69</f>
        <v>-1252</v>
      </c>
      <c r="CR69" s="418"/>
      <c r="CS69" s="418">
        <f>CR69</f>
        <v>0</v>
      </c>
      <c r="CT69" s="418">
        <f>CS69</f>
        <v>0</v>
      </c>
      <c r="CU69" s="13">
        <f>SUM(CQ69:CT69)</f>
        <v>-1252</v>
      </c>
      <c r="CV69" s="12"/>
      <c r="CW69" s="12"/>
      <c r="CX69" s="12"/>
      <c r="CY69" s="12"/>
      <c r="CZ69" s="205"/>
      <c r="DA69" s="205"/>
      <c r="DB69" s="205"/>
      <c r="DC69" s="205"/>
      <c r="DD69" s="205"/>
      <c r="DF69" s="107"/>
      <c r="DG69" s="107"/>
      <c r="DH69" s="107"/>
      <c r="DI69" s="107"/>
      <c r="DJ69" s="107"/>
      <c r="DK69" s="107"/>
      <c r="DL69" s="107"/>
      <c r="DM69" s="107"/>
    </row>
    <row r="70" spans="1:117" hidden="1" outlineLevel="1">
      <c r="A70" s="7"/>
      <c r="B70" s="8" t="s">
        <v>58</v>
      </c>
      <c r="C70" s="7"/>
      <c r="D70" s="9"/>
      <c r="E70" s="7"/>
      <c r="F70" s="7"/>
      <c r="G70" s="7"/>
      <c r="H70" s="7"/>
      <c r="I70" s="9"/>
      <c r="J70" s="177"/>
      <c r="K70" s="177">
        <v>-15</v>
      </c>
      <c r="L70" s="177">
        <v>-1</v>
      </c>
      <c r="M70" s="177"/>
      <c r="N70" s="13">
        <f>SUM(J70:M70)</f>
        <v>-16</v>
      </c>
      <c r="O70" s="12"/>
      <c r="P70" s="12">
        <v>-13</v>
      </c>
      <c r="Q70" s="35">
        <v>-250</v>
      </c>
      <c r="R70" s="12">
        <v>-594</v>
      </c>
      <c r="S70" s="13">
        <f>SUM(O70:R70)</f>
        <v>-857</v>
      </c>
      <c r="T70" s="12">
        <v>-156</v>
      </c>
      <c r="U70" s="12">
        <v>-129</v>
      </c>
      <c r="V70" s="12">
        <v>-116</v>
      </c>
      <c r="W70" s="12">
        <v>-111</v>
      </c>
      <c r="X70" s="13">
        <f>SUM(T70:W70)</f>
        <v>-512</v>
      </c>
      <c r="Y70" s="12">
        <v>-125</v>
      </c>
      <c r="Z70" s="12">
        <v>-132</v>
      </c>
      <c r="AA70" s="81">
        <f>-849+535</f>
        <v>-314</v>
      </c>
      <c r="AB70" s="81">
        <f>-384+310</f>
        <v>-74</v>
      </c>
      <c r="AC70" s="13">
        <f>SUM(Y70:AB70)</f>
        <v>-645</v>
      </c>
      <c r="AD70" s="12">
        <f>-338+210</f>
        <v>-128</v>
      </c>
      <c r="AE70" s="12">
        <v>-296</v>
      </c>
      <c r="AF70" s="12">
        <f>-285+162</f>
        <v>-123</v>
      </c>
      <c r="AG70" s="12">
        <v>-390</v>
      </c>
      <c r="AH70" s="13">
        <f>SUM(AD70:AG70)</f>
        <v>-937</v>
      </c>
      <c r="AI70" s="12">
        <v>-259</v>
      </c>
      <c r="AJ70" s="12">
        <v>-216</v>
      </c>
      <c r="AK70" s="12">
        <v>-47</v>
      </c>
      <c r="AL70" s="12">
        <v>167</v>
      </c>
      <c r="AM70" s="13">
        <f>SUM(AI70:AL70)</f>
        <v>-355</v>
      </c>
      <c r="AN70" s="12">
        <v>181</v>
      </c>
      <c r="AO70" s="12">
        <v>185</v>
      </c>
      <c r="AP70" s="12">
        <v>255</v>
      </c>
      <c r="AQ70" s="12">
        <v>-240</v>
      </c>
      <c r="AR70" s="13">
        <f>SUM(AN70:AQ70)</f>
        <v>381</v>
      </c>
      <c r="AS70" s="81">
        <v>-467</v>
      </c>
      <c r="AT70" s="12">
        <v>-720</v>
      </c>
      <c r="AU70" s="81">
        <v>-526</v>
      </c>
      <c r="AV70" s="12">
        <v>-285</v>
      </c>
      <c r="AW70" s="13">
        <f>SUM(AS70:AV70)</f>
        <v>-1998</v>
      </c>
      <c r="AX70" s="81">
        <v>-190</v>
      </c>
      <c r="AY70" s="12">
        <v>-101</v>
      </c>
      <c r="AZ70" s="81">
        <v>75</v>
      </c>
      <c r="BA70" s="12">
        <v>914</v>
      </c>
      <c r="BB70" s="13">
        <f>SUM(AX70:BA70)</f>
        <v>698</v>
      </c>
      <c r="BC70" s="81">
        <v>599</v>
      </c>
      <c r="BD70" s="12">
        <v>558</v>
      </c>
      <c r="BE70" s="12">
        <v>1041</v>
      </c>
      <c r="BF70" s="12">
        <v>1180</v>
      </c>
      <c r="BG70" s="13">
        <f>SUM(BC70:BF70)</f>
        <v>3378</v>
      </c>
      <c r="BH70" s="81">
        <v>586</v>
      </c>
      <c r="BI70" s="12">
        <v>-247</v>
      </c>
      <c r="BJ70" s="12">
        <v>499</v>
      </c>
      <c r="BK70" s="12">
        <v>2633</v>
      </c>
      <c r="BL70" s="13">
        <f>SUM(BH70:BK70)</f>
        <v>3471</v>
      </c>
      <c r="BM70" s="12">
        <v>990</v>
      </c>
      <c r="BN70" s="12">
        <v>470</v>
      </c>
      <c r="BO70" s="12">
        <v>280</v>
      </c>
      <c r="BP70" s="12">
        <v>376</v>
      </c>
      <c r="BQ70" s="13">
        <f>SUM(BM70:BP70)</f>
        <v>2116</v>
      </c>
      <c r="BR70" s="12">
        <v>88</v>
      </c>
      <c r="BS70" s="12"/>
      <c r="BT70" s="12">
        <v>445</v>
      </c>
      <c r="BU70" s="12">
        <v>295</v>
      </c>
      <c r="BV70" s="13">
        <f>SUM(BR70:BU70)</f>
        <v>828</v>
      </c>
      <c r="BW70" s="12">
        <v>364</v>
      </c>
      <c r="BX70" s="12">
        <v>216</v>
      </c>
      <c r="BY70" s="12">
        <v>131</v>
      </c>
      <c r="BZ70" s="12">
        <v>1012</v>
      </c>
      <c r="CA70" s="13">
        <f>SUM(BW70:BZ70)</f>
        <v>1723</v>
      </c>
      <c r="CB70" s="12">
        <v>1246</v>
      </c>
      <c r="CC70" s="12">
        <v>643</v>
      </c>
      <c r="CD70" s="12">
        <v>787</v>
      </c>
      <c r="CE70" s="12">
        <v>652</v>
      </c>
      <c r="CF70" s="13">
        <f>SUM(CB70:CE70)</f>
        <v>3328</v>
      </c>
      <c r="CG70" s="12">
        <v>1845</v>
      </c>
      <c r="CH70" s="12">
        <v>1883</v>
      </c>
      <c r="CI70" s="12">
        <f>4504</f>
        <v>4504</v>
      </c>
      <c r="CJ70" s="12">
        <v>6340</v>
      </c>
      <c r="CK70" s="13">
        <f>SUM(CG70:CJ70)</f>
        <v>14572</v>
      </c>
      <c r="CL70" s="12">
        <f>7363</f>
        <v>7363</v>
      </c>
      <c r="CM70" s="81">
        <v>8179</v>
      </c>
      <c r="CN70" s="81">
        <v>10855</v>
      </c>
      <c r="CO70" s="81">
        <v>11240</v>
      </c>
      <c r="CP70" s="13">
        <f>SUM(CL70:CO70)</f>
        <v>37637</v>
      </c>
      <c r="CQ70" s="418">
        <v>5750</v>
      </c>
      <c r="CR70" s="418">
        <v>7000</v>
      </c>
      <c r="CS70" s="418">
        <v>7000</v>
      </c>
      <c r="CT70" s="418">
        <v>7000</v>
      </c>
      <c r="CU70" s="13">
        <f>SUM(CQ70:CT70)</f>
        <v>26750</v>
      </c>
      <c r="CV70" s="12"/>
      <c r="CW70" s="12"/>
      <c r="CX70" s="12"/>
      <c r="CY70" s="12"/>
      <c r="CZ70" s="205"/>
      <c r="DA70" s="205"/>
      <c r="DB70" s="205"/>
      <c r="DC70" s="204"/>
      <c r="DD70" s="204"/>
      <c r="DE70" s="107"/>
    </row>
    <row r="71" spans="1:117" collapsed="1">
      <c r="A71" s="10"/>
      <c r="B71" s="11" t="s">
        <v>762</v>
      </c>
      <c r="C71" s="12"/>
      <c r="D71" s="13">
        <v>1800</v>
      </c>
      <c r="E71" s="12">
        <v>402</v>
      </c>
      <c r="F71" s="12">
        <v>244</v>
      </c>
      <c r="G71" s="12">
        <v>398</v>
      </c>
      <c r="H71" s="12">
        <f>I71-G71-F71-E71</f>
        <v>137</v>
      </c>
      <c r="I71" s="13">
        <v>1181</v>
      </c>
      <c r="J71" s="178">
        <v>-14</v>
      </c>
      <c r="K71" s="178">
        <v>-63</v>
      </c>
      <c r="L71" s="178">
        <v>-42</v>
      </c>
      <c r="M71" s="178">
        <f>N71-L71-K71-J71</f>
        <v>-27</v>
      </c>
      <c r="N71" s="13">
        <v>-146</v>
      </c>
      <c r="O71" s="12">
        <v>-42</v>
      </c>
      <c r="P71" s="12">
        <v>-102</v>
      </c>
      <c r="Q71" s="35">
        <v>-568</v>
      </c>
      <c r="R71" s="12">
        <v>-1030</v>
      </c>
      <c r="S71" s="13">
        <f>SUM(O71:R71)</f>
        <v>-1742</v>
      </c>
      <c r="T71" s="12">
        <f>T70+T69</f>
        <v>-500</v>
      </c>
      <c r="U71" s="12">
        <f>U70+U69</f>
        <v>-524</v>
      </c>
      <c r="V71" s="12">
        <v>-562</v>
      </c>
      <c r="W71" s="12">
        <v>-818</v>
      </c>
      <c r="X71" s="13">
        <f>SUM(T71:W71)</f>
        <v>-2404</v>
      </c>
      <c r="Y71" s="12">
        <f>Y70+Y69</f>
        <v>-703</v>
      </c>
      <c r="Z71" s="12">
        <f>Z70+Z69</f>
        <v>-773</v>
      </c>
      <c r="AA71" s="81">
        <f>AA70+AA69</f>
        <v>-849</v>
      </c>
      <c r="AB71" s="60">
        <f>AB70+AB69</f>
        <v>-384</v>
      </c>
      <c r="AC71" s="13">
        <f>SUM(Y71:AB71)</f>
        <v>-2709</v>
      </c>
      <c r="AD71" s="12">
        <f>AD70+AD69</f>
        <v>-338</v>
      </c>
      <c r="AE71" s="12">
        <f>AE70+AE69</f>
        <v>-296</v>
      </c>
      <c r="AF71" s="12">
        <f>AF70+AF69</f>
        <v>-285</v>
      </c>
      <c r="AG71" s="81">
        <f>AG70+AG69</f>
        <v>-390</v>
      </c>
      <c r="AH71" s="13">
        <f>SUM(AD71:AG71)</f>
        <v>-1309</v>
      </c>
      <c r="AI71" s="81">
        <f>AI70+AI69</f>
        <v>-259</v>
      </c>
      <c r="AJ71" s="81">
        <f>AJ70+AJ69</f>
        <v>-216</v>
      </c>
      <c r="AK71" s="81">
        <f>AK70+AK69</f>
        <v>-47</v>
      </c>
      <c r="AL71" s="81">
        <f>AL70+AL69</f>
        <v>167</v>
      </c>
      <c r="AM71" s="13">
        <f>SUM(AI71:AL71)</f>
        <v>-355</v>
      </c>
      <c r="AN71" s="12">
        <f>AN70+AN69</f>
        <v>181</v>
      </c>
      <c r="AO71" s="12">
        <f>AO70+AO69</f>
        <v>185</v>
      </c>
      <c r="AP71" s="12">
        <f>AP70+AP69</f>
        <v>255</v>
      </c>
      <c r="AQ71" s="12">
        <f>AQ70+AQ69</f>
        <v>-240</v>
      </c>
      <c r="AR71" s="13">
        <f>SUM(AN71:AQ71)</f>
        <v>381</v>
      </c>
      <c r="AS71" s="81">
        <f>AS70+AS69</f>
        <v>-467</v>
      </c>
      <c r="AT71" s="12">
        <f>AT70+AT69</f>
        <v>-720</v>
      </c>
      <c r="AU71" s="81">
        <f>AU70+AU69</f>
        <v>-526</v>
      </c>
      <c r="AV71" s="12">
        <f>AV70+AV69</f>
        <v>-285</v>
      </c>
      <c r="AW71" s="13">
        <f>SUM(AS71:AV71)</f>
        <v>-1998</v>
      </c>
      <c r="AX71" s="81">
        <f>AX70+AX69</f>
        <v>-190</v>
      </c>
      <c r="AY71" s="12">
        <f>AY70+AY69</f>
        <v>-101</v>
      </c>
      <c r="AZ71" s="81">
        <f>AZ70+AZ69</f>
        <v>75</v>
      </c>
      <c r="BA71" s="12">
        <f>BA70+BA69</f>
        <v>914</v>
      </c>
      <c r="BB71" s="13">
        <f>SUM(AX71:BA71)</f>
        <v>698</v>
      </c>
      <c r="BC71" s="81">
        <f>BC70+BC69</f>
        <v>599</v>
      </c>
      <c r="BD71" s="12">
        <f>BD70+BD69</f>
        <v>558</v>
      </c>
      <c r="BE71" s="12">
        <f>BE70+BE69</f>
        <v>1041</v>
      </c>
      <c r="BF71" s="12">
        <f>BF70+BF69</f>
        <v>1180</v>
      </c>
      <c r="BG71" s="13">
        <f>SUM(BC71:BF71)</f>
        <v>3378</v>
      </c>
      <c r="BH71" s="81">
        <f>BH70+BH69</f>
        <v>586</v>
      </c>
      <c r="BI71" s="12">
        <f>BI70+BI69</f>
        <v>-247</v>
      </c>
      <c r="BJ71" s="12">
        <f>BJ70+BJ69</f>
        <v>499</v>
      </c>
      <c r="BK71" s="12">
        <f>BK70+BK69</f>
        <v>2633</v>
      </c>
      <c r="BL71" s="13">
        <f>SUM(BH71:BK71)</f>
        <v>3471</v>
      </c>
      <c r="BM71" s="12">
        <f>BM70+BM69</f>
        <v>990</v>
      </c>
      <c r="BN71" s="12">
        <f>BN70+BN69</f>
        <v>470</v>
      </c>
      <c r="BO71" s="12">
        <f>BO70+BO69</f>
        <v>280</v>
      </c>
      <c r="BP71" s="12">
        <f>BP70+BP69</f>
        <v>376</v>
      </c>
      <c r="BQ71" s="13">
        <f>SUM(BM71:BP71)</f>
        <v>2116</v>
      </c>
      <c r="BR71" s="12">
        <f t="shared" ref="BR71:BW71" si="162">BR70+BR69</f>
        <v>88</v>
      </c>
      <c r="BS71" s="12">
        <f t="shared" si="162"/>
        <v>-12199</v>
      </c>
      <c r="BT71" s="12">
        <f t="shared" si="162"/>
        <v>-4951</v>
      </c>
      <c r="BU71" s="12">
        <f t="shared" si="162"/>
        <v>-4692</v>
      </c>
      <c r="BV71" s="13">
        <f t="shared" si="162"/>
        <v>-21754</v>
      </c>
      <c r="BW71" s="12">
        <f t="shared" si="162"/>
        <v>-4440</v>
      </c>
      <c r="BX71" s="12">
        <f>BX69+BX70</f>
        <v>-5998</v>
      </c>
      <c r="BY71" s="12">
        <f>BY69+BY70</f>
        <v>-9127</v>
      </c>
      <c r="BZ71" s="12">
        <f>BZ69+BZ70</f>
        <v>-7091</v>
      </c>
      <c r="CA71" s="13">
        <f>SUM(BW71:BZ71)</f>
        <v>-26656</v>
      </c>
      <c r="CB71" s="12">
        <f>CB70+CB69</f>
        <v>-6438</v>
      </c>
      <c r="CC71" s="12">
        <f>CC70+CC69</f>
        <v>-5744</v>
      </c>
      <c r="CD71" s="12">
        <f>CD70+CD69</f>
        <v>-5021</v>
      </c>
      <c r="CE71" s="12">
        <f>CE70+CE69</f>
        <v>-3098</v>
      </c>
      <c r="CF71" s="13">
        <f>SUM(CB71:CE71)</f>
        <v>-20301</v>
      </c>
      <c r="CG71" s="12">
        <f>CG70+CG69</f>
        <v>-339</v>
      </c>
      <c r="CH71" s="12">
        <f>CH70+CH69</f>
        <v>630</v>
      </c>
      <c r="CI71" s="12">
        <f>CI70+CI69</f>
        <v>3269</v>
      </c>
      <c r="CJ71" s="12">
        <f>CJ70+CJ69</f>
        <v>5081</v>
      </c>
      <c r="CK71" s="13">
        <f>SUM(CG71:CJ71)</f>
        <v>8641</v>
      </c>
      <c r="CL71" s="12">
        <f>CL70+CL69</f>
        <v>6117</v>
      </c>
      <c r="CM71" s="12">
        <f>CM70+CM69</f>
        <v>6917</v>
      </c>
      <c r="CN71" s="12">
        <f>CN70+CN69</f>
        <v>9620</v>
      </c>
      <c r="CO71" s="12">
        <f>CO70+CO69</f>
        <v>9988</v>
      </c>
      <c r="CP71" s="13">
        <f>SUM(CL71:CO71)</f>
        <v>32642</v>
      </c>
      <c r="CQ71" s="12">
        <f>CQ70+CQ69</f>
        <v>4498</v>
      </c>
      <c r="CR71" s="12">
        <f>CR70+CR69</f>
        <v>7000</v>
      </c>
      <c r="CS71" s="12">
        <f>CS70+CS69</f>
        <v>7000</v>
      </c>
      <c r="CT71" s="12">
        <f>CT70+CT69</f>
        <v>7000</v>
      </c>
      <c r="CU71" s="13">
        <f>SUM(CQ71:CT71)</f>
        <v>25498</v>
      </c>
      <c r="CV71" s="12"/>
      <c r="CW71" s="12"/>
      <c r="CX71" s="12"/>
      <c r="CY71" s="12"/>
      <c r="CZ71" s="205"/>
      <c r="DA71" s="205"/>
      <c r="DB71" s="205"/>
      <c r="DC71" s="205"/>
      <c r="DD71" s="205"/>
    </row>
    <row r="72" spans="1:117" hidden="1" outlineLevel="1">
      <c r="A72" s="10"/>
      <c r="B72" s="8" t="s">
        <v>775</v>
      </c>
      <c r="C72" s="12"/>
      <c r="D72" s="13"/>
      <c r="E72" s="12"/>
      <c r="F72" s="12"/>
      <c r="G72" s="12"/>
      <c r="H72" s="12"/>
      <c r="I72" s="13"/>
      <c r="J72" s="178"/>
      <c r="K72" s="178"/>
      <c r="L72" s="178"/>
      <c r="M72" s="178"/>
      <c r="N72" s="13"/>
      <c r="O72" s="12"/>
      <c r="P72" s="12"/>
      <c r="Q72" s="35"/>
      <c r="R72" s="12"/>
      <c r="S72" s="13"/>
      <c r="T72" s="12"/>
      <c r="U72" s="12"/>
      <c r="V72" s="12"/>
      <c r="W72" s="12"/>
      <c r="X72" s="13"/>
      <c r="Y72" s="12"/>
      <c r="Z72" s="12"/>
      <c r="AA72" s="81"/>
      <c r="AB72" s="60"/>
      <c r="AC72" s="13"/>
      <c r="AD72" s="12"/>
      <c r="AE72" s="12"/>
      <c r="AF72" s="12"/>
      <c r="AG72" s="81"/>
      <c r="AH72" s="13"/>
      <c r="AI72" s="81"/>
      <c r="AJ72" s="81"/>
      <c r="AK72" s="81"/>
      <c r="AL72" s="81"/>
      <c r="AM72" s="13"/>
      <c r="AN72" s="12"/>
      <c r="AO72" s="12"/>
      <c r="AP72" s="12"/>
      <c r="AQ72" s="12"/>
      <c r="AR72" s="13"/>
      <c r="AS72" s="81"/>
      <c r="AT72" s="12"/>
      <c r="AU72" s="81"/>
      <c r="AV72" s="12"/>
      <c r="AW72" s="13"/>
      <c r="AX72" s="81"/>
      <c r="AY72" s="12"/>
      <c r="AZ72" s="81"/>
      <c r="BA72" s="12"/>
      <c r="BB72" s="13"/>
      <c r="BC72" s="81"/>
      <c r="BD72" s="12"/>
      <c r="BE72" s="12"/>
      <c r="BF72" s="12"/>
      <c r="BG72" s="13"/>
      <c r="BH72" s="81"/>
      <c r="BI72" s="12"/>
      <c r="BJ72" s="12"/>
      <c r="BK72" s="12"/>
      <c r="BL72" s="13"/>
      <c r="BM72" s="12"/>
      <c r="BN72" s="12"/>
      <c r="BO72" s="12"/>
      <c r="BP72" s="12"/>
      <c r="BQ72" s="13"/>
      <c r="BR72" s="12"/>
      <c r="BS72" s="12">
        <v>6407</v>
      </c>
      <c r="BT72" s="12"/>
      <c r="BU72" s="12"/>
      <c r="BV72" s="13">
        <f>SUM(BR72:BU72)</f>
        <v>6407</v>
      </c>
      <c r="BW72" s="12"/>
      <c r="BX72" s="12"/>
      <c r="BY72" s="12"/>
      <c r="BZ72" s="12"/>
      <c r="CA72" s="13"/>
      <c r="CB72" s="12"/>
      <c r="CC72" s="12"/>
      <c r="CD72" s="12"/>
      <c r="CE72" s="12"/>
      <c r="CF72" s="13"/>
      <c r="CG72" s="12"/>
      <c r="CH72" s="12"/>
      <c r="CI72" s="12"/>
      <c r="CJ72" s="12"/>
      <c r="CK72" s="13"/>
      <c r="CL72" s="12"/>
      <c r="CM72" s="12"/>
      <c r="CN72" s="12"/>
      <c r="CO72" s="12"/>
      <c r="CP72" s="13"/>
      <c r="CQ72" s="12"/>
      <c r="CR72" s="12"/>
      <c r="CS72" s="12"/>
      <c r="CT72" s="12"/>
      <c r="CU72" s="13"/>
      <c r="CV72" s="12"/>
      <c r="CW72" s="12"/>
      <c r="CX72" s="12"/>
      <c r="CY72" s="12"/>
      <c r="CZ72" s="205"/>
      <c r="DA72" s="205"/>
      <c r="DB72" s="205"/>
      <c r="DC72" s="205"/>
      <c r="DD72" s="205"/>
    </row>
    <row r="73" spans="1:117" collapsed="1">
      <c r="A73" s="10"/>
      <c r="B73" s="11" t="s">
        <v>776</v>
      </c>
      <c r="C73" s="12"/>
      <c r="D73" s="13"/>
      <c r="E73" s="12"/>
      <c r="F73" s="12"/>
      <c r="G73" s="12"/>
      <c r="H73" s="12"/>
      <c r="I73" s="13"/>
      <c r="J73" s="178"/>
      <c r="K73" s="178"/>
      <c r="L73" s="178"/>
      <c r="M73" s="178"/>
      <c r="N73" s="13"/>
      <c r="O73" s="12"/>
      <c r="P73" s="12"/>
      <c r="Q73" s="35"/>
      <c r="R73" s="12"/>
      <c r="S73" s="13"/>
      <c r="T73" s="12"/>
      <c r="U73" s="12"/>
      <c r="V73" s="12"/>
      <c r="W73" s="12"/>
      <c r="X73" s="13"/>
      <c r="Y73" s="12"/>
      <c r="Z73" s="12"/>
      <c r="AA73" s="81"/>
      <c r="AB73" s="60"/>
      <c r="AC73" s="13"/>
      <c r="AD73" s="12"/>
      <c r="AE73" s="12"/>
      <c r="AF73" s="12"/>
      <c r="AG73" s="81"/>
      <c r="AH73" s="13"/>
      <c r="AI73" s="81"/>
      <c r="AJ73" s="81"/>
      <c r="AK73" s="81"/>
      <c r="AL73" s="81"/>
      <c r="AM73" s="13"/>
      <c r="AN73" s="12"/>
      <c r="AO73" s="12"/>
      <c r="AP73" s="12"/>
      <c r="AQ73" s="12"/>
      <c r="AR73" s="13"/>
      <c r="AS73" s="81"/>
      <c r="AT73" s="12"/>
      <c r="AU73" s="81"/>
      <c r="AV73" s="12"/>
      <c r="AW73" s="13"/>
      <c r="AX73" s="81"/>
      <c r="AY73" s="12"/>
      <c r="AZ73" s="81"/>
      <c r="BA73" s="12"/>
      <c r="BB73" s="13"/>
      <c r="BC73" s="81"/>
      <c r="BD73" s="12"/>
      <c r="BE73" s="12"/>
      <c r="BF73" s="12"/>
      <c r="BG73" s="13"/>
      <c r="BH73" s="81"/>
      <c r="BI73" s="12"/>
      <c r="BJ73" s="12"/>
      <c r="BK73" s="12"/>
      <c r="BL73" s="13"/>
      <c r="BM73" s="12"/>
      <c r="BN73" s="12"/>
      <c r="BO73" s="12"/>
      <c r="BP73" s="12"/>
      <c r="BQ73" s="13"/>
      <c r="BR73" s="12"/>
      <c r="BS73" s="12">
        <f>SUM(BS71:BS72)</f>
        <v>-5792</v>
      </c>
      <c r="BT73" s="12">
        <f>SUM(BT71:BT72)</f>
        <v>-4951</v>
      </c>
      <c r="BU73" s="12">
        <f>SUM(BU71:BU72)</f>
        <v>-4692</v>
      </c>
      <c r="BV73" s="13">
        <f>SUM(BV71:BV72)</f>
        <v>-15347</v>
      </c>
      <c r="BW73" s="12"/>
      <c r="BX73" s="12"/>
      <c r="BY73" s="12"/>
      <c r="BZ73" s="12"/>
      <c r="CA73" s="13"/>
      <c r="CB73" s="12"/>
      <c r="CC73" s="12"/>
      <c r="CD73" s="12"/>
      <c r="CE73" s="12"/>
      <c r="CF73" s="13"/>
      <c r="CG73" s="12"/>
      <c r="CH73" s="12"/>
      <c r="CI73" s="12"/>
      <c r="CJ73" s="12"/>
      <c r="CK73" s="13"/>
      <c r="CL73" s="12"/>
      <c r="CM73" s="12"/>
      <c r="CN73" s="12"/>
      <c r="CO73" s="12"/>
      <c r="CP73" s="13"/>
      <c r="CQ73" s="12"/>
      <c r="CR73" s="12"/>
      <c r="CS73" s="12"/>
      <c r="CT73" s="12"/>
      <c r="CU73" s="13"/>
      <c r="CV73" s="12"/>
      <c r="CW73" s="12"/>
      <c r="CX73" s="12"/>
      <c r="CY73" s="12"/>
      <c r="CZ73" s="205"/>
      <c r="DA73" s="205"/>
      <c r="DB73" s="205"/>
      <c r="DC73" s="205"/>
      <c r="DD73" s="205"/>
    </row>
    <row r="74" spans="1:117">
      <c r="A74" s="7"/>
      <c r="B74" s="8"/>
      <c r="C74" s="7"/>
      <c r="D74" s="9"/>
      <c r="E74" s="7"/>
      <c r="F74" s="7"/>
      <c r="G74" s="7"/>
      <c r="H74" s="7"/>
      <c r="I74" s="9"/>
      <c r="J74" s="7"/>
      <c r="K74" s="7"/>
      <c r="L74" s="7"/>
      <c r="M74" s="7"/>
      <c r="N74" s="9"/>
      <c r="O74" s="7"/>
      <c r="P74" s="7"/>
      <c r="Q74" s="7"/>
      <c r="R74" s="7"/>
      <c r="S74" s="9"/>
      <c r="T74" s="12"/>
      <c r="U74" s="7"/>
      <c r="V74" s="7"/>
      <c r="W74" s="7"/>
      <c r="X74" s="9"/>
      <c r="Y74" s="7"/>
      <c r="Z74" s="7"/>
      <c r="AA74" s="7"/>
      <c r="AB74" s="7"/>
      <c r="AC74" s="9"/>
      <c r="AD74" s="7"/>
      <c r="AE74" s="7"/>
      <c r="AF74" s="7"/>
      <c r="AG74" s="7"/>
      <c r="AH74" s="9"/>
      <c r="AI74" s="7"/>
      <c r="AJ74" s="7"/>
      <c r="AK74" s="7"/>
      <c r="AL74" s="7"/>
      <c r="AM74" s="9"/>
      <c r="AN74" s="7"/>
      <c r="AO74" s="7"/>
      <c r="AP74" s="7"/>
      <c r="AQ74" s="7"/>
      <c r="AR74" s="9"/>
      <c r="AS74" s="279"/>
      <c r="AT74" s="7"/>
      <c r="AU74" s="279"/>
      <c r="AV74" s="7"/>
      <c r="AW74" s="9"/>
      <c r="AX74" s="279"/>
      <c r="AY74" s="7"/>
      <c r="AZ74" s="279"/>
      <c r="BA74" s="7"/>
      <c r="BB74" s="9"/>
      <c r="BC74" s="279"/>
      <c r="BD74" s="7"/>
      <c r="BE74" s="7"/>
      <c r="BF74" s="7"/>
      <c r="BG74" s="9"/>
      <c r="BH74" s="279"/>
      <c r="BI74" s="7"/>
      <c r="BJ74" s="7"/>
      <c r="BK74" s="7"/>
      <c r="BL74" s="9"/>
      <c r="BM74" s="7"/>
      <c r="BN74" s="7"/>
      <c r="BO74" s="7"/>
      <c r="BP74" s="7"/>
      <c r="BQ74" s="9"/>
      <c r="BR74" s="7"/>
      <c r="BS74" s="7"/>
      <c r="BT74" s="21"/>
      <c r="BU74" s="7"/>
      <c r="BV74" s="9"/>
      <c r="BW74" s="7"/>
      <c r="BX74" s="7"/>
      <c r="BY74" s="7"/>
      <c r="BZ74" s="7"/>
      <c r="CA74" s="9"/>
      <c r="CB74" s="7"/>
      <c r="CC74" s="7"/>
      <c r="CD74" s="7"/>
      <c r="CE74" s="7"/>
      <c r="CF74" s="9"/>
      <c r="CG74" s="7"/>
      <c r="CH74" s="7"/>
      <c r="CI74" s="7"/>
      <c r="CJ74" s="7"/>
      <c r="CK74" s="9"/>
      <c r="CL74" s="7"/>
      <c r="CM74" s="7"/>
      <c r="CN74" s="7"/>
      <c r="CO74" s="7"/>
      <c r="CP74" s="9"/>
      <c r="CQ74" s="7"/>
      <c r="CR74" s="7"/>
      <c r="CS74" s="7"/>
      <c r="CT74" s="7"/>
      <c r="CU74" s="9"/>
      <c r="CV74" s="7"/>
      <c r="CW74" s="7"/>
      <c r="CX74" s="7"/>
      <c r="CY74" s="7"/>
      <c r="CZ74" s="205"/>
      <c r="DA74" s="378"/>
      <c r="DB74" s="205"/>
      <c r="DC74" s="205"/>
      <c r="DD74" s="205"/>
    </row>
    <row r="75" spans="1:117">
      <c r="A75" s="7"/>
      <c r="B75" s="8" t="s">
        <v>34</v>
      </c>
      <c r="C75" s="7"/>
      <c r="D75" s="20">
        <f>D81+'Cash Flows'!D8+'Income Statement'!D79-D69</f>
        <v>11211</v>
      </c>
      <c r="E75" s="21">
        <f>E81+'Cash Flows'!E8+'Income Statement'!E79-E69</f>
        <v>2936</v>
      </c>
      <c r="F75" s="21">
        <f>F81+'Cash Flows'!F8+'Income Statement'!F79-F69</f>
        <v>2985</v>
      </c>
      <c r="G75" s="21">
        <f>G81+'Cash Flows'!G8+'Income Statement'!G79-G69</f>
        <v>3068</v>
      </c>
      <c r="H75" s="21">
        <f>H81+'Cash Flows'!H8+'Income Statement'!H79-H69</f>
        <v>3622</v>
      </c>
      <c r="I75" s="20">
        <f>I81+'Cash Flows'!I8+'Income Statement'!I79-I69</f>
        <v>12611</v>
      </c>
      <c r="J75" s="21">
        <f>J81+'Cash Flows'!J8+'Income Statement'!J79-J69</f>
        <v>2346</v>
      </c>
      <c r="K75" s="21">
        <f>K81+'Cash Flows'!K8+'Income Statement'!K79-K69</f>
        <v>2450</v>
      </c>
      <c r="L75" s="21">
        <f>L81+'Cash Flows'!L8+'Income Statement'!L79-L69</f>
        <v>2372</v>
      </c>
      <c r="M75" s="21">
        <f>M81+'Cash Flows'!M8+'Income Statement'!M79-M69</f>
        <v>2459</v>
      </c>
      <c r="N75" s="20">
        <f>N81+'Cash Flows'!N8+'Income Statement'!N79-N69</f>
        <v>9627</v>
      </c>
      <c r="O75" s="21">
        <f>O81+'Cash Flows'!O8+'Income Statement'!O79-O69</f>
        <v>2691</v>
      </c>
      <c r="P75" s="21">
        <f>P81+'Cash Flows'!P8+'Income Statement'!P79-P69</f>
        <v>2758</v>
      </c>
      <c r="Q75" s="21">
        <f>Q81+'Cash Flows'!Q8+'Income Statement'!Q79-Q69</f>
        <v>3077</v>
      </c>
      <c r="R75" s="21">
        <f>R81+'Cash Flows'!R8+'Income Statement'!R79-R69</f>
        <v>3147</v>
      </c>
      <c r="S75" s="20">
        <f>S81+'Cash Flows'!S8+'Income Statement'!S79-S69</f>
        <v>11673</v>
      </c>
      <c r="T75" s="21">
        <f>T87+'Cash Flows'!T8+'Income Statement'!T85-T69+T60</f>
        <v>13861</v>
      </c>
      <c r="U75" s="21">
        <f>U87+'Cash Flows'!U8+'Income Statement'!U85-U69+U60</f>
        <v>13857</v>
      </c>
      <c r="V75" s="21">
        <f>V87+'Cash Flows'!V8+'Income Statement'!V85-V69+V60</f>
        <v>16439</v>
      </c>
      <c r="W75" s="21">
        <f>W87+'Cash Flows'!W8+'Income Statement'!W85-W69+W60</f>
        <v>18777</v>
      </c>
      <c r="X75" s="20">
        <f>X87+'Cash Flows'!X8+'Income Statement'!X85-X69+X60</f>
        <v>62934</v>
      </c>
      <c r="Y75" s="21">
        <f>Y87+'Cash Flows'!Y8+'Income Statement'!Y85-Y69+Y60</f>
        <v>14780</v>
      </c>
      <c r="Z75" s="21">
        <f>Z87+'Cash Flows'!Z8+'Income Statement'!Z85-Z69+Z60</f>
        <v>17401</v>
      </c>
      <c r="AA75" s="21">
        <f>AA87+'Cash Flows'!AA8+'Income Statement'!AA85-AA69+AA60</f>
        <v>23528</v>
      </c>
      <c r="AB75" s="21">
        <f>AB87+'Cash Flows'!AB8+'Income Statement'!AB85-AB69+AB60</f>
        <v>20345</v>
      </c>
      <c r="AC75" s="20">
        <f>AC87+'Cash Flows'!AC8+'Income Statement'!AC85-AC69+AC60</f>
        <v>76054</v>
      </c>
      <c r="AD75" s="21">
        <f>AD87+'Cash Flows'!AD8+'Income Statement'!AD85-AD69+AD60</f>
        <v>20239</v>
      </c>
      <c r="AE75" s="21">
        <f>AE87+'Cash Flows'!AE8+'Income Statement'!AE85-AE69+AE60</f>
        <v>21315</v>
      </c>
      <c r="AF75" s="21">
        <f>AF87+'Cash Flows'!AF8+'Income Statement'!AF85-AF69+AF60</f>
        <v>24717</v>
      </c>
      <c r="AG75" s="21">
        <f>AG87+'Cash Flows'!AG8+'Income Statement'!AG85-AG69+AG60</f>
        <v>26341</v>
      </c>
      <c r="AH75" s="20">
        <f>AH87+'Cash Flows'!AH8+'Income Statement'!AH85-AH69+AH60</f>
        <v>92612</v>
      </c>
      <c r="AI75" s="21">
        <f>AI87+'Cash Flows'!AI8+'Income Statement'!AI85-AI69+AI60</f>
        <v>26745</v>
      </c>
      <c r="AJ75" s="21">
        <f>AJ87+'Cash Flows'!AJ8+'Income Statement'!AJ85-AJ69+AJ60</f>
        <v>30570</v>
      </c>
      <c r="AK75" s="21">
        <f>AK87+'Cash Flows'!AK8+'Income Statement'!AK85-AK69+AK60</f>
        <v>34382</v>
      </c>
      <c r="AL75" s="21">
        <f>AL87+'Cash Flows'!AL8+'Income Statement'!AL85-AL69+AL60</f>
        <v>32707</v>
      </c>
      <c r="AM75" s="20">
        <f>AM87+'Cash Flows'!AM8+'Income Statement'!AM85-AM69+AM60</f>
        <v>124404</v>
      </c>
      <c r="AN75" s="21">
        <f>AN87+'Cash Flows'!AN8+'Income Statement'!AN85-AN69+AN60</f>
        <v>35406</v>
      </c>
      <c r="AO75" s="21">
        <f>AO87+'Cash Flows'!AO8+'Income Statement'!AO85-AO69+AO60</f>
        <v>38352</v>
      </c>
      <c r="AP75" s="21">
        <f>AP87+'Cash Flows'!AP8+'Income Statement'!AP85-AP69+AP60</f>
        <v>41504</v>
      </c>
      <c r="AQ75" s="21">
        <f>AQ87+'Cash Flows'!AQ8+'Income Statement'!AQ85-AQ69+AQ60</f>
        <v>34424</v>
      </c>
      <c r="AR75" s="20">
        <f>AR87+'Cash Flows'!AR8+'Income Statement'!AR85-AR69+AR60</f>
        <v>149686</v>
      </c>
      <c r="AS75" s="406">
        <f>AS87+'Cash Flows'!AS8+'Income Statement'!AS85-AS69+AS60</f>
        <v>46248</v>
      </c>
      <c r="AT75" s="21">
        <f>AT87+'Cash Flows'!AT8+'Income Statement'!AT85-AT69+AT60</f>
        <v>50255</v>
      </c>
      <c r="AU75" s="406">
        <f>'Cash Flows'!AU8+AU84-AU69+AU60</f>
        <v>57244</v>
      </c>
      <c r="AV75" s="406">
        <f>'Cash Flows'!AV8+AV84-AV69+AV60</f>
        <v>56609</v>
      </c>
      <c r="AW75" s="458">
        <f>'Cash Flows'!AW8+AW84-AW69+AW60</f>
        <v>210356</v>
      </c>
      <c r="AX75" s="406">
        <f>'Cash Flows'!AX8+AX84-AX69+AX60</f>
        <v>58117</v>
      </c>
      <c r="AY75" s="406">
        <f>'Cash Flows'!AY8+AY84-AY69+AY60</f>
        <v>59270</v>
      </c>
      <c r="AZ75" s="406">
        <f>'Cash Flows'!AZ8+AZ84-AZ69+AZ60</f>
        <v>67216</v>
      </c>
      <c r="BA75" s="406">
        <f>'Cash Flows'!BA8+BA84-BA69+BA60</f>
        <v>69400</v>
      </c>
      <c r="BB75" s="458">
        <f>'Cash Flows'!BB8+BB84-BB69+BB60</f>
        <v>254003</v>
      </c>
      <c r="BC75" s="406">
        <f>'Cash Flows'!BC8+BC84-BC69+BC60</f>
        <v>64426</v>
      </c>
      <c r="BD75" s="406">
        <f>'Cash Flows'!BD8+BD84-BD69+BD60</f>
        <v>66774</v>
      </c>
      <c r="BE75" s="406">
        <f>'Cash Flows'!BE8+BE84-BE69+BE60</f>
        <v>69564</v>
      </c>
      <c r="BF75" s="406">
        <f>'Cash Flows'!BF8+BF84-BF69+BF60</f>
        <v>71013</v>
      </c>
      <c r="BG75" s="458">
        <f>'Cash Flows'!BG8+BG84-BG69+BG60</f>
        <v>271777</v>
      </c>
      <c r="BH75" s="406">
        <f>'Cash Flows'!BH8+BH84-BH69+BH60-123+BH62+695+464</f>
        <v>69557</v>
      </c>
      <c r="BI75" s="406">
        <f>'Cash Flows'!BI8+BI84-BI69+BI60+BI62+160+245</f>
        <v>74083</v>
      </c>
      <c r="BJ75" s="406">
        <f>'Cash Flows'!BJ8+BJ84-BJ69+BJ60+BJ62+160</f>
        <v>77100</v>
      </c>
      <c r="BK75" s="406">
        <f>'Cash Flows'!BK8+BK84-BK69+BK60+BK62+170</f>
        <v>82188</v>
      </c>
      <c r="BL75" s="458">
        <f>SUM(BH75:BK75)</f>
        <v>302928</v>
      </c>
      <c r="BM75" s="21">
        <f>'Cash Flows'!BM8+BM84-BM69+BM62+'Cash Flows'!BM12-44+152+727</f>
        <v>72430</v>
      </c>
      <c r="BN75" s="406">
        <f>'Cash Flows'!BN8+BN84-BN69+BN60+BN62-455</f>
        <v>80694</v>
      </c>
      <c r="BO75" s="406">
        <f>'Cash Flows'!BO8+BO84-BO69+BO60+BO62+110</f>
        <v>88306</v>
      </c>
      <c r="BP75" s="406">
        <f>'Cash Flows'!BP8+BP84-BP69+BP60+BP62</f>
        <v>81868</v>
      </c>
      <c r="BQ75" s="458">
        <f>SUM(BM75:BP75)</f>
        <v>323298</v>
      </c>
      <c r="BR75" s="21">
        <f>'Cash Flows'!BR8+BR84-BR69+BR62+'Cash Flows'!BR12-44+152+727</f>
        <v>85956</v>
      </c>
      <c r="BS75" s="406">
        <f>'Cash Flows'!BS8+BS84-BS69+BS60+BS62+160</f>
        <v>104789</v>
      </c>
      <c r="BT75" s="406">
        <f>'Cash Flows'!BT8+BT84-BT69+BT60+BT62+2888-1133-461</f>
        <v>125022</v>
      </c>
      <c r="BU75" s="406">
        <f>'Cash Flows'!BU8+BU84-BU69+BU60+BU62+160</f>
        <v>111272</v>
      </c>
      <c r="BV75" s="458">
        <f>SUM(BR75:BU75)</f>
        <v>427039</v>
      </c>
      <c r="BW75" s="406">
        <f>'Cash Flows'!BW8+BW84-BW69+BW60+BW62+160</f>
        <v>119820</v>
      </c>
      <c r="BX75" s="406">
        <f>'Income Statement'!BX87+'Income Statement'!BX59+22681+1139+5066+'Income Statement'!BX85+BX60</f>
        <v>119049</v>
      </c>
      <c r="BY75" s="406">
        <f>'Cash Flows'!BY8+BY84-BY69+BY60+BY62</f>
        <v>129039</v>
      </c>
      <c r="BZ75" s="406">
        <f>'Cash Flows'!BZ8+BZ84-BZ69+BZ60+BZ62</f>
        <v>108839</v>
      </c>
      <c r="CA75" s="458">
        <f>SUM(BW75:BZ75)</f>
        <v>476747</v>
      </c>
      <c r="CB75" s="406">
        <f>CB87+CB59+18420+CB85+7673+CB60+22+1545</f>
        <v>112505</v>
      </c>
      <c r="CC75" s="406">
        <f>CC87+CC59+19359+5566+'Income Statement'!CC85+'Income Statement'!CC60+50</f>
        <v>125499</v>
      </c>
      <c r="CD75" s="406">
        <f>CD87+CD59+17420+6640+'Income Statement'!CD85+'Income Statement'!CD60+183+3812</f>
        <v>132476</v>
      </c>
      <c r="CE75" s="406">
        <v>117968</v>
      </c>
      <c r="CF75" s="458">
        <f>SUM(CB75:CE75)</f>
        <v>488448</v>
      </c>
      <c r="CG75" s="406">
        <v>134609</v>
      </c>
      <c r="CH75" s="406">
        <f>CH87+CH59+'Income Statement'!CH85+'Income Statement'!CH60+2+19620+1253+167</f>
        <v>143959</v>
      </c>
      <c r="CI75" s="406">
        <v>152410</v>
      </c>
      <c r="CJ75" s="406">
        <v>142765</v>
      </c>
      <c r="CK75" s="458">
        <f>SUM(CG75:CJ75)</f>
        <v>573743</v>
      </c>
      <c r="CL75" s="406">
        <f>SUM(CL87,CL59,20209,-CL69,-CL70,CL85,CL60,CL63)</f>
        <v>162302</v>
      </c>
      <c r="CM75" s="406">
        <f>SUM(CM87,CM59,'Cash Flows'!CM9,-CM69,-CM70,CM85,CM60,CM63)</f>
        <v>169299</v>
      </c>
      <c r="CN75" s="406">
        <f>SUM(CN87,CN59,'Cash Flows'!CN9,-CN69,-CN70,CN85,CN60,CN63)</f>
        <v>170019</v>
      </c>
      <c r="CO75" s="406">
        <f>SUM(CO87,CO59,'Cash Flows'!CO9,-CO69,-CO70,CO85,CO60,CO63)</f>
        <v>164241.03399999999</v>
      </c>
      <c r="CP75" s="458">
        <f>SUM(CL75:CO75)</f>
        <v>665861.03399999999</v>
      </c>
      <c r="CQ75" s="406">
        <f>SUM(CQ87,CQ59,'Cash Flows'!CQ9,-CQ69,-CQ70,CQ85,CQ60,CQ63)</f>
        <v>177566.79299000005</v>
      </c>
      <c r="CR75" s="406">
        <f>SUM(CR87,CR59,'Cash Flows'!CR9,-CR69,-CR70,CR85,CR60,CR63)</f>
        <v>185454.32141</v>
      </c>
      <c r="CS75" s="406">
        <f>SUM(CS87,CS59,'Cash Flows'!CS9,-CS69,-CS70,CS85,CS60,CS63)</f>
        <v>181453.53626500003</v>
      </c>
      <c r="CT75" s="406">
        <f>SUM(CT87,CT59,'Cash Flows'!CT9,-CT69,-CT70,CT85,CT60,CT63)</f>
        <v>182971.39349941001</v>
      </c>
      <c r="CU75" s="458">
        <f>SUM(CQ75:CT75)</f>
        <v>727446.04416441009</v>
      </c>
      <c r="CV75" s="406"/>
      <c r="CW75" s="406">
        <f>82188-BK75</f>
        <v>0</v>
      </c>
      <c r="CX75" s="406"/>
      <c r="CY75" s="406"/>
      <c r="CZ75" s="378"/>
      <c r="DA75" s="205"/>
      <c r="DB75" s="378"/>
      <c r="DC75" s="205"/>
      <c r="DD75" s="205"/>
    </row>
    <row r="76" spans="1:117" s="107" customFormat="1">
      <c r="A76" s="97"/>
      <c r="B76" s="98"/>
      <c r="C76" s="106" t="s">
        <v>35</v>
      </c>
      <c r="D76" s="108">
        <f t="shared" ref="D76:AI76" si="163">D75/D23</f>
        <v>5.1006387741360168E-2</v>
      </c>
      <c r="E76" s="106">
        <f t="shared" si="163"/>
        <v>4.9468416707384881E-2</v>
      </c>
      <c r="F76" s="106">
        <f t="shared" si="163"/>
        <v>4.4177063446254938E-2</v>
      </c>
      <c r="G76" s="106">
        <f t="shared" si="163"/>
        <v>4.469892332124073E-2</v>
      </c>
      <c r="H76" s="106">
        <f t="shared" si="163"/>
        <v>5.2082135051190616E-2</v>
      </c>
      <c r="I76" s="108">
        <f t="shared" si="163"/>
        <v>4.7570548583370113E-2</v>
      </c>
      <c r="J76" s="106">
        <f t="shared" si="163"/>
        <v>3.3723855387048085E-2</v>
      </c>
      <c r="K76" s="106">
        <f t="shared" si="163"/>
        <v>3.3946682924125698E-2</v>
      </c>
      <c r="L76" s="106">
        <f t="shared" si="163"/>
        <v>3.1910886293924558E-2</v>
      </c>
      <c r="M76" s="106">
        <f t="shared" si="163"/>
        <v>3.3132570704825039E-2</v>
      </c>
      <c r="N76" s="108">
        <f t="shared" si="163"/>
        <v>3.3163845311175874E-2</v>
      </c>
      <c r="O76" s="106">
        <f t="shared" si="163"/>
        <v>3.8541965052993413E-2</v>
      </c>
      <c r="P76" s="106">
        <f t="shared" si="163"/>
        <v>3.7988980716253444E-2</v>
      </c>
      <c r="Q76" s="106">
        <f t="shared" si="163"/>
        <v>4.1711287939378332E-2</v>
      </c>
      <c r="R76" s="106">
        <f t="shared" si="163"/>
        <v>4.3443448970858237E-2</v>
      </c>
      <c r="S76" s="108">
        <f t="shared" si="163"/>
        <v>4.0443061657219677E-2</v>
      </c>
      <c r="T76" s="106">
        <f t="shared" si="163"/>
        <v>0.18885997302195032</v>
      </c>
      <c r="U76" s="106">
        <f t="shared" si="163"/>
        <v>0.18058252427184465</v>
      </c>
      <c r="V76" s="106">
        <f t="shared" si="163"/>
        <v>0.21298455638474295</v>
      </c>
      <c r="W76" s="106">
        <f t="shared" si="163"/>
        <v>0.22876740701031933</v>
      </c>
      <c r="X76" s="108">
        <f t="shared" si="163"/>
        <v>0.20341251038330138</v>
      </c>
      <c r="Y76" s="106">
        <f t="shared" si="163"/>
        <v>0.17866856859640004</v>
      </c>
      <c r="Z76" s="106">
        <f t="shared" si="163"/>
        <v>0.19044961036686806</v>
      </c>
      <c r="AA76" s="106">
        <f t="shared" si="163"/>
        <v>0.25071127923703979</v>
      </c>
      <c r="AB76" s="106">
        <f t="shared" si="163"/>
        <v>0.21333151581243184</v>
      </c>
      <c r="AC76" s="108">
        <f t="shared" si="163"/>
        <v>0.20933983661066213</v>
      </c>
      <c r="AD76" s="106">
        <f t="shared" si="163"/>
        <v>0.21126525329074416</v>
      </c>
      <c r="AE76" s="106">
        <f t="shared" si="163"/>
        <v>0.20676509390035697</v>
      </c>
      <c r="AF76" s="106">
        <f t="shared" si="163"/>
        <v>0.23095467244746359</v>
      </c>
      <c r="AG76" s="106">
        <f t="shared" si="163"/>
        <v>0.23787420418115321</v>
      </c>
      <c r="AH76" s="108">
        <f t="shared" si="163"/>
        <v>0.22228142558497321</v>
      </c>
      <c r="AI76" s="106">
        <f t="shared" si="163"/>
        <v>0.23746736987906877</v>
      </c>
      <c r="AJ76" s="106">
        <f t="shared" ref="AJ76:BO76" si="164">AJ75/AJ23</f>
        <v>0.24579684974793159</v>
      </c>
      <c r="AK76" s="106">
        <f t="shared" si="164"/>
        <v>0.26722315488403903</v>
      </c>
      <c r="AL76" s="106">
        <f t="shared" si="164"/>
        <v>0.2566462649089768</v>
      </c>
      <c r="AM76" s="108">
        <f t="shared" si="164"/>
        <v>0.25228908479195944</v>
      </c>
      <c r="AN76" s="106">
        <f t="shared" si="164"/>
        <v>0.26233273565194198</v>
      </c>
      <c r="AO76" s="106">
        <f t="shared" si="164"/>
        <v>0.26215523428688609</v>
      </c>
      <c r="AP76" s="106">
        <f t="shared" si="164"/>
        <v>0.27514335907719845</v>
      </c>
      <c r="AQ76" s="106">
        <f t="shared" si="164"/>
        <v>0.2123116585152246</v>
      </c>
      <c r="AR76" s="108">
        <f t="shared" si="164"/>
        <v>0.2518927378438186</v>
      </c>
      <c r="AS76" s="104">
        <f t="shared" si="164"/>
        <v>0.25000540575604902</v>
      </c>
      <c r="AT76" s="106">
        <f t="shared" si="164"/>
        <v>0.25938198390701372</v>
      </c>
      <c r="AU76" s="104">
        <f t="shared" si="164"/>
        <v>0.28946636528669023</v>
      </c>
      <c r="AV76" s="106">
        <f t="shared" si="164"/>
        <v>0.29021921909605447</v>
      </c>
      <c r="AW76" s="108">
        <f t="shared" si="164"/>
        <v>0.27264078802410729</v>
      </c>
      <c r="AX76" s="104">
        <f t="shared" si="164"/>
        <v>0.29079291693560894</v>
      </c>
      <c r="AY76" s="104">
        <f t="shared" si="164"/>
        <v>0.28302247180280588</v>
      </c>
      <c r="AZ76" s="104">
        <f t="shared" si="164"/>
        <v>0.31349576508339239</v>
      </c>
      <c r="BA76" s="104">
        <f t="shared" si="164"/>
        <v>0.31822308630540247</v>
      </c>
      <c r="BB76" s="108">
        <f t="shared" si="164"/>
        <v>0.30174905466939267</v>
      </c>
      <c r="BC76" s="104">
        <f t="shared" si="164"/>
        <v>0.29101339295796913</v>
      </c>
      <c r="BD76" s="106">
        <f t="shared" si="164"/>
        <v>0.28089112492743623</v>
      </c>
      <c r="BE76" s="106">
        <f t="shared" si="164"/>
        <v>0.29281721443965519</v>
      </c>
      <c r="BF76" s="106">
        <f t="shared" si="164"/>
        <v>0.29219488711409564</v>
      </c>
      <c r="BG76" s="108">
        <f t="shared" si="164"/>
        <v>0.28921430912581353</v>
      </c>
      <c r="BH76" s="104">
        <f t="shared" si="164"/>
        <v>0.27961151779002502</v>
      </c>
      <c r="BI76" s="106">
        <f t="shared" si="164"/>
        <v>0.26650382580104398</v>
      </c>
      <c r="BJ76" s="106">
        <f t="shared" si="164"/>
        <v>0.2781515727649565</v>
      </c>
      <c r="BK76" s="106">
        <f t="shared" si="164"/>
        <v>0.28594589893015571</v>
      </c>
      <c r="BL76" s="108">
        <f t="shared" si="164"/>
        <v>0.27757028870506051</v>
      </c>
      <c r="BM76" s="106">
        <f t="shared" si="164"/>
        <v>0.26168798323578291</v>
      </c>
      <c r="BN76" s="106">
        <f t="shared" si="164"/>
        <v>0.2974027840739471</v>
      </c>
      <c r="BO76" s="106">
        <f t="shared" si="164"/>
        <v>0.30883026680702391</v>
      </c>
      <c r="BP76" s="106">
        <f t="shared" ref="BP76:CK76" si="165">BP75/BP23</f>
        <v>0.28886975667588777</v>
      </c>
      <c r="BQ76" s="108">
        <f t="shared" si="165"/>
        <v>0.28931660721604646</v>
      </c>
      <c r="BR76" s="106">
        <f t="shared" si="165"/>
        <v>0.29157197033941423</v>
      </c>
      <c r="BS76" s="106">
        <f t="shared" si="165"/>
        <v>0.25850657312088177</v>
      </c>
      <c r="BT76" s="106">
        <f t="shared" si="165"/>
        <v>0.27141877105839035</v>
      </c>
      <c r="BU76" s="106">
        <f t="shared" si="165"/>
        <v>0.25628316627358488</v>
      </c>
      <c r="BV76" s="108">
        <f t="shared" si="165"/>
        <v>0.26774192537140312</v>
      </c>
      <c r="BW76" s="106">
        <f t="shared" si="165"/>
        <v>0.26270093925122995</v>
      </c>
      <c r="BX76" s="106">
        <f t="shared" si="165"/>
        <v>0.2540064222238817</v>
      </c>
      <c r="BY76" s="106">
        <f t="shared" si="165"/>
        <v>0.2726996075580474</v>
      </c>
      <c r="BZ76" s="106">
        <f t="shared" si="165"/>
        <v>0.24067710406439344</v>
      </c>
      <c r="CA76" s="108">
        <f t="shared" si="165"/>
        <v>0.25767266744640049</v>
      </c>
      <c r="CB76" s="106">
        <f t="shared" si="165"/>
        <v>0.23843230836722454</v>
      </c>
      <c r="CC76" s="106">
        <f t="shared" si="165"/>
        <v>0.24886818606366715</v>
      </c>
      <c r="CD76" s="106">
        <f t="shared" si="165"/>
        <v>0.26779924153601087</v>
      </c>
      <c r="CE76" s="106">
        <f t="shared" si="165"/>
        <v>0.24528886439955502</v>
      </c>
      <c r="CF76" s="108">
        <f t="shared" si="165"/>
        <v>0.25026143191421446</v>
      </c>
      <c r="CG76" s="106">
        <f t="shared" si="165"/>
        <v>0.26272398845340866</v>
      </c>
      <c r="CH76" s="106">
        <f>CH75/CH23</f>
        <v>0.2661097719677028</v>
      </c>
      <c r="CI76" s="106">
        <f>CI75/CI23</f>
        <v>0.28050730945987479</v>
      </c>
      <c r="CJ76" s="106">
        <f t="shared" ref="CJ76" si="166">CJ75/CJ23</f>
        <v>0.26382705851263372</v>
      </c>
      <c r="CK76" s="108">
        <f t="shared" si="165"/>
        <v>0.26837973377341129</v>
      </c>
      <c r="CL76" s="106">
        <f t="shared" ref="CL76" si="167">CL75/CL23</f>
        <v>0.28717631134270521</v>
      </c>
      <c r="CM76" s="106">
        <f t="shared" ref="CM76:CU76" si="168">CM75/CM23</f>
        <v>0.28400297257082086</v>
      </c>
      <c r="CN76" s="106">
        <f t="shared" ref="CN76:CO76" si="169">CN75/CN23</f>
        <v>0.28532470518343489</v>
      </c>
      <c r="CO76" s="106">
        <f t="shared" si="169"/>
        <v>0.27830009003995021</v>
      </c>
      <c r="CP76" s="108">
        <f t="shared" si="168"/>
        <v>0.28366874053133079</v>
      </c>
      <c r="CQ76" s="106">
        <f t="shared" si="168"/>
        <v>0.29179778534676709</v>
      </c>
      <c r="CR76" s="106">
        <f t="shared" si="168"/>
        <v>0.28577429215573014</v>
      </c>
      <c r="CS76" s="106">
        <f t="shared" si="168"/>
        <v>0.28485456352764055</v>
      </c>
      <c r="CT76" s="106">
        <f t="shared" si="168"/>
        <v>0.28706392932250052</v>
      </c>
      <c r="CU76" s="108">
        <f t="shared" si="168"/>
        <v>0.28731528009690127</v>
      </c>
      <c r="CV76" s="106"/>
      <c r="CW76" s="106"/>
      <c r="CX76" s="106"/>
      <c r="CY76" s="106"/>
      <c r="CZ76" s="379"/>
      <c r="DA76" s="205"/>
      <c r="DB76" s="379"/>
      <c r="DC76" s="205"/>
      <c r="DD76" s="205"/>
      <c r="DE76" s="67"/>
      <c r="DF76" s="67"/>
      <c r="DG76" s="67"/>
      <c r="DH76" s="67"/>
      <c r="DI76" s="67"/>
      <c r="DJ76" s="67"/>
      <c r="DK76" s="67"/>
      <c r="DL76" s="67"/>
      <c r="DM76" s="67"/>
    </row>
    <row r="77" spans="1:117">
      <c r="A77" s="7"/>
      <c r="B77" s="8"/>
      <c r="C77" s="7"/>
      <c r="D77" s="9"/>
      <c r="E77" s="7"/>
      <c r="F77" s="7"/>
      <c r="G77" s="7"/>
      <c r="H77" s="7"/>
      <c r="I77" s="9"/>
      <c r="J77" s="7"/>
      <c r="K77" s="7"/>
      <c r="L77" s="7"/>
      <c r="M77" s="7"/>
      <c r="N77" s="9"/>
      <c r="O77" s="7"/>
      <c r="P77" s="7"/>
      <c r="Q77" s="7"/>
      <c r="R77" s="7"/>
      <c r="S77" s="9"/>
      <c r="T77" s="12"/>
      <c r="U77" s="7"/>
      <c r="V77" s="7"/>
      <c r="W77" s="7"/>
      <c r="X77" s="9"/>
      <c r="Y77" s="7"/>
      <c r="Z77" s="7"/>
      <c r="AA77" s="7"/>
      <c r="AB77" s="7"/>
      <c r="AC77" s="9"/>
      <c r="AD77" s="7"/>
      <c r="AE77" s="7"/>
      <c r="AF77" s="7"/>
      <c r="AG77" s="7"/>
      <c r="AH77" s="9"/>
      <c r="AI77" s="7"/>
      <c r="AJ77" s="7"/>
      <c r="AK77" s="7"/>
      <c r="AL77" s="7"/>
      <c r="AM77" s="9"/>
      <c r="AN77" s="7"/>
      <c r="AO77" s="7"/>
      <c r="AP77" s="7"/>
      <c r="AQ77" s="7"/>
      <c r="AR77" s="9"/>
      <c r="AS77" s="279"/>
      <c r="AT77" s="7"/>
      <c r="AU77" s="279"/>
      <c r="AV77" s="7"/>
      <c r="AW77" s="9"/>
      <c r="AX77" s="406"/>
      <c r="AY77" s="279"/>
      <c r="AZ77" s="279"/>
      <c r="BA77" s="279"/>
      <c r="BB77" s="9"/>
      <c r="BC77" s="279"/>
      <c r="BD77" s="7"/>
      <c r="BE77" s="7"/>
      <c r="BF77" s="7"/>
      <c r="BG77" s="9"/>
      <c r="BH77" s="406"/>
      <c r="BI77" s="7"/>
      <c r="BJ77" s="21"/>
      <c r="BK77" s="7"/>
      <c r="BL77" s="9"/>
      <c r="BM77" s="21"/>
      <c r="BN77" s="7"/>
      <c r="BO77" s="7"/>
      <c r="BP77" s="7"/>
      <c r="BQ77" s="9"/>
      <c r="BR77" s="21"/>
      <c r="BS77" s="7"/>
      <c r="BT77" s="7"/>
      <c r="BU77" s="7"/>
      <c r="BV77" s="9"/>
      <c r="BW77" s="7"/>
      <c r="BX77" s="7"/>
      <c r="BY77" s="7"/>
      <c r="BZ77" s="7"/>
      <c r="CA77" s="9"/>
      <c r="CB77" s="7"/>
      <c r="CC77" s="7"/>
      <c r="CD77" s="7"/>
      <c r="CE77" s="7"/>
      <c r="CF77" s="9"/>
      <c r="CG77" s="7"/>
      <c r="CH77" s="7"/>
      <c r="CI77" s="7"/>
      <c r="CJ77" s="7"/>
      <c r="CK77" s="9"/>
      <c r="CL77" s="7"/>
      <c r="CM77" s="7"/>
      <c r="CN77" s="7"/>
      <c r="CO77" s="7"/>
      <c r="CP77" s="9"/>
      <c r="CQ77" s="7"/>
      <c r="CR77" s="7"/>
      <c r="CS77" s="7"/>
      <c r="CT77" s="7"/>
      <c r="CU77" s="9"/>
      <c r="CV77" s="7"/>
      <c r="CW77" s="7"/>
      <c r="CX77" s="7"/>
      <c r="CY77" s="7"/>
      <c r="CZ77" s="205"/>
      <c r="DA77" s="205"/>
      <c r="DB77" s="205"/>
      <c r="DC77" s="378"/>
      <c r="DD77" s="205"/>
      <c r="DF77" s="107"/>
      <c r="DG77" s="107"/>
      <c r="DH77" s="107"/>
      <c r="DI77" s="107"/>
      <c r="DJ77" s="107"/>
      <c r="DK77" s="107"/>
      <c r="DL77" s="107"/>
      <c r="DM77" s="107"/>
    </row>
    <row r="78" spans="1:117">
      <c r="A78" s="7"/>
      <c r="B78" s="8" t="s">
        <v>425</v>
      </c>
      <c r="C78" s="7"/>
      <c r="D78" s="20"/>
      <c r="E78" s="21"/>
      <c r="F78" s="21"/>
      <c r="G78" s="21"/>
      <c r="H78" s="21"/>
      <c r="I78" s="20"/>
      <c r="J78" s="21"/>
      <c r="K78" s="21"/>
      <c r="L78" s="21"/>
      <c r="M78" s="21"/>
      <c r="N78" s="20"/>
      <c r="O78" s="21"/>
      <c r="P78" s="21"/>
      <c r="Q78" s="21"/>
      <c r="R78" s="21"/>
      <c r="S78" s="20"/>
      <c r="T78" s="12">
        <f t="shared" ref="T78:AY78" si="170">T54+T71</f>
        <v>12031</v>
      </c>
      <c r="U78" s="21">
        <f t="shared" si="170"/>
        <v>11875</v>
      </c>
      <c r="V78" s="21">
        <f t="shared" si="170"/>
        <v>14478</v>
      </c>
      <c r="W78" s="21">
        <f t="shared" si="170"/>
        <v>16438</v>
      </c>
      <c r="X78" s="20">
        <f t="shared" si="170"/>
        <v>54822</v>
      </c>
      <c r="Y78" s="21">
        <f t="shared" si="170"/>
        <v>12532</v>
      </c>
      <c r="Z78" s="21">
        <f t="shared" si="170"/>
        <v>15069</v>
      </c>
      <c r="AA78" s="21">
        <f t="shared" si="170"/>
        <v>21294</v>
      </c>
      <c r="AB78" s="21">
        <f t="shared" si="170"/>
        <v>18551</v>
      </c>
      <c r="AC78" s="20">
        <f t="shared" si="170"/>
        <v>67446</v>
      </c>
      <c r="AD78" s="21">
        <f t="shared" si="170"/>
        <v>18387</v>
      </c>
      <c r="AE78" s="21">
        <f t="shared" si="170"/>
        <v>19607</v>
      </c>
      <c r="AF78" s="21">
        <f t="shared" si="170"/>
        <v>22785</v>
      </c>
      <c r="AG78" s="21">
        <f t="shared" si="170"/>
        <v>24270</v>
      </c>
      <c r="AH78" s="20">
        <f t="shared" si="170"/>
        <v>85049</v>
      </c>
      <c r="AI78" s="21">
        <f t="shared" si="170"/>
        <v>24699</v>
      </c>
      <c r="AJ78" s="21">
        <f t="shared" si="170"/>
        <v>28517</v>
      </c>
      <c r="AK78" s="21">
        <f t="shared" si="170"/>
        <v>32311</v>
      </c>
      <c r="AL78" s="21">
        <f t="shared" si="170"/>
        <v>30676</v>
      </c>
      <c r="AM78" s="20">
        <f t="shared" si="170"/>
        <v>116203</v>
      </c>
      <c r="AN78" s="21">
        <f t="shared" si="170"/>
        <v>33301</v>
      </c>
      <c r="AO78" s="21">
        <f t="shared" si="170"/>
        <v>36188</v>
      </c>
      <c r="AP78" s="21">
        <f t="shared" si="170"/>
        <v>39578</v>
      </c>
      <c r="AQ78" s="21">
        <f t="shared" si="170"/>
        <v>40488</v>
      </c>
      <c r="AR78" s="20">
        <f t="shared" si="170"/>
        <v>149555</v>
      </c>
      <c r="AS78" s="406">
        <f t="shared" si="170"/>
        <v>48588</v>
      </c>
      <c r="AT78" s="21">
        <f t="shared" si="170"/>
        <v>51491</v>
      </c>
      <c r="AU78" s="406">
        <f t="shared" si="170"/>
        <v>56889</v>
      </c>
      <c r="AV78" s="21">
        <f t="shared" si="170"/>
        <v>54560</v>
      </c>
      <c r="AW78" s="20">
        <f t="shared" si="170"/>
        <v>211528</v>
      </c>
      <c r="AX78" s="406">
        <f t="shared" si="170"/>
        <v>54201</v>
      </c>
      <c r="AY78" s="406">
        <f t="shared" si="170"/>
        <v>55121</v>
      </c>
      <c r="AZ78" s="406">
        <f t="shared" ref="AZ78:BR78" si="171">AZ54+AZ71</f>
        <v>62713</v>
      </c>
      <c r="BA78" s="406">
        <f t="shared" si="171"/>
        <v>64748</v>
      </c>
      <c r="BB78" s="20">
        <f t="shared" si="171"/>
        <v>236783</v>
      </c>
      <c r="BC78" s="406">
        <f t="shared" si="171"/>
        <v>59222</v>
      </c>
      <c r="BD78" s="21">
        <f t="shared" si="171"/>
        <v>62664</v>
      </c>
      <c r="BE78" s="21">
        <f t="shared" si="171"/>
        <v>65370</v>
      </c>
      <c r="BF78" s="21">
        <f t="shared" si="171"/>
        <v>66381</v>
      </c>
      <c r="BG78" s="20">
        <f t="shared" si="171"/>
        <v>253637</v>
      </c>
      <c r="BH78" s="406">
        <f t="shared" si="171"/>
        <v>63540</v>
      </c>
      <c r="BI78" s="21">
        <f t="shared" si="171"/>
        <v>68149</v>
      </c>
      <c r="BJ78" s="21">
        <f t="shared" si="171"/>
        <v>71473</v>
      </c>
      <c r="BK78" s="21">
        <f t="shared" si="171"/>
        <v>76546</v>
      </c>
      <c r="BL78" s="20">
        <f t="shared" si="171"/>
        <v>279708</v>
      </c>
      <c r="BM78" s="21">
        <f t="shared" si="171"/>
        <v>67033</v>
      </c>
      <c r="BN78" s="21">
        <f t="shared" si="171"/>
        <v>74340</v>
      </c>
      <c r="BO78" s="21">
        <f t="shared" si="171"/>
        <v>81289</v>
      </c>
      <c r="BP78" s="21">
        <f t="shared" si="171"/>
        <v>75998</v>
      </c>
      <c r="BQ78" s="20">
        <f t="shared" si="171"/>
        <v>298660</v>
      </c>
      <c r="BR78" s="21">
        <f t="shared" si="171"/>
        <v>78977</v>
      </c>
      <c r="BS78" s="21">
        <f>BS54+BS73</f>
        <v>101614</v>
      </c>
      <c r="BT78" s="21">
        <f>BT54+BT73</f>
        <v>111812</v>
      </c>
      <c r="BU78" s="21">
        <f>BU54+BU73</f>
        <v>97770</v>
      </c>
      <c r="BV78" s="20">
        <f>BV54+BV73</f>
        <v>390173</v>
      </c>
      <c r="BW78" s="21">
        <f t="shared" ref="BW78:CP78" si="172">BW54+BW71</f>
        <v>106385</v>
      </c>
      <c r="BX78" s="21">
        <f t="shared" si="172"/>
        <v>104600</v>
      </c>
      <c r="BY78" s="21">
        <f t="shared" si="172"/>
        <v>108688</v>
      </c>
      <c r="BZ78" s="21">
        <f t="shared" si="172"/>
        <v>90786</v>
      </c>
      <c r="CA78" s="20">
        <f t="shared" si="172"/>
        <v>410459</v>
      </c>
      <c r="CB78" s="21">
        <f t="shared" si="172"/>
        <v>95811</v>
      </c>
      <c r="CC78" s="21">
        <f t="shared" si="172"/>
        <v>110167</v>
      </c>
      <c r="CD78" s="21">
        <f t="shared" si="172"/>
        <v>117494</v>
      </c>
      <c r="CE78" s="21">
        <f t="shared" si="172"/>
        <v>104298</v>
      </c>
      <c r="CF78" s="20">
        <f t="shared" si="172"/>
        <v>427770</v>
      </c>
      <c r="CG78" s="21">
        <f t="shared" si="172"/>
        <v>121368</v>
      </c>
      <c r="CH78" s="21">
        <f>CH54+CH71</f>
        <v>133199</v>
      </c>
      <c r="CI78" s="21">
        <f>CI54+CI71</f>
        <v>141037</v>
      </c>
      <c r="CJ78" s="21">
        <f t="shared" ref="CJ78" si="173">CJ54+CJ71</f>
        <v>136852</v>
      </c>
      <c r="CK78" s="20">
        <f t="shared" si="172"/>
        <v>532456</v>
      </c>
      <c r="CL78" s="21">
        <f>CL54+CL71</f>
        <v>157504</v>
      </c>
      <c r="CM78" s="21">
        <f t="shared" si="172"/>
        <v>165046</v>
      </c>
      <c r="CN78" s="21">
        <f t="shared" ref="CN78:CO78" si="174">CN54+CN71</f>
        <v>168228</v>
      </c>
      <c r="CO78" s="21">
        <f t="shared" si="174"/>
        <v>163494.03399999999</v>
      </c>
      <c r="CP78" s="20">
        <f t="shared" si="172"/>
        <v>654272.03399999999</v>
      </c>
      <c r="CQ78" s="21">
        <f t="shared" ref="CQ78:CU78" si="175">CQ54+CQ71</f>
        <v>170839.94299000004</v>
      </c>
      <c r="CR78" s="21">
        <f t="shared" si="175"/>
        <v>182872.71090999999</v>
      </c>
      <c r="CS78" s="21">
        <f t="shared" si="175"/>
        <v>180260.13850000003</v>
      </c>
      <c r="CT78" s="21">
        <f t="shared" si="175"/>
        <v>183069.03357796001</v>
      </c>
      <c r="CU78" s="20">
        <f t="shared" si="175"/>
        <v>717041.8259779599</v>
      </c>
      <c r="CV78" s="21"/>
      <c r="CW78" s="21"/>
      <c r="CX78" s="21"/>
      <c r="CY78" s="21"/>
      <c r="CZ78" s="21"/>
      <c r="DA78" s="21"/>
      <c r="DB78" s="21"/>
      <c r="DC78" s="379"/>
      <c r="DD78" s="204"/>
      <c r="DE78" s="107"/>
    </row>
    <row r="79" spans="1:117">
      <c r="A79" s="10"/>
      <c r="B79" s="11"/>
      <c r="C79" s="12" t="s">
        <v>36</v>
      </c>
      <c r="D79" s="13"/>
      <c r="E79" s="12"/>
      <c r="F79" s="12"/>
      <c r="G79" s="12"/>
      <c r="H79" s="12"/>
      <c r="I79" s="13"/>
      <c r="J79" s="12"/>
      <c r="K79" s="12"/>
      <c r="L79" s="12"/>
      <c r="M79" s="12"/>
      <c r="N79" s="13"/>
      <c r="O79" s="12"/>
      <c r="P79" s="12"/>
      <c r="Q79" s="35"/>
      <c r="R79" s="35"/>
      <c r="S79" s="38"/>
      <c r="T79" s="12">
        <f>3754+744</f>
        <v>4498</v>
      </c>
      <c r="U79" s="12">
        <f>3685+761</f>
        <v>4446</v>
      </c>
      <c r="V79" s="12">
        <f>4312+700</f>
        <v>5012</v>
      </c>
      <c r="W79" s="12">
        <f>4805+882</f>
        <v>5687</v>
      </c>
      <c r="X79" s="13">
        <f>SUM(T79:W79)</f>
        <v>19643</v>
      </c>
      <c r="Y79" s="12">
        <f>3660+932</f>
        <v>4592</v>
      </c>
      <c r="Z79" s="35">
        <f>4577+1015</f>
        <v>5592</v>
      </c>
      <c r="AA79" s="12">
        <f>6978+1150</f>
        <v>8128</v>
      </c>
      <c r="AB79" s="81">
        <f>5659+1101</f>
        <v>6760</v>
      </c>
      <c r="AC79" s="13">
        <f>SUM(Y79:AB79)</f>
        <v>25072</v>
      </c>
      <c r="AD79" s="81">
        <f>5639+1279</f>
        <v>6918</v>
      </c>
      <c r="AE79" s="81">
        <f>6006+1375</f>
        <v>7381</v>
      </c>
      <c r="AF79" s="12">
        <f>6523+1590</f>
        <v>8113</v>
      </c>
      <c r="AG79" s="81">
        <f>8550+1770</f>
        <v>10320</v>
      </c>
      <c r="AH79" s="13">
        <f>SUM(AD79:AG79)</f>
        <v>32732</v>
      </c>
      <c r="AI79" s="81">
        <f>7720+1540</f>
        <v>9260</v>
      </c>
      <c r="AJ79" s="81">
        <f>8666+1485</f>
        <v>10151</v>
      </c>
      <c r="AK79" s="81">
        <f>9698+1661</f>
        <v>11359</v>
      </c>
      <c r="AL79" s="81">
        <f>9443+1972</f>
        <v>11415</v>
      </c>
      <c r="AM79" s="13">
        <f>SUM(AI79:AL79)</f>
        <v>42185</v>
      </c>
      <c r="AN79" s="12">
        <f>10086+1866</f>
        <v>11952</v>
      </c>
      <c r="AO79" s="12">
        <f>10945+1947</f>
        <v>12892</v>
      </c>
      <c r="AP79" s="81">
        <f>11602+2334</f>
        <v>13936</v>
      </c>
      <c r="AQ79" s="81">
        <f>10922+7171</f>
        <v>18093</v>
      </c>
      <c r="AR79" s="13">
        <f>SUM(AN79:AQ79)</f>
        <v>56873</v>
      </c>
      <c r="AS79" s="81">
        <f>10495+6819</f>
        <v>17314</v>
      </c>
      <c r="AT79" s="81">
        <f>11323+6944</f>
        <v>18267</v>
      </c>
      <c r="AU79" s="81">
        <f>14155+6613</f>
        <v>20768</v>
      </c>
      <c r="AV79" s="81">
        <f>3923+15408</f>
        <v>19331</v>
      </c>
      <c r="AW79" s="13">
        <f>SUM(AS79:AV79)</f>
        <v>75680</v>
      </c>
      <c r="AX79" s="81">
        <f>3653+15589</f>
        <v>19242</v>
      </c>
      <c r="AY79" s="81">
        <f>5396+14172</f>
        <v>19568</v>
      </c>
      <c r="AZ79" s="81">
        <f>5259+16144</f>
        <v>21403</v>
      </c>
      <c r="BA79" s="81">
        <f>-16625+39287</f>
        <v>22662</v>
      </c>
      <c r="BB79" s="13">
        <f>SUM(AX79:BA79)</f>
        <v>82875</v>
      </c>
      <c r="BC79" s="81">
        <f>1612+12601</f>
        <v>14213</v>
      </c>
      <c r="BD79" s="81">
        <f>-1461+16500</f>
        <v>15039</v>
      </c>
      <c r="BE79" s="81">
        <f>-298+15987</f>
        <v>15689</v>
      </c>
      <c r="BF79" s="81">
        <f>BF85+7376</f>
        <v>15931</v>
      </c>
      <c r="BG79" s="13">
        <f>SUM(BC79:BF79)</f>
        <v>60872</v>
      </c>
      <c r="BH79" s="81">
        <f>7521+7729</f>
        <v>15250</v>
      </c>
      <c r="BI79" s="81">
        <f>BI85+11935</f>
        <v>16355</v>
      </c>
      <c r="BJ79" s="81">
        <f>BJ85+16992</f>
        <v>17154</v>
      </c>
      <c r="BK79" s="12">
        <f>BK85+17371</f>
        <v>18371</v>
      </c>
      <c r="BL79" s="13">
        <f>SUM(BH79:BK79)</f>
        <v>67130</v>
      </c>
      <c r="BM79" s="12">
        <f>-12667+28932</f>
        <v>16265</v>
      </c>
      <c r="BN79" s="81">
        <f>-12081+30103</f>
        <v>18022</v>
      </c>
      <c r="BO79" s="81">
        <f>BO85+9038</f>
        <v>19690</v>
      </c>
      <c r="BP79" s="81">
        <f>BP85+24102</f>
        <v>18420</v>
      </c>
      <c r="BQ79" s="13">
        <f>SUM(BM79:BP79)</f>
        <v>72397</v>
      </c>
      <c r="BR79" s="81">
        <f>BR85+17634</f>
        <v>18954</v>
      </c>
      <c r="BS79" s="81">
        <f>BS85+23826</f>
        <v>24388</v>
      </c>
      <c r="BT79" s="81">
        <f>BT85+19772</f>
        <v>26835</v>
      </c>
      <c r="BU79" s="81">
        <v>23465</v>
      </c>
      <c r="BV79" s="13">
        <f>SUM(BR79:BU79)</f>
        <v>93642</v>
      </c>
      <c r="BW79" s="81">
        <f>BW85+14088</f>
        <v>25532</v>
      </c>
      <c r="BX79" s="81">
        <f>BX85+14290</f>
        <v>25103</v>
      </c>
      <c r="BY79" s="81">
        <f>BY85+22737</f>
        <v>21290</v>
      </c>
      <c r="BZ79" s="81">
        <f>BZ85+17884</f>
        <v>20427</v>
      </c>
      <c r="CA79" s="13">
        <f>SUM(BW79:BZ79)</f>
        <v>92352</v>
      </c>
      <c r="CB79" s="81">
        <f>CB85+13411</f>
        <v>21078</v>
      </c>
      <c r="CC79" s="60">
        <f>CC85+17237</f>
        <v>24237</v>
      </c>
      <c r="CD79" s="81">
        <f>CD85+13946</f>
        <v>25849</v>
      </c>
      <c r="CE79" s="81">
        <f>CE85+17198</f>
        <v>22945</v>
      </c>
      <c r="CF79" s="13">
        <f>SUM(CB79:CE79)</f>
        <v>94109</v>
      </c>
      <c r="CG79" s="81">
        <f>CG85+14232</f>
        <v>26701</v>
      </c>
      <c r="CH79" s="60">
        <f>CH85+18377</f>
        <v>29304</v>
      </c>
      <c r="CI79" s="60">
        <f>CI85+20829</f>
        <v>31028</v>
      </c>
      <c r="CJ79" s="81">
        <f>CJ85+18561</f>
        <v>30107</v>
      </c>
      <c r="CK79" s="13">
        <f>SUM(CG79:CJ79)</f>
        <v>117140</v>
      </c>
      <c r="CL79" s="81">
        <f>CL85+21200</f>
        <v>35438</v>
      </c>
      <c r="CM79" s="1112">
        <f>CM85+19249</f>
        <v>37135</v>
      </c>
      <c r="CN79" s="1112">
        <f>CN85+14692</f>
        <v>37851</v>
      </c>
      <c r="CO79" s="1112">
        <f>CO85+13984</f>
        <v>33416</v>
      </c>
      <c r="CP79" s="692">
        <f>SUM(CL79:CO79)</f>
        <v>143840</v>
      </c>
      <c r="CQ79" s="1112">
        <f>CQ80*CQ78</f>
        <v>39293.186887700009</v>
      </c>
      <c r="CR79" s="1112">
        <f>CR80*CR78</f>
        <v>42060.723509299998</v>
      </c>
      <c r="CS79" s="1112">
        <f>CS80*CS78</f>
        <v>41459.831855000011</v>
      </c>
      <c r="CT79" s="1112">
        <f>CT80*CT78</f>
        <v>42105.877722930803</v>
      </c>
      <c r="CU79" s="13">
        <f>SUM(CQ79:CT79)</f>
        <v>164919.61997493083</v>
      </c>
      <c r="CV79" s="12"/>
      <c r="CW79" s="12"/>
      <c r="CX79" s="12"/>
      <c r="CY79" s="12"/>
      <c r="CZ79" s="205"/>
      <c r="DA79" s="204"/>
      <c r="DB79" s="205"/>
      <c r="DC79" s="205"/>
      <c r="DD79" s="205"/>
    </row>
    <row r="80" spans="1:117" s="107" customFormat="1" ht="13.5" thickBot="1">
      <c r="A80" s="97"/>
      <c r="B80" s="98"/>
      <c r="C80" s="99" t="s">
        <v>37</v>
      </c>
      <c r="D80" s="101"/>
      <c r="E80" s="99"/>
      <c r="F80" s="99"/>
      <c r="G80" s="99"/>
      <c r="H80" s="99"/>
      <c r="I80" s="101"/>
      <c r="J80" s="99"/>
      <c r="K80" s="99"/>
      <c r="L80" s="99"/>
      <c r="M80" s="99"/>
      <c r="N80" s="101"/>
      <c r="O80" s="99"/>
      <c r="P80" s="99"/>
      <c r="Q80" s="99"/>
      <c r="R80" s="99"/>
      <c r="S80" s="101"/>
      <c r="T80" s="99">
        <f t="shared" ref="T80:AQ80" si="176">T79/T78</f>
        <v>0.37386750893525061</v>
      </c>
      <c r="U80" s="99">
        <f t="shared" si="176"/>
        <v>0.37440000000000001</v>
      </c>
      <c r="V80" s="99">
        <f t="shared" si="176"/>
        <v>0.34618041165906893</v>
      </c>
      <c r="W80" s="99">
        <f t="shared" si="176"/>
        <v>0.34596666261102321</v>
      </c>
      <c r="X80" s="101">
        <f t="shared" si="176"/>
        <v>0.35830506001240375</v>
      </c>
      <c r="Y80" s="99">
        <f t="shared" si="176"/>
        <v>0.36642195978295561</v>
      </c>
      <c r="Z80" s="99">
        <f t="shared" si="176"/>
        <v>0.37109297232729443</v>
      </c>
      <c r="AA80" s="99">
        <v>0.39200000000000002</v>
      </c>
      <c r="AB80" s="99">
        <v>0.39200000000000002</v>
      </c>
      <c r="AC80" s="101">
        <f t="shared" si="176"/>
        <v>0.37173442457669842</v>
      </c>
      <c r="AD80" s="99">
        <v>0.39200000000000002</v>
      </c>
      <c r="AE80" s="99">
        <f t="shared" si="176"/>
        <v>0.37644718722905085</v>
      </c>
      <c r="AF80" s="99">
        <f t="shared" si="176"/>
        <v>0.35606758832565283</v>
      </c>
      <c r="AG80" s="99">
        <f t="shared" si="176"/>
        <v>0.42521631644004942</v>
      </c>
      <c r="AH80" s="101">
        <f>AH79/AH78</f>
        <v>0.38486049218685697</v>
      </c>
      <c r="AI80" s="99">
        <f t="shared" si="176"/>
        <v>0.37491396412810235</v>
      </c>
      <c r="AJ80" s="99">
        <f t="shared" si="176"/>
        <v>0.35596310972402428</v>
      </c>
      <c r="AK80" s="99">
        <f t="shared" si="176"/>
        <v>0.35155210299897866</v>
      </c>
      <c r="AL80" s="99">
        <f t="shared" si="176"/>
        <v>0.3721150084756813</v>
      </c>
      <c r="AM80" s="101">
        <f>AM79/AM78</f>
        <v>0.36302849324027781</v>
      </c>
      <c r="AN80" s="99">
        <f t="shared" si="176"/>
        <v>0.35890814089666978</v>
      </c>
      <c r="AO80" s="99">
        <f t="shared" si="176"/>
        <v>0.35625069083674143</v>
      </c>
      <c r="AP80" s="99">
        <f t="shared" si="176"/>
        <v>0.35211481125878014</v>
      </c>
      <c r="AQ80" s="99">
        <f t="shared" si="176"/>
        <v>0.4468731475992887</v>
      </c>
      <c r="AR80" s="101">
        <f t="shared" ref="AR80:BA80" si="177">AR79/AR78</f>
        <v>0.38028150178863962</v>
      </c>
      <c r="AS80" s="236">
        <f t="shared" si="177"/>
        <v>0.35634312999094425</v>
      </c>
      <c r="AT80" s="236">
        <f t="shared" si="177"/>
        <v>0.35476102619875316</v>
      </c>
      <c r="AU80" s="236">
        <f t="shared" si="177"/>
        <v>0.36506178698869729</v>
      </c>
      <c r="AV80" s="236">
        <f t="shared" si="177"/>
        <v>0.35430718475073314</v>
      </c>
      <c r="AW80" s="101">
        <f t="shared" si="177"/>
        <v>0.35777769373321733</v>
      </c>
      <c r="AX80" s="486">
        <f t="shared" si="177"/>
        <v>0.35501190014944373</v>
      </c>
      <c r="AY80" s="236">
        <f t="shared" si="177"/>
        <v>0.35500081638576947</v>
      </c>
      <c r="AZ80" s="236">
        <f t="shared" si="177"/>
        <v>0.34128490105719705</v>
      </c>
      <c r="BA80" s="236">
        <f t="shared" si="177"/>
        <v>0.35000308889849879</v>
      </c>
      <c r="BB80" s="101">
        <f>BB79/BB78</f>
        <v>0.35000401211235604</v>
      </c>
      <c r="BC80" s="486">
        <f>BC79/BC78</f>
        <v>0.23999527202728715</v>
      </c>
      <c r="BD80" s="99">
        <f>BD79/BD78</f>
        <v>0.23999425507468403</v>
      </c>
      <c r="BE80" s="99">
        <f>BE79/BE78</f>
        <v>0.24000305950741929</v>
      </c>
      <c r="BF80" s="99">
        <v>0.24</v>
      </c>
      <c r="BG80" s="101">
        <f t="shared" ref="BG80:BZ80" si="178">BG79/BG78</f>
        <v>0.23999653047465472</v>
      </c>
      <c r="BH80" s="486">
        <f t="shared" si="178"/>
        <v>0.24000629524708844</v>
      </c>
      <c r="BI80" s="99">
        <f t="shared" si="178"/>
        <v>0.23998884796548739</v>
      </c>
      <c r="BJ80" s="99">
        <f t="shared" si="178"/>
        <v>0.24000671582275823</v>
      </c>
      <c r="BK80" s="99">
        <f t="shared" si="178"/>
        <v>0.23999947743840305</v>
      </c>
      <c r="BL80" s="101">
        <f t="shared" si="178"/>
        <v>0.24000028601255596</v>
      </c>
      <c r="BM80" s="98">
        <f t="shared" si="178"/>
        <v>0.24264168394671282</v>
      </c>
      <c r="BN80" s="99">
        <f t="shared" si="178"/>
        <v>0.24242668818940005</v>
      </c>
      <c r="BO80" s="99">
        <f t="shared" si="178"/>
        <v>0.24222219488491678</v>
      </c>
      <c r="BP80" s="99">
        <f t="shared" si="178"/>
        <v>0.24237479933682465</v>
      </c>
      <c r="BQ80" s="101">
        <f>BQ79/BQ78</f>
        <v>0.24240608049286813</v>
      </c>
      <c r="BR80" s="98">
        <f t="shared" si="178"/>
        <v>0.23999392228117047</v>
      </c>
      <c r="BS80" s="99">
        <f t="shared" si="178"/>
        <v>0.24000629834471629</v>
      </c>
      <c r="BT80" s="99">
        <f t="shared" si="178"/>
        <v>0.24000107323006475</v>
      </c>
      <c r="BU80" s="99">
        <f t="shared" si="178"/>
        <v>0.24000204561726501</v>
      </c>
      <c r="BV80" s="101">
        <f>BV79/BV78</f>
        <v>0.24000123022351624</v>
      </c>
      <c r="BW80" s="98">
        <f t="shared" si="178"/>
        <v>0.23999624007143863</v>
      </c>
      <c r="BX80" s="99">
        <f t="shared" si="178"/>
        <v>0.23999043977055448</v>
      </c>
      <c r="BY80" s="99">
        <f t="shared" si="178"/>
        <v>0.19588179007802151</v>
      </c>
      <c r="BZ80" s="99">
        <f t="shared" si="178"/>
        <v>0.22500165223712906</v>
      </c>
      <c r="CA80" s="101">
        <f>CA79/CA78</f>
        <v>0.22499689372141921</v>
      </c>
      <c r="CB80" s="98">
        <f t="shared" ref="CB80:CH80" si="179">CB79/CB78</f>
        <v>0.21999561636972789</v>
      </c>
      <c r="CC80" s="99">
        <f t="shared" si="179"/>
        <v>0.22000236005337351</v>
      </c>
      <c r="CD80" s="99">
        <f t="shared" si="179"/>
        <v>0.22000272354332986</v>
      </c>
      <c r="CE80" s="99">
        <f t="shared" si="179"/>
        <v>0.21999463076952577</v>
      </c>
      <c r="CF80" s="101">
        <f>CF79/CF78</f>
        <v>0.21999906491806345</v>
      </c>
      <c r="CG80" s="98">
        <f t="shared" si="179"/>
        <v>0.22000032957616505</v>
      </c>
      <c r="CH80" s="99">
        <f t="shared" si="179"/>
        <v>0.22000165166405153</v>
      </c>
      <c r="CI80" s="99">
        <f>CI79/CI78</f>
        <v>0.21999900735268049</v>
      </c>
      <c r="CJ80" s="99">
        <f t="shared" ref="CJ80" si="180">CJ79/CJ78</f>
        <v>0.21999678484786483</v>
      </c>
      <c r="CK80" s="101">
        <f>CK79/CK78</f>
        <v>0.21999939901137372</v>
      </c>
      <c r="CL80" s="98">
        <f t="shared" ref="CL80:CM80" si="181">CL79/CL78</f>
        <v>0.22499746038195856</v>
      </c>
      <c r="CM80" s="99">
        <f t="shared" si="181"/>
        <v>0.22499787937908219</v>
      </c>
      <c r="CN80" s="236">
        <f t="shared" ref="CN80:CO80" si="182">CN79/CN78</f>
        <v>0.22499821670589915</v>
      </c>
      <c r="CO80" s="236">
        <f t="shared" si="182"/>
        <v>0.20438666281853443</v>
      </c>
      <c r="CP80" s="101">
        <f>CP79/CP78</f>
        <v>0.21984739149037202</v>
      </c>
      <c r="CQ80" s="1113">
        <v>0.23</v>
      </c>
      <c r="CR80" s="1113">
        <v>0.23</v>
      </c>
      <c r="CS80" s="1113">
        <v>0.23</v>
      </c>
      <c r="CT80" s="1113">
        <v>0.23</v>
      </c>
      <c r="CU80" s="101">
        <f>CU79/CU78</f>
        <v>0.23000000000000007</v>
      </c>
      <c r="CV80" s="99"/>
      <c r="CW80" s="99"/>
      <c r="CX80" s="99"/>
      <c r="CY80" s="99"/>
      <c r="CZ80" s="204"/>
      <c r="DA80" s="205"/>
      <c r="DB80" s="205"/>
      <c r="DC80" s="205"/>
      <c r="DD80" s="205"/>
      <c r="DE80" s="67"/>
      <c r="DF80" s="67"/>
      <c r="DG80" s="67"/>
      <c r="DH80" s="67"/>
      <c r="DI80" s="67"/>
      <c r="DJ80" s="67"/>
      <c r="DK80" s="67"/>
      <c r="DL80" s="67"/>
      <c r="DM80" s="67"/>
    </row>
    <row r="81" spans="1:117" ht="13.5" thickBot="1">
      <c r="A81" s="7"/>
      <c r="B81" s="39" t="s">
        <v>426</v>
      </c>
      <c r="C81" s="15"/>
      <c r="D81" s="40"/>
      <c r="E81" s="41"/>
      <c r="F81" s="41"/>
      <c r="G81" s="41"/>
      <c r="H81" s="41"/>
      <c r="I81" s="40"/>
      <c r="J81" s="41"/>
      <c r="K81" s="41"/>
      <c r="L81" s="41"/>
      <c r="M81" s="41"/>
      <c r="N81" s="40"/>
      <c r="O81" s="41"/>
      <c r="P81" s="41"/>
      <c r="Q81" s="41"/>
      <c r="R81" s="41"/>
      <c r="S81" s="40"/>
      <c r="T81" s="37">
        <f t="shared" ref="T81:AH81" si="183">T78-T79</f>
        <v>7533</v>
      </c>
      <c r="U81" s="41">
        <f t="shared" si="183"/>
        <v>7429</v>
      </c>
      <c r="V81" s="41">
        <f t="shared" si="183"/>
        <v>9466</v>
      </c>
      <c r="W81" s="41">
        <f t="shared" si="183"/>
        <v>10751</v>
      </c>
      <c r="X81" s="40">
        <f t="shared" si="183"/>
        <v>35179</v>
      </c>
      <c r="Y81" s="41">
        <f t="shared" si="183"/>
        <v>7940</v>
      </c>
      <c r="Z81" s="41">
        <f t="shared" si="183"/>
        <v>9477</v>
      </c>
      <c r="AA81" s="41">
        <f t="shared" si="183"/>
        <v>13166</v>
      </c>
      <c r="AB81" s="41">
        <f t="shared" si="183"/>
        <v>11791</v>
      </c>
      <c r="AC81" s="40">
        <f t="shared" si="183"/>
        <v>42374</v>
      </c>
      <c r="AD81" s="41">
        <f t="shared" si="183"/>
        <v>11469</v>
      </c>
      <c r="AE81" s="41">
        <f>AE78-AE79</f>
        <v>12226</v>
      </c>
      <c r="AF81" s="41">
        <f t="shared" si="183"/>
        <v>14672</v>
      </c>
      <c r="AG81" s="41">
        <f>AG78-AG79</f>
        <v>13950</v>
      </c>
      <c r="AH81" s="40">
        <f t="shared" si="183"/>
        <v>52317</v>
      </c>
      <c r="AI81" s="41">
        <f t="shared" ref="AI81:BN81" si="184">AI78-AI79</f>
        <v>15439</v>
      </c>
      <c r="AJ81" s="41">
        <f t="shared" si="184"/>
        <v>18366</v>
      </c>
      <c r="AK81" s="41">
        <f t="shared" si="184"/>
        <v>20952</v>
      </c>
      <c r="AL81" s="41">
        <f t="shared" si="184"/>
        <v>19261</v>
      </c>
      <c r="AM81" s="40">
        <f t="shared" si="184"/>
        <v>74018</v>
      </c>
      <c r="AN81" s="41">
        <f t="shared" si="184"/>
        <v>21349</v>
      </c>
      <c r="AO81" s="41">
        <f t="shared" si="184"/>
        <v>23296</v>
      </c>
      <c r="AP81" s="41">
        <f t="shared" si="184"/>
        <v>25642</v>
      </c>
      <c r="AQ81" s="41">
        <f t="shared" si="184"/>
        <v>22395</v>
      </c>
      <c r="AR81" s="40">
        <f t="shared" si="184"/>
        <v>92682</v>
      </c>
      <c r="AS81" s="409">
        <f t="shared" si="184"/>
        <v>31274</v>
      </c>
      <c r="AT81" s="41">
        <f t="shared" si="184"/>
        <v>33224</v>
      </c>
      <c r="AU81" s="409">
        <f t="shared" si="184"/>
        <v>36121</v>
      </c>
      <c r="AV81" s="41">
        <f t="shared" si="184"/>
        <v>35229</v>
      </c>
      <c r="AW81" s="40">
        <f t="shared" si="184"/>
        <v>135848</v>
      </c>
      <c r="AX81" s="480">
        <f t="shared" si="184"/>
        <v>34959</v>
      </c>
      <c r="AY81" s="487">
        <f t="shared" si="184"/>
        <v>35553</v>
      </c>
      <c r="AZ81" s="487">
        <f t="shared" si="184"/>
        <v>41310</v>
      </c>
      <c r="BA81" s="492">
        <f t="shared" si="184"/>
        <v>42086</v>
      </c>
      <c r="BB81" s="40">
        <f t="shared" si="184"/>
        <v>153908</v>
      </c>
      <c r="BC81" s="480">
        <f t="shared" si="184"/>
        <v>45009</v>
      </c>
      <c r="BD81" s="483">
        <f t="shared" si="184"/>
        <v>47625</v>
      </c>
      <c r="BE81" s="483">
        <f t="shared" si="184"/>
        <v>49681</v>
      </c>
      <c r="BF81" s="475">
        <f t="shared" si="184"/>
        <v>50450</v>
      </c>
      <c r="BG81" s="40">
        <f t="shared" si="184"/>
        <v>192765</v>
      </c>
      <c r="BH81" s="409">
        <f t="shared" si="184"/>
        <v>48290</v>
      </c>
      <c r="BI81" s="483">
        <f t="shared" si="184"/>
        <v>51794</v>
      </c>
      <c r="BJ81" s="483">
        <f t="shared" si="184"/>
        <v>54319</v>
      </c>
      <c r="BK81" s="475">
        <f t="shared" si="184"/>
        <v>58175</v>
      </c>
      <c r="BL81" s="40">
        <f t="shared" si="184"/>
        <v>212578</v>
      </c>
      <c r="BM81" s="41">
        <f t="shared" si="184"/>
        <v>50768</v>
      </c>
      <c r="BN81" s="483">
        <f t="shared" si="184"/>
        <v>56318</v>
      </c>
      <c r="BO81" s="483">
        <f t="shared" ref="BO81:CP81" si="185">BO78-BO79</f>
        <v>61599</v>
      </c>
      <c r="BP81" s="475">
        <f t="shared" si="185"/>
        <v>57578</v>
      </c>
      <c r="BQ81" s="40">
        <f t="shared" si="185"/>
        <v>226263</v>
      </c>
      <c r="BR81" s="41">
        <f t="shared" si="185"/>
        <v>60023</v>
      </c>
      <c r="BS81" s="41">
        <f t="shared" si="185"/>
        <v>77226</v>
      </c>
      <c r="BT81" s="483">
        <f t="shared" si="185"/>
        <v>84977</v>
      </c>
      <c r="BU81" s="475">
        <f t="shared" si="185"/>
        <v>74305</v>
      </c>
      <c r="BV81" s="40">
        <f t="shared" si="185"/>
        <v>296531</v>
      </c>
      <c r="BW81" s="483">
        <f t="shared" si="185"/>
        <v>80853</v>
      </c>
      <c r="BX81" s="483">
        <f t="shared" si="185"/>
        <v>79497</v>
      </c>
      <c r="BY81" s="483">
        <f t="shared" si="185"/>
        <v>87398</v>
      </c>
      <c r="BZ81" s="475">
        <f t="shared" si="185"/>
        <v>70359</v>
      </c>
      <c r="CA81" s="40">
        <f t="shared" si="185"/>
        <v>318107</v>
      </c>
      <c r="CB81" s="483">
        <f t="shared" si="185"/>
        <v>74733</v>
      </c>
      <c r="CC81" s="483">
        <f t="shared" si="185"/>
        <v>85930</v>
      </c>
      <c r="CD81" s="483">
        <f t="shared" si="185"/>
        <v>91645</v>
      </c>
      <c r="CE81" s="475">
        <f t="shared" si="185"/>
        <v>81353</v>
      </c>
      <c r="CF81" s="40">
        <f t="shared" si="185"/>
        <v>333661</v>
      </c>
      <c r="CG81" s="483">
        <f t="shared" si="185"/>
        <v>94667</v>
      </c>
      <c r="CH81" s="483">
        <f>CH78-CH79</f>
        <v>103895</v>
      </c>
      <c r="CI81" s="483">
        <f>CI78-CI79</f>
        <v>110009</v>
      </c>
      <c r="CJ81" s="475">
        <f t="shared" ref="CJ81" si="186">CJ78-CJ79</f>
        <v>106745</v>
      </c>
      <c r="CK81" s="40">
        <f t="shared" si="185"/>
        <v>415316</v>
      </c>
      <c r="CL81" s="483">
        <f t="shared" ref="CL81" si="187">CL78-CL79</f>
        <v>122066</v>
      </c>
      <c r="CM81" s="483">
        <f t="shared" si="185"/>
        <v>127911</v>
      </c>
      <c r="CN81" s="483">
        <f t="shared" ref="CN81:CO81" si="188">CN78-CN79</f>
        <v>130377</v>
      </c>
      <c r="CO81" s="483">
        <f t="shared" si="188"/>
        <v>130078.03399999999</v>
      </c>
      <c r="CP81" s="40">
        <f t="shared" si="185"/>
        <v>510432.03399999999</v>
      </c>
      <c r="CQ81" s="483">
        <f t="shared" ref="CQ81:CU81" si="189">CQ78-CQ79</f>
        <v>131546.75610230002</v>
      </c>
      <c r="CR81" s="483">
        <f t="shared" si="189"/>
        <v>140811.98740069999</v>
      </c>
      <c r="CS81" s="483">
        <f t="shared" si="189"/>
        <v>138800.306645</v>
      </c>
      <c r="CT81" s="475">
        <f t="shared" si="189"/>
        <v>140963.15585502921</v>
      </c>
      <c r="CU81" s="40">
        <f t="shared" si="189"/>
        <v>552122.20600302913</v>
      </c>
      <c r="CV81" s="21"/>
      <c r="CW81" s="21"/>
      <c r="CX81" s="21"/>
      <c r="CY81" s="21"/>
      <c r="CZ81" s="205"/>
      <c r="DA81" s="205"/>
      <c r="DB81" s="205"/>
      <c r="DC81" s="205"/>
      <c r="DD81" s="205"/>
    </row>
    <row r="82" spans="1:117" s="179" customFormat="1">
      <c r="A82" s="97"/>
      <c r="B82" s="98"/>
      <c r="C82" s="99" t="s">
        <v>427</v>
      </c>
      <c r="D82" s="100">
        <f t="shared" ref="D82:AI82" si="190">D81/D23</f>
        <v>0</v>
      </c>
      <c r="E82" s="99">
        <f t="shared" si="190"/>
        <v>0</v>
      </c>
      <c r="F82" s="99">
        <f t="shared" si="190"/>
        <v>0</v>
      </c>
      <c r="G82" s="99">
        <f t="shared" si="190"/>
        <v>0</v>
      </c>
      <c r="H82" s="99">
        <f t="shared" si="190"/>
        <v>0</v>
      </c>
      <c r="I82" s="102">
        <f t="shared" si="190"/>
        <v>0</v>
      </c>
      <c r="J82" s="99">
        <f t="shared" si="190"/>
        <v>0</v>
      </c>
      <c r="K82" s="99">
        <f t="shared" si="190"/>
        <v>0</v>
      </c>
      <c r="L82" s="99">
        <f t="shared" si="190"/>
        <v>0</v>
      </c>
      <c r="M82" s="99">
        <f t="shared" si="190"/>
        <v>0</v>
      </c>
      <c r="N82" s="102">
        <f t="shared" si="190"/>
        <v>0</v>
      </c>
      <c r="O82" s="99">
        <f t="shared" si="190"/>
        <v>0</v>
      </c>
      <c r="P82" s="99">
        <f t="shared" si="190"/>
        <v>0</v>
      </c>
      <c r="Q82" s="99">
        <f t="shared" si="190"/>
        <v>0</v>
      </c>
      <c r="R82" s="99">
        <f t="shared" si="190"/>
        <v>0</v>
      </c>
      <c r="S82" s="102">
        <f t="shared" si="190"/>
        <v>0</v>
      </c>
      <c r="T82" s="99">
        <f t="shared" si="190"/>
        <v>0.10263921627403158</v>
      </c>
      <c r="U82" s="99">
        <f t="shared" si="190"/>
        <v>9.6813709519775845E-2</v>
      </c>
      <c r="V82" s="99">
        <f t="shared" si="190"/>
        <v>0.1226419983416252</v>
      </c>
      <c r="W82" s="99">
        <f t="shared" si="190"/>
        <v>0.13098356461457863</v>
      </c>
      <c r="X82" s="102">
        <f t="shared" si="190"/>
        <v>0.11370401853964725</v>
      </c>
      <c r="Y82" s="99">
        <f t="shared" si="190"/>
        <v>9.5982979340691221E-2</v>
      </c>
      <c r="Z82" s="99">
        <f t="shared" si="190"/>
        <v>0.10372340425531915</v>
      </c>
      <c r="AA82" s="99">
        <f t="shared" si="190"/>
        <v>0.14029516756353561</v>
      </c>
      <c r="AB82" s="99">
        <f t="shared" si="190"/>
        <v>0.12363685932388223</v>
      </c>
      <c r="AC82" s="102">
        <f t="shared" si="190"/>
        <v>0.11663510448549974</v>
      </c>
      <c r="AD82" s="99">
        <f t="shared" si="190"/>
        <v>0.11971941251996368</v>
      </c>
      <c r="AE82" s="99">
        <f t="shared" si="190"/>
        <v>0.11859770293341611</v>
      </c>
      <c r="AF82" s="99">
        <f t="shared" si="190"/>
        <v>0.13709458891245643</v>
      </c>
      <c r="AG82" s="99">
        <f t="shared" si="190"/>
        <v>0.1259764302162821</v>
      </c>
      <c r="AH82" s="102">
        <f t="shared" si="190"/>
        <v>0.12556793225855228</v>
      </c>
      <c r="AI82" s="99">
        <f t="shared" si="190"/>
        <v>0.13708202368902384</v>
      </c>
      <c r="AJ82" s="99">
        <f t="shared" ref="AJ82:BO82" si="191">AJ81/AJ23</f>
        <v>0.14767108087898304</v>
      </c>
      <c r="AK82" s="99">
        <f t="shared" si="191"/>
        <v>0.16284275321768327</v>
      </c>
      <c r="AL82" s="99">
        <f t="shared" si="191"/>
        <v>0.15113779033270558</v>
      </c>
      <c r="AM82" s="102">
        <f t="shared" si="191"/>
        <v>0.15010717885382507</v>
      </c>
      <c r="AN82" s="99">
        <f t="shared" si="191"/>
        <v>0.15818057881244166</v>
      </c>
      <c r="AO82" s="99">
        <f t="shared" si="191"/>
        <v>0.15923989199904304</v>
      </c>
      <c r="AP82" s="99">
        <f t="shared" si="191"/>
        <v>0.16998906161954325</v>
      </c>
      <c r="AQ82" s="99">
        <f t="shared" si="191"/>
        <v>0.13812222845829814</v>
      </c>
      <c r="AR82" s="102">
        <f t="shared" si="191"/>
        <v>0.15596597363040496</v>
      </c>
      <c r="AS82" s="236">
        <f t="shared" si="191"/>
        <v>0.16905961467770883</v>
      </c>
      <c r="AT82" s="99">
        <f t="shared" si="191"/>
        <v>0.17147959473339217</v>
      </c>
      <c r="AU82" s="236">
        <f t="shared" si="191"/>
        <v>0.18265345853749804</v>
      </c>
      <c r="AV82" s="99">
        <f t="shared" si="191"/>
        <v>0.18060967106882125</v>
      </c>
      <c r="AW82" s="102">
        <f t="shared" si="191"/>
        <v>0.17607154429395372</v>
      </c>
      <c r="AX82" s="236">
        <f t="shared" si="191"/>
        <v>0.17492006784851169</v>
      </c>
      <c r="AY82" s="236">
        <f t="shared" si="191"/>
        <v>0.16977050683322351</v>
      </c>
      <c r="AZ82" s="236">
        <f t="shared" si="191"/>
        <v>0.19267004962501399</v>
      </c>
      <c r="BA82" s="236">
        <f t="shared" si="191"/>
        <v>0.1929789165741955</v>
      </c>
      <c r="BB82" s="102">
        <f t="shared" si="191"/>
        <v>0.18283875980227354</v>
      </c>
      <c r="BC82" s="236">
        <f t="shared" si="191"/>
        <v>0.20330645707703773</v>
      </c>
      <c r="BD82" s="99">
        <f t="shared" si="191"/>
        <v>0.20033905149712689</v>
      </c>
      <c r="BE82" s="99">
        <f t="shared" si="191"/>
        <v>0.20912328259698276</v>
      </c>
      <c r="BF82" s="99">
        <f t="shared" si="191"/>
        <v>0.20758497817168861</v>
      </c>
      <c r="BG82" s="102">
        <f t="shared" si="191"/>
        <v>0.20513287106207459</v>
      </c>
      <c r="BH82" s="236">
        <f t="shared" si="191"/>
        <v>0.19412050827494443</v>
      </c>
      <c r="BI82" s="99">
        <f t="shared" si="191"/>
        <v>0.18632208676132542</v>
      </c>
      <c r="BJ82" s="99">
        <f t="shared" si="191"/>
        <v>0.1959651787421488</v>
      </c>
      <c r="BK82" s="99">
        <f t="shared" si="191"/>
        <v>0.20240062625032618</v>
      </c>
      <c r="BL82" s="102">
        <f t="shared" si="191"/>
        <v>0.19478337041258764</v>
      </c>
      <c r="BM82" s="99">
        <f t="shared" si="191"/>
        <v>0.18342365777874123</v>
      </c>
      <c r="BN82" s="99">
        <f t="shared" si="191"/>
        <v>0.20756351145657118</v>
      </c>
      <c r="BO82" s="99">
        <f t="shared" si="191"/>
        <v>0.21542857342701363</v>
      </c>
      <c r="BP82" s="99">
        <f t="shared" ref="BP82:CK82" si="192">BP81/BP23</f>
        <v>0.20316293118048889</v>
      </c>
      <c r="BQ82" s="102">
        <f t="shared" si="192"/>
        <v>0.20248081800235176</v>
      </c>
      <c r="BR82" s="99">
        <f t="shared" si="192"/>
        <v>0.20360445315839107</v>
      </c>
      <c r="BS82" s="99">
        <f t="shared" si="192"/>
        <v>0.19051072742208836</v>
      </c>
      <c r="BT82" s="99">
        <f t="shared" si="192"/>
        <v>0.18448235437146132</v>
      </c>
      <c r="BU82" s="99">
        <f t="shared" si="192"/>
        <v>0.17114027491155662</v>
      </c>
      <c r="BV82" s="102">
        <f t="shared" si="192"/>
        <v>0.18591693234647783</v>
      </c>
      <c r="BW82" s="99">
        <f t="shared" si="192"/>
        <v>0.17726722618327237</v>
      </c>
      <c r="BX82" s="99">
        <f t="shared" si="192"/>
        <v>0.16961712024067338</v>
      </c>
      <c r="BY82" s="99">
        <f t="shared" si="192"/>
        <v>0.18469920180223207</v>
      </c>
      <c r="BZ82" s="99">
        <f t="shared" si="192"/>
        <v>0.15558577683428421</v>
      </c>
      <c r="CA82" s="102">
        <f t="shared" si="192"/>
        <v>0.17193077087715733</v>
      </c>
      <c r="CB82" s="99">
        <f t="shared" si="192"/>
        <v>0.15838195370168251</v>
      </c>
      <c r="CC82" s="99">
        <f t="shared" si="192"/>
        <v>0.170401702232296</v>
      </c>
      <c r="CD82" s="99">
        <f t="shared" si="192"/>
        <v>0.18525968092762249</v>
      </c>
      <c r="CE82" s="99">
        <f t="shared" si="192"/>
        <v>0.16915591504049404</v>
      </c>
      <c r="CF82" s="102">
        <f t="shared" si="192"/>
        <v>0.17095469657758597</v>
      </c>
      <c r="CG82" s="99">
        <f t="shared" si="192"/>
        <v>0.18476693099955305</v>
      </c>
      <c r="CH82" s="99">
        <f>CH81/CH23</f>
        <v>0.19205103368726154</v>
      </c>
      <c r="CI82" s="99">
        <f>CI81/CI23</f>
        <v>0.20246918579077075</v>
      </c>
      <c r="CJ82" s="99">
        <f t="shared" ref="CJ82" si="193">CJ81/CJ23</f>
        <v>0.1972627700131761</v>
      </c>
      <c r="CK82" s="102">
        <f t="shared" si="192"/>
        <v>0.19427234408409008</v>
      </c>
      <c r="CL82" s="99">
        <f t="shared" ref="CL82" si="194">CL81/CL23</f>
        <v>0.2159829430343351</v>
      </c>
      <c r="CM82" s="99">
        <f t="shared" ref="CM82:CU82" si="195">CM81/CM23</f>
        <v>0.21457364913263671</v>
      </c>
      <c r="CN82" s="99">
        <f t="shared" ref="CN82:CO82" si="196">CN81/CN23</f>
        <v>0.21879777605856224</v>
      </c>
      <c r="CO82" s="99">
        <f t="shared" si="196"/>
        <v>0.22041220572454326</v>
      </c>
      <c r="CP82" s="102">
        <f t="shared" si="195"/>
        <v>0.21745319941882257</v>
      </c>
      <c r="CQ82" s="99">
        <f t="shared" si="195"/>
        <v>0.2161724692654903</v>
      </c>
      <c r="CR82" s="99">
        <f t="shared" si="195"/>
        <v>0.21698305933520726</v>
      </c>
      <c r="CS82" s="99">
        <f t="shared" si="195"/>
        <v>0.21789545456486359</v>
      </c>
      <c r="CT82" s="99">
        <f t="shared" si="195"/>
        <v>0.2211571800133621</v>
      </c>
      <c r="CU82" s="102">
        <f t="shared" si="195"/>
        <v>0.21806860802672348</v>
      </c>
      <c r="CV82" s="99"/>
      <c r="CW82" s="99"/>
      <c r="CX82" s="99"/>
      <c r="CY82" s="99"/>
      <c r="CZ82" s="377"/>
      <c r="DA82" s="205"/>
      <c r="DB82" s="205"/>
      <c r="DC82" s="205"/>
      <c r="DD82" s="205"/>
      <c r="DE82" s="67"/>
      <c r="DF82" s="107"/>
      <c r="DG82" s="107"/>
      <c r="DH82" s="107"/>
      <c r="DI82" s="107"/>
      <c r="DJ82" s="107"/>
      <c r="DK82" s="107"/>
      <c r="DL82" s="107"/>
      <c r="DM82" s="107"/>
    </row>
    <row r="83" spans="1:117" s="179" customFormat="1">
      <c r="A83" s="97"/>
      <c r="B83" s="98"/>
      <c r="C83" s="99"/>
      <c r="D83" s="100"/>
      <c r="E83" s="99"/>
      <c r="F83" s="99"/>
      <c r="G83" s="99"/>
      <c r="H83" s="99"/>
      <c r="I83" s="100"/>
      <c r="J83" s="99"/>
      <c r="K83" s="99"/>
      <c r="L83" s="99"/>
      <c r="M83" s="99"/>
      <c r="N83" s="100"/>
      <c r="O83" s="99"/>
      <c r="P83" s="99"/>
      <c r="Q83" s="99"/>
      <c r="R83" s="99"/>
      <c r="S83" s="100"/>
      <c r="T83" s="99"/>
      <c r="U83" s="99"/>
      <c r="V83" s="99"/>
      <c r="W83" s="99"/>
      <c r="X83" s="100"/>
      <c r="Y83" s="99"/>
      <c r="Z83" s="99"/>
      <c r="AA83" s="99"/>
      <c r="AB83" s="99"/>
      <c r="AC83" s="100"/>
      <c r="AD83" s="99"/>
      <c r="AE83" s="273"/>
      <c r="AF83" s="99"/>
      <c r="AG83" s="263"/>
      <c r="AH83" s="100"/>
      <c r="AI83" s="99"/>
      <c r="AJ83" s="99"/>
      <c r="AK83" s="99"/>
      <c r="AL83" s="99"/>
      <c r="AM83" s="100"/>
      <c r="AN83" s="99"/>
      <c r="AO83" s="99"/>
      <c r="AP83" s="99"/>
      <c r="AQ83" s="273"/>
      <c r="AR83" s="100"/>
      <c r="AS83" s="236"/>
      <c r="AT83" s="99"/>
      <c r="AU83" s="236"/>
      <c r="AV83" s="99"/>
      <c r="AW83" s="100"/>
      <c r="AX83" s="482"/>
      <c r="AY83" s="236"/>
      <c r="AZ83" s="99"/>
      <c r="BA83" s="407"/>
      <c r="BB83" s="100"/>
      <c r="BC83" s="236"/>
      <c r="BD83" s="273"/>
      <c r="BE83" s="99"/>
      <c r="BF83" s="99"/>
      <c r="BG83" s="100"/>
      <c r="BH83" s="236"/>
      <c r="BI83" s="99"/>
      <c r="BJ83" s="99"/>
      <c r="BK83" s="99"/>
      <c r="BL83" s="100"/>
      <c r="BM83" s="99"/>
      <c r="BN83" s="99"/>
      <c r="BO83" s="99"/>
      <c r="BP83" s="99"/>
      <c r="BQ83" s="100"/>
      <c r="BR83" s="99"/>
      <c r="BS83" s="273">
        <f>+BS81-77227</f>
        <v>-1</v>
      </c>
      <c r="BT83" s="99"/>
      <c r="BU83" s="99"/>
      <c r="BV83" s="100"/>
      <c r="BW83" s="99"/>
      <c r="BX83" s="99"/>
      <c r="BY83" s="99"/>
      <c r="BZ83" s="99"/>
      <c r="CA83" s="100"/>
      <c r="CB83" s="99"/>
      <c r="CC83" s="99"/>
      <c r="CD83" s="99"/>
      <c r="CE83" s="99"/>
      <c r="CF83" s="100"/>
      <c r="CG83" s="99"/>
      <c r="CH83" s="99"/>
      <c r="CI83" s="99"/>
      <c r="CJ83" s="99"/>
      <c r="CK83" s="100"/>
      <c r="CL83" s="99"/>
      <c r="CM83" s="99"/>
      <c r="CN83" s="99"/>
      <c r="CO83" s="99"/>
      <c r="CP83" s="100"/>
      <c r="CQ83" s="99"/>
      <c r="CR83" s="99"/>
      <c r="CS83" s="99"/>
      <c r="CT83" s="99"/>
      <c r="CU83" s="100"/>
      <c r="CV83" s="99"/>
      <c r="CW83" s="99"/>
      <c r="CX83" s="99"/>
      <c r="CY83" s="99"/>
      <c r="CZ83" s="377"/>
      <c r="DA83" s="205"/>
      <c r="DB83" s="205"/>
      <c r="DC83" s="205"/>
      <c r="DD83" s="205"/>
      <c r="DE83" s="67"/>
      <c r="DF83" s="107"/>
      <c r="DG83" s="107"/>
      <c r="DH83" s="107"/>
      <c r="DI83" s="107"/>
      <c r="DJ83" s="107"/>
      <c r="DK83" s="107"/>
      <c r="DL83" s="107"/>
      <c r="DM83" s="107"/>
    </row>
    <row r="84" spans="1:117" s="68" customFormat="1">
      <c r="A84" s="10"/>
      <c r="B84" s="8" t="s">
        <v>38</v>
      </c>
      <c r="C84" s="12"/>
      <c r="D84" s="253">
        <f t="shared" ref="D84:S84" si="197">D54+D71</f>
        <v>28580</v>
      </c>
      <c r="E84" s="252">
        <f t="shared" si="197"/>
        <v>5070</v>
      </c>
      <c r="F84" s="252">
        <f t="shared" si="197"/>
        <v>2026</v>
      </c>
      <c r="G84" s="252">
        <f t="shared" si="197"/>
        <v>12335</v>
      </c>
      <c r="H84" s="252">
        <f t="shared" si="197"/>
        <v>9845</v>
      </c>
      <c r="I84" s="20">
        <f t="shared" si="197"/>
        <v>29276</v>
      </c>
      <c r="J84" s="252">
        <f t="shared" si="197"/>
        <v>9961</v>
      </c>
      <c r="K84" s="252">
        <f t="shared" si="197"/>
        <v>11334</v>
      </c>
      <c r="L84" s="252">
        <f t="shared" si="197"/>
        <v>12421</v>
      </c>
      <c r="M84" s="252">
        <f t="shared" si="197"/>
        <v>10922</v>
      </c>
      <c r="N84" s="253">
        <f t="shared" si="197"/>
        <v>44638</v>
      </c>
      <c r="O84" s="252">
        <f t="shared" si="197"/>
        <v>8094</v>
      </c>
      <c r="P84" s="252">
        <f t="shared" si="197"/>
        <v>10383</v>
      </c>
      <c r="Q84" s="252">
        <f t="shared" si="197"/>
        <v>11263</v>
      </c>
      <c r="R84" s="252">
        <f t="shared" si="197"/>
        <v>10159</v>
      </c>
      <c r="S84" s="253">
        <f t="shared" si="197"/>
        <v>39899</v>
      </c>
      <c r="T84" s="12">
        <f t="shared" ref="T84:AY84" si="198">T66+T71</f>
        <v>9482</v>
      </c>
      <c r="U84" s="12">
        <f t="shared" si="198"/>
        <v>9309</v>
      </c>
      <c r="V84" s="12">
        <f t="shared" si="198"/>
        <v>11818</v>
      </c>
      <c r="W84" s="12">
        <f t="shared" si="198"/>
        <v>13504</v>
      </c>
      <c r="X84" s="13">
        <f t="shared" si="198"/>
        <v>44113</v>
      </c>
      <c r="Y84" s="12">
        <f t="shared" si="198"/>
        <v>9341</v>
      </c>
      <c r="Z84" s="12">
        <f t="shared" si="198"/>
        <v>11682</v>
      </c>
      <c r="AA84" s="12">
        <f t="shared" si="198"/>
        <v>17810</v>
      </c>
      <c r="AB84" s="12">
        <f t="shared" si="198"/>
        <v>15035</v>
      </c>
      <c r="AC84" s="13">
        <f t="shared" si="198"/>
        <v>53868</v>
      </c>
      <c r="AD84" s="12">
        <f t="shared" si="198"/>
        <v>14132</v>
      </c>
      <c r="AE84" s="12">
        <f t="shared" si="198"/>
        <v>15053</v>
      </c>
      <c r="AF84" s="12">
        <f t="shared" si="198"/>
        <v>17572</v>
      </c>
      <c r="AG84" s="12">
        <f t="shared" si="198"/>
        <v>19062</v>
      </c>
      <c r="AH84" s="13">
        <f t="shared" si="198"/>
        <v>65819</v>
      </c>
      <c r="AI84" s="12">
        <f t="shared" si="198"/>
        <v>19603</v>
      </c>
      <c r="AJ84" s="12">
        <f t="shared" si="198"/>
        <v>23406</v>
      </c>
      <c r="AK84" s="12">
        <f t="shared" si="198"/>
        <v>26698</v>
      </c>
      <c r="AL84" s="12">
        <f t="shared" si="198"/>
        <v>24760</v>
      </c>
      <c r="AM84" s="13">
        <f t="shared" si="198"/>
        <v>94467</v>
      </c>
      <c r="AN84" s="12">
        <f t="shared" si="198"/>
        <v>27359</v>
      </c>
      <c r="AO84" s="12">
        <f t="shared" si="198"/>
        <v>29781</v>
      </c>
      <c r="AP84" s="12">
        <f t="shared" si="198"/>
        <v>31744</v>
      </c>
      <c r="AQ84" s="12">
        <f t="shared" si="198"/>
        <v>19540</v>
      </c>
      <c r="AR84" s="13">
        <f t="shared" si="198"/>
        <v>108424</v>
      </c>
      <c r="AS84" s="81">
        <f t="shared" si="198"/>
        <v>27574</v>
      </c>
      <c r="AT84" s="12">
        <f t="shared" si="198"/>
        <v>30195</v>
      </c>
      <c r="AU84" s="81">
        <f t="shared" si="198"/>
        <v>36419</v>
      </c>
      <c r="AV84" s="12">
        <f t="shared" si="198"/>
        <v>35119</v>
      </c>
      <c r="AW84" s="13">
        <f t="shared" si="198"/>
        <v>129307</v>
      </c>
      <c r="AX84" s="81">
        <f t="shared" si="198"/>
        <v>35959</v>
      </c>
      <c r="AY84" s="81">
        <f t="shared" si="198"/>
        <v>36974</v>
      </c>
      <c r="AZ84" s="12">
        <f t="shared" ref="AZ84:BZ84" si="199">AZ66+AZ71</f>
        <v>43522</v>
      </c>
      <c r="BA84" s="81">
        <f t="shared" si="199"/>
        <v>45173</v>
      </c>
      <c r="BB84" s="13">
        <f t="shared" si="199"/>
        <v>161628</v>
      </c>
      <c r="BC84" s="81">
        <f t="shared" si="199"/>
        <v>39437</v>
      </c>
      <c r="BD84" s="12">
        <f t="shared" si="199"/>
        <v>37700</v>
      </c>
      <c r="BE84" s="12">
        <f t="shared" si="199"/>
        <v>38626</v>
      </c>
      <c r="BF84" s="12">
        <f t="shared" si="199"/>
        <v>40107</v>
      </c>
      <c r="BG84" s="13">
        <f t="shared" si="199"/>
        <v>155870</v>
      </c>
      <c r="BH84" s="81">
        <f t="shared" si="199"/>
        <v>35077</v>
      </c>
      <c r="BI84" s="12">
        <f t="shared" si="199"/>
        <v>36419</v>
      </c>
      <c r="BJ84" s="12">
        <f t="shared" si="199"/>
        <v>40552</v>
      </c>
      <c r="BK84" s="12">
        <f t="shared" si="199"/>
        <v>47790</v>
      </c>
      <c r="BL84" s="13">
        <f t="shared" si="199"/>
        <v>159838</v>
      </c>
      <c r="BM84" s="12">
        <f t="shared" si="199"/>
        <v>34148</v>
      </c>
      <c r="BN84" s="12">
        <f t="shared" si="199"/>
        <v>41059</v>
      </c>
      <c r="BO84" s="12">
        <f t="shared" si="199"/>
        <v>49183</v>
      </c>
      <c r="BP84" s="12">
        <f t="shared" si="199"/>
        <v>47659</v>
      </c>
      <c r="BQ84" s="13">
        <f t="shared" si="199"/>
        <v>172049</v>
      </c>
      <c r="BR84" s="12">
        <f t="shared" si="199"/>
        <v>38297</v>
      </c>
      <c r="BS84" s="12">
        <f t="shared" si="199"/>
        <v>26091</v>
      </c>
      <c r="BT84" s="12">
        <f t="shared" si="199"/>
        <v>51232</v>
      </c>
      <c r="BU84" s="12">
        <f t="shared" si="199"/>
        <v>43360</v>
      </c>
      <c r="BV84" s="13">
        <f t="shared" si="199"/>
        <v>158980</v>
      </c>
      <c r="BW84" s="12">
        <f t="shared" si="199"/>
        <v>51428</v>
      </c>
      <c r="BX84" s="12">
        <f t="shared" si="199"/>
        <v>50759</v>
      </c>
      <c r="BY84" s="12">
        <f t="shared" si="199"/>
        <v>51785</v>
      </c>
      <c r="BZ84" s="12">
        <f t="shared" si="199"/>
        <v>33620</v>
      </c>
      <c r="CA84" s="13">
        <f t="shared" ref="CA84:CP84" si="200">CA66+CA71</f>
        <v>187592</v>
      </c>
      <c r="CB84" s="12">
        <f t="shared" si="200"/>
        <v>38542</v>
      </c>
      <c r="CC84" s="12">
        <f t="shared" si="200"/>
        <v>56130</v>
      </c>
      <c r="CD84" s="12">
        <f t="shared" si="200"/>
        <v>58914</v>
      </c>
      <c r="CE84" s="12">
        <f t="shared" si="200"/>
        <v>44650</v>
      </c>
      <c r="CF84" s="13">
        <f t="shared" si="200"/>
        <v>198236</v>
      </c>
      <c r="CG84" s="12">
        <f t="shared" si="200"/>
        <v>66639</v>
      </c>
      <c r="CH84" s="12">
        <f>CH66+CH71</f>
        <v>78665</v>
      </c>
      <c r="CI84" s="12">
        <f>CI66+CI71</f>
        <v>86096</v>
      </c>
      <c r="CJ84" s="12">
        <f t="shared" ref="CJ84" si="201">CJ66+CJ71</f>
        <v>76767</v>
      </c>
      <c r="CK84" s="13">
        <f t="shared" si="200"/>
        <v>308167</v>
      </c>
      <c r="CL84" s="12">
        <f>CL66+CL71</f>
        <v>95290</v>
      </c>
      <c r="CM84" s="12">
        <f t="shared" si="200"/>
        <v>102513</v>
      </c>
      <c r="CN84" s="12">
        <f t="shared" ref="CN84:CO84" si="202">CN66+CN71</f>
        <v>107552</v>
      </c>
      <c r="CO84" s="12">
        <f t="shared" si="202"/>
        <v>99942.033999999985</v>
      </c>
      <c r="CP84" s="13">
        <f t="shared" si="200"/>
        <v>405297.03399999999</v>
      </c>
      <c r="CQ84" s="12">
        <f t="shared" ref="CQ84:CU84" si="203">CQ66+CQ71</f>
        <v>112839.94299000004</v>
      </c>
      <c r="CR84" s="12">
        <f t="shared" si="203"/>
        <v>126872.71090999999</v>
      </c>
      <c r="CS84" s="12">
        <f t="shared" si="203"/>
        <v>124260.13850000003</v>
      </c>
      <c r="CT84" s="12">
        <f t="shared" si="203"/>
        <v>126069.03357796001</v>
      </c>
      <c r="CU84" s="13">
        <f t="shared" si="203"/>
        <v>490041.8259779599</v>
      </c>
      <c r="CV84" s="12"/>
      <c r="CW84" s="12"/>
      <c r="CX84" s="12"/>
      <c r="CY84" s="12"/>
      <c r="CZ84" s="205"/>
      <c r="DA84" s="205"/>
      <c r="DB84" s="205"/>
      <c r="DC84" s="205"/>
      <c r="DD84" s="205"/>
    </row>
    <row r="85" spans="1:117" s="68" customFormat="1">
      <c r="A85" s="10"/>
      <c r="B85" s="11"/>
      <c r="C85" s="12" t="s">
        <v>36</v>
      </c>
      <c r="D85" s="13">
        <v>11079</v>
      </c>
      <c r="E85" s="12">
        <v>1944</v>
      </c>
      <c r="F85" s="12">
        <v>1780</v>
      </c>
      <c r="G85" s="12">
        <v>5976</v>
      </c>
      <c r="H85" s="12">
        <v>4714</v>
      </c>
      <c r="I85" s="13">
        <v>14414</v>
      </c>
      <c r="J85" s="12">
        <v>3955</v>
      </c>
      <c r="K85" s="12">
        <v>4461</v>
      </c>
      <c r="L85" s="12">
        <v>4946</v>
      </c>
      <c r="M85" s="12">
        <f>N85-L85-K85-J85</f>
        <v>4266</v>
      </c>
      <c r="N85" s="13">
        <v>17628</v>
      </c>
      <c r="O85" s="12">
        <v>3222</v>
      </c>
      <c r="P85" s="12">
        <v>4134</v>
      </c>
      <c r="Q85" s="35">
        <v>4540</v>
      </c>
      <c r="R85" s="35">
        <v>2949</v>
      </c>
      <c r="S85" s="38">
        <f>SUM(O85:R85)</f>
        <v>14845</v>
      </c>
      <c r="T85" s="12">
        <v>3754</v>
      </c>
      <c r="U85" s="12">
        <v>3685</v>
      </c>
      <c r="V85" s="12">
        <v>4312</v>
      </c>
      <c r="W85" s="12">
        <v>4805</v>
      </c>
      <c r="X85" s="13">
        <f>SUM(T85:W85)</f>
        <v>16556</v>
      </c>
      <c r="Y85" s="12">
        <v>3660</v>
      </c>
      <c r="Z85" s="35">
        <v>4577</v>
      </c>
      <c r="AA85" s="12">
        <v>6978</v>
      </c>
      <c r="AB85" s="81">
        <v>5659</v>
      </c>
      <c r="AC85" s="13">
        <f>SUM(Y85:AB85)</f>
        <v>20874</v>
      </c>
      <c r="AD85" s="12">
        <v>5639</v>
      </c>
      <c r="AE85" s="12">
        <v>6006</v>
      </c>
      <c r="AF85" s="12">
        <v>6523</v>
      </c>
      <c r="AG85" s="12">
        <v>8550</v>
      </c>
      <c r="AH85" s="13">
        <f>SUM(AD85:AG85)</f>
        <v>26718</v>
      </c>
      <c r="AI85" s="12">
        <v>7720</v>
      </c>
      <c r="AJ85" s="12">
        <v>8666</v>
      </c>
      <c r="AK85" s="12">
        <v>9698</v>
      </c>
      <c r="AL85" s="12">
        <v>9443</v>
      </c>
      <c r="AM85" s="13">
        <f>SUM(AI85:AL85)</f>
        <v>35527</v>
      </c>
      <c r="AN85" s="12">
        <v>10086</v>
      </c>
      <c r="AO85" s="12">
        <v>10945</v>
      </c>
      <c r="AP85" s="12">
        <v>11602</v>
      </c>
      <c r="AQ85" s="12">
        <v>10922</v>
      </c>
      <c r="AR85" s="13">
        <f>SUM(AN85:AQ85)</f>
        <v>43555</v>
      </c>
      <c r="AS85" s="81">
        <v>9350</v>
      </c>
      <c r="AT85" s="12">
        <v>5188</v>
      </c>
      <c r="AU85" s="81">
        <v>989</v>
      </c>
      <c r="AV85" s="12">
        <v>3923</v>
      </c>
      <c r="AW85" s="13">
        <f>SUM(AS85:AV85)</f>
        <v>19450</v>
      </c>
      <c r="AX85" s="81">
        <v>3653</v>
      </c>
      <c r="AY85" s="81">
        <v>5396</v>
      </c>
      <c r="AZ85" s="12">
        <v>5259</v>
      </c>
      <c r="BA85" s="81">
        <v>-16625</v>
      </c>
      <c r="BB85" s="13">
        <f>SUM(AX85:BA85)</f>
        <v>-2317</v>
      </c>
      <c r="BC85" s="12">
        <v>1612</v>
      </c>
      <c r="BD85" s="12">
        <v>-1461</v>
      </c>
      <c r="BE85" s="12">
        <v>-298</v>
      </c>
      <c r="BF85" s="12">
        <f>8555</f>
        <v>8555</v>
      </c>
      <c r="BG85" s="13">
        <f>SUM(BC85:BF85)</f>
        <v>8408</v>
      </c>
      <c r="BH85" s="12">
        <v>7729</v>
      </c>
      <c r="BI85" s="12">
        <v>4420</v>
      </c>
      <c r="BJ85" s="12">
        <v>162</v>
      </c>
      <c r="BK85" s="12">
        <v>1000</v>
      </c>
      <c r="BL85" s="13">
        <f>SUM(BH85:BK85)</f>
        <v>13311</v>
      </c>
      <c r="BM85" s="12">
        <v>-12667</v>
      </c>
      <c r="BN85" s="12">
        <f>-12081</f>
        <v>-12081</v>
      </c>
      <c r="BO85" s="12">
        <v>10652</v>
      </c>
      <c r="BP85" s="12">
        <v>-5682</v>
      </c>
      <c r="BQ85" s="13">
        <f>SUM(BM85:BP85)</f>
        <v>-19778</v>
      </c>
      <c r="BR85" s="12">
        <v>1320</v>
      </c>
      <c r="BS85" s="12">
        <v>562</v>
      </c>
      <c r="BT85" s="12">
        <v>7063</v>
      </c>
      <c r="BU85" s="12">
        <v>-11422</v>
      </c>
      <c r="BV85" s="13">
        <f>SUM(BR85:BU85)</f>
        <v>-2477</v>
      </c>
      <c r="BW85" s="12">
        <v>11444</v>
      </c>
      <c r="BX85" s="12">
        <v>10813</v>
      </c>
      <c r="BY85" s="12">
        <v>-1447</v>
      </c>
      <c r="BZ85" s="12">
        <v>2543</v>
      </c>
      <c r="CA85" s="13">
        <f>SUM(BW85:BZ85)</f>
        <v>23353</v>
      </c>
      <c r="CB85" s="12">
        <v>7667</v>
      </c>
      <c r="CC85" s="12">
        <v>7000</v>
      </c>
      <c r="CD85" s="12">
        <v>11903</v>
      </c>
      <c r="CE85" s="12">
        <v>5747</v>
      </c>
      <c r="CF85" s="13">
        <f>SUM(CB85:CE85)</f>
        <v>32317</v>
      </c>
      <c r="CG85" s="12">
        <v>12469</v>
      </c>
      <c r="CH85" s="12">
        <v>10927</v>
      </c>
      <c r="CI85" s="12">
        <f>10199</f>
        <v>10199</v>
      </c>
      <c r="CJ85" s="12">
        <v>11546</v>
      </c>
      <c r="CK85" s="13">
        <f>SUM(CG85:CJ85)</f>
        <v>45141</v>
      </c>
      <c r="CL85" s="12">
        <v>14238</v>
      </c>
      <c r="CM85" s="12">
        <v>17886</v>
      </c>
      <c r="CN85" s="12">
        <v>23159</v>
      </c>
      <c r="CO85" s="12">
        <v>19432</v>
      </c>
      <c r="CP85" s="13">
        <f>SUM(CL85:CO85)</f>
        <v>74715</v>
      </c>
      <c r="CQ85" s="12">
        <f>CQ84*CQ86</f>
        <v>26517.386602650007</v>
      </c>
      <c r="CR85" s="12">
        <f>CR84*CR86</f>
        <v>29815.087063849998</v>
      </c>
      <c r="CS85" s="12">
        <f>CS84*CS86</f>
        <v>29201.132547500005</v>
      </c>
      <c r="CT85" s="12">
        <f>CT84*CT86</f>
        <v>29626.222890820602</v>
      </c>
      <c r="CU85" s="13">
        <f>SUM(CQ85:CT85)</f>
        <v>115159.82910482062</v>
      </c>
      <c r="CV85" s="12"/>
      <c r="CW85" s="12"/>
      <c r="CX85" s="12"/>
      <c r="CY85" s="12"/>
      <c r="CZ85" s="205"/>
      <c r="DA85" s="377"/>
      <c r="DB85" s="204"/>
      <c r="DC85" s="205"/>
      <c r="DD85" s="205"/>
    </row>
    <row r="86" spans="1:117" s="107" customFormat="1">
      <c r="A86" s="97"/>
      <c r="B86" s="98"/>
      <c r="C86" s="99" t="s">
        <v>37</v>
      </c>
      <c r="D86" s="100">
        <f>D85/D84</f>
        <v>0.38764870538838347</v>
      </c>
      <c r="E86" s="99">
        <f>E85/E84</f>
        <v>0.3834319526627219</v>
      </c>
      <c r="F86" s="99">
        <f t="shared" ref="F86:AG86" si="204">F85/F84</f>
        <v>0.87857847976308001</v>
      </c>
      <c r="G86" s="99">
        <f t="shared" si="204"/>
        <v>0.48447507093635994</v>
      </c>
      <c r="H86" s="99">
        <f t="shared" si="204"/>
        <v>0.47882173692229557</v>
      </c>
      <c r="I86" s="100">
        <f t="shared" si="204"/>
        <v>0.49234868151386801</v>
      </c>
      <c r="J86" s="99">
        <f t="shared" si="204"/>
        <v>0.39704848910751933</v>
      </c>
      <c r="K86" s="99">
        <f t="shared" si="204"/>
        <v>0.39359449444150346</v>
      </c>
      <c r="L86" s="99">
        <f t="shared" si="204"/>
        <v>0.39819660252797684</v>
      </c>
      <c r="M86" s="99">
        <f t="shared" si="204"/>
        <v>0.39058780443142282</v>
      </c>
      <c r="N86" s="100">
        <f t="shared" si="204"/>
        <v>0.39491016622608538</v>
      </c>
      <c r="O86" s="99">
        <f t="shared" si="204"/>
        <v>0.39807264640474427</v>
      </c>
      <c r="P86" s="99">
        <f t="shared" si="204"/>
        <v>0.39815082346142733</v>
      </c>
      <c r="Q86" s="99">
        <f t="shared" si="204"/>
        <v>0.40308976294060195</v>
      </c>
      <c r="R86" s="99">
        <f t="shared" si="204"/>
        <v>0.29028447681858449</v>
      </c>
      <c r="S86" s="100">
        <f t="shared" si="204"/>
        <v>0.37206446276849042</v>
      </c>
      <c r="T86" s="99">
        <f t="shared" si="204"/>
        <v>0.39590803627926596</v>
      </c>
      <c r="U86" s="99">
        <f t="shared" si="204"/>
        <v>0.39585347513159308</v>
      </c>
      <c r="V86" s="99">
        <f t="shared" si="204"/>
        <v>0.36486715180233542</v>
      </c>
      <c r="W86" s="99">
        <f t="shared" si="204"/>
        <v>0.35582049763033174</v>
      </c>
      <c r="X86" s="100">
        <f t="shared" si="204"/>
        <v>0.37530886586720469</v>
      </c>
      <c r="Y86" s="99">
        <f t="shared" si="204"/>
        <v>0.39182100417514187</v>
      </c>
      <c r="Z86" s="99">
        <f t="shared" si="204"/>
        <v>0.39179934942646805</v>
      </c>
      <c r="AA86" s="99">
        <v>0.39200000000000002</v>
      </c>
      <c r="AB86" s="99">
        <v>0.39200000000000002</v>
      </c>
      <c r="AC86" s="100">
        <f t="shared" si="204"/>
        <v>0.38750278458453996</v>
      </c>
      <c r="AD86" s="99">
        <v>0.38</v>
      </c>
      <c r="AE86" s="99">
        <f t="shared" si="204"/>
        <v>0.39899023450474991</v>
      </c>
      <c r="AF86" s="99">
        <f t="shared" si="204"/>
        <v>0.3712155702253585</v>
      </c>
      <c r="AG86" s="99">
        <f t="shared" si="204"/>
        <v>0.44853635505193579</v>
      </c>
      <c r="AH86" s="100">
        <f>AH85/AH84</f>
        <v>0.40593141797961074</v>
      </c>
      <c r="AI86" s="99">
        <v>0.38</v>
      </c>
      <c r="AJ86" s="99">
        <f t="shared" ref="AJ86:AP86" si="205">AJ85/AJ84</f>
        <v>0.37024694522771939</v>
      </c>
      <c r="AK86" s="99">
        <f t="shared" si="205"/>
        <v>0.36324818338452319</v>
      </c>
      <c r="AL86" s="99">
        <f t="shared" si="205"/>
        <v>0.38138126009693052</v>
      </c>
      <c r="AM86" s="100">
        <f>AM85/AM84</f>
        <v>0.37607841891877586</v>
      </c>
      <c r="AN86" s="99">
        <f t="shared" si="205"/>
        <v>0.36865382506670563</v>
      </c>
      <c r="AO86" s="99">
        <f t="shared" si="205"/>
        <v>0.36751620160505022</v>
      </c>
      <c r="AP86" s="99">
        <f t="shared" si="205"/>
        <v>0.36548639112903225</v>
      </c>
      <c r="AQ86" s="99">
        <f t="shared" ref="AQ86:BA86" si="206">AQ85/AQ84</f>
        <v>0.55895598771750254</v>
      </c>
      <c r="AR86" s="100">
        <f t="shared" si="206"/>
        <v>0.40170995351582678</v>
      </c>
      <c r="AS86" s="236">
        <f t="shared" si="206"/>
        <v>0.33908754623921084</v>
      </c>
      <c r="AT86" s="236">
        <f t="shared" si="206"/>
        <v>0.17181652591488658</v>
      </c>
      <c r="AU86" s="236">
        <f t="shared" si="206"/>
        <v>2.7156154754386447E-2</v>
      </c>
      <c r="AV86" s="236">
        <f t="shared" si="206"/>
        <v>0.11170591417751075</v>
      </c>
      <c r="AW86" s="100">
        <f t="shared" si="206"/>
        <v>0.15041722412553071</v>
      </c>
      <c r="AX86" s="486">
        <f t="shared" si="206"/>
        <v>0.10158791957507161</v>
      </c>
      <c r="AY86" s="236">
        <f t="shared" si="206"/>
        <v>0.14594039054470709</v>
      </c>
      <c r="AZ86" s="236">
        <f t="shared" si="206"/>
        <v>0.12083543954781489</v>
      </c>
      <c r="BA86" s="236">
        <f t="shared" si="206"/>
        <v>-0.36802957518871893</v>
      </c>
      <c r="BB86" s="100">
        <f>BB85/BB84</f>
        <v>-1.4335387432870543E-2</v>
      </c>
      <c r="BC86" s="98">
        <f>BC85/BC84</f>
        <v>4.0875320130841594E-2</v>
      </c>
      <c r="BD86" s="99">
        <f>BD85/BD84</f>
        <v>-3.8753315649867372E-2</v>
      </c>
      <c r="BE86" s="99">
        <f t="shared" ref="BE86:BS86" si="207">BE85/BE84</f>
        <v>-7.7150106146119191E-3</v>
      </c>
      <c r="BF86" s="99">
        <f t="shared" si="207"/>
        <v>0.21330441070137382</v>
      </c>
      <c r="BG86" s="100">
        <f>BG85/BG84</f>
        <v>5.3942387887342014E-2</v>
      </c>
      <c r="BH86" s="99">
        <f t="shared" si="207"/>
        <v>0.22034381503549336</v>
      </c>
      <c r="BI86" s="99">
        <f t="shared" si="207"/>
        <v>0.12136522145034186</v>
      </c>
      <c r="BJ86" s="99">
        <f t="shared" si="207"/>
        <v>3.9948707831919507E-3</v>
      </c>
      <c r="BK86" s="99">
        <f t="shared" si="207"/>
        <v>2.092487968194183E-2</v>
      </c>
      <c r="BL86" s="100">
        <f>BL85/BL84</f>
        <v>8.3278069044907962E-2</v>
      </c>
      <c r="BM86" s="99">
        <f t="shared" si="207"/>
        <v>-0.37094412557104367</v>
      </c>
      <c r="BN86" s="99">
        <f t="shared" si="207"/>
        <v>-0.2942351250639324</v>
      </c>
      <c r="BO86" s="99">
        <f t="shared" si="207"/>
        <v>0.21657889921314274</v>
      </c>
      <c r="BP86" s="99">
        <f t="shared" si="207"/>
        <v>-0.11922197276485029</v>
      </c>
      <c r="BQ86" s="100">
        <f>BQ85/BQ84</f>
        <v>-0.11495562310737058</v>
      </c>
      <c r="BR86" s="99">
        <f t="shared" si="207"/>
        <v>3.4467451758623389E-2</v>
      </c>
      <c r="BS86" s="99">
        <f t="shared" si="207"/>
        <v>2.1539994634165036E-2</v>
      </c>
      <c r="BT86" s="99">
        <v>0.05</v>
      </c>
      <c r="BU86" s="99">
        <v>0.05</v>
      </c>
      <c r="BV86" s="100">
        <f>BV85/BV84</f>
        <v>-1.5580576173103535E-2</v>
      </c>
      <c r="BW86" s="99">
        <f t="shared" ref="BW86:CG86" si="208">BW85/BW84</f>
        <v>0.22252469471883021</v>
      </c>
      <c r="BX86" s="99">
        <f t="shared" si="208"/>
        <v>0.21302626135266653</v>
      </c>
      <c r="BY86" s="99">
        <f t="shared" si="208"/>
        <v>-2.7942454378681085E-2</v>
      </c>
      <c r="BZ86" s="99">
        <f t="shared" si="208"/>
        <v>7.5639500297442E-2</v>
      </c>
      <c r="CA86" s="100">
        <f>CA85/CA84</f>
        <v>0.12448825109812785</v>
      </c>
      <c r="CB86" s="99">
        <f t="shared" si="208"/>
        <v>0.19892584712780861</v>
      </c>
      <c r="CC86" s="99">
        <f t="shared" si="208"/>
        <v>0.12471049349723855</v>
      </c>
      <c r="CD86" s="99">
        <f t="shared" si="208"/>
        <v>0.20204026207692569</v>
      </c>
      <c r="CE86" s="99">
        <f t="shared" si="208"/>
        <v>0.12871220604703248</v>
      </c>
      <c r="CF86" s="100">
        <f>CF85/CF84</f>
        <v>0.16302286163966181</v>
      </c>
      <c r="CG86" s="99">
        <f t="shared" si="208"/>
        <v>0.18711265175047645</v>
      </c>
      <c r="CH86" s="99">
        <f>CH85/CH84</f>
        <v>0.1389054852857052</v>
      </c>
      <c r="CI86" s="99">
        <f>CI85/CI84</f>
        <v>0.1184607879576287</v>
      </c>
      <c r="CJ86" s="99">
        <f t="shared" ref="CJ86" si="209">CJ85/CJ84</f>
        <v>0.15040316802792866</v>
      </c>
      <c r="CK86" s="100">
        <f>CK85/CK84</f>
        <v>0.14648226448646351</v>
      </c>
      <c r="CL86" s="99">
        <f t="shared" ref="CL86" si="210">CL85/CL84</f>
        <v>0.14941756742575296</v>
      </c>
      <c r="CM86" s="99">
        <f>CM85/CM84</f>
        <v>0.17447543238418542</v>
      </c>
      <c r="CN86" s="236">
        <f>CN85/CN84</f>
        <v>0.21532839928592681</v>
      </c>
      <c r="CO86" s="236">
        <f>CO85/CO84</f>
        <v>0.19443270486170017</v>
      </c>
      <c r="CP86" s="100">
        <f>CP85/CP84</f>
        <v>0.18434627873442569</v>
      </c>
      <c r="CQ86" s="1113">
        <v>0.23499999999999999</v>
      </c>
      <c r="CR86" s="1113">
        <v>0.23499999999999999</v>
      </c>
      <c r="CS86" s="1113">
        <v>0.23499999999999999</v>
      </c>
      <c r="CT86" s="1113">
        <v>0.23499999999999999</v>
      </c>
      <c r="CU86" s="100">
        <f>CU85/CU84</f>
        <v>0.23500000000000007</v>
      </c>
      <c r="CV86" s="99"/>
      <c r="CW86" s="99"/>
      <c r="CX86" s="99"/>
      <c r="CY86" s="99"/>
      <c r="CZ86" s="204"/>
      <c r="DA86" s="205"/>
      <c r="DB86" s="205"/>
      <c r="DC86" s="205"/>
      <c r="DD86" s="205"/>
      <c r="DE86" s="67"/>
      <c r="DF86" s="67"/>
      <c r="DG86" s="67"/>
      <c r="DH86" s="67"/>
      <c r="DI86" s="67"/>
      <c r="DJ86" s="67"/>
      <c r="DK86" s="67"/>
      <c r="DL86" s="67"/>
      <c r="DM86" s="67"/>
    </row>
    <row r="87" spans="1:117">
      <c r="A87" s="7"/>
      <c r="B87" s="239" t="s">
        <v>375</v>
      </c>
      <c r="C87" s="251"/>
      <c r="D87" s="254">
        <f>D84-D85</f>
        <v>17501</v>
      </c>
      <c r="E87" s="255">
        <f t="shared" ref="E87:AM87" si="211">E84-E85</f>
        <v>3126</v>
      </c>
      <c r="F87" s="255">
        <f t="shared" si="211"/>
        <v>246</v>
      </c>
      <c r="G87" s="255">
        <f t="shared" si="211"/>
        <v>6359</v>
      </c>
      <c r="H87" s="255">
        <f t="shared" si="211"/>
        <v>5131</v>
      </c>
      <c r="I87" s="254">
        <f t="shared" si="211"/>
        <v>14862</v>
      </c>
      <c r="J87" s="255">
        <f t="shared" si="211"/>
        <v>6006</v>
      </c>
      <c r="K87" s="255">
        <f t="shared" si="211"/>
        <v>6873</v>
      </c>
      <c r="L87" s="255">
        <f t="shared" si="211"/>
        <v>7475</v>
      </c>
      <c r="M87" s="255">
        <f t="shared" si="211"/>
        <v>6656</v>
      </c>
      <c r="N87" s="254">
        <f t="shared" si="211"/>
        <v>27010</v>
      </c>
      <c r="O87" s="255">
        <f t="shared" si="211"/>
        <v>4872</v>
      </c>
      <c r="P87" s="255">
        <f t="shared" si="211"/>
        <v>6249</v>
      </c>
      <c r="Q87" s="255">
        <f t="shared" si="211"/>
        <v>6723</v>
      </c>
      <c r="R87" s="255">
        <f t="shared" si="211"/>
        <v>7210</v>
      </c>
      <c r="S87" s="254">
        <f t="shared" si="211"/>
        <v>25054</v>
      </c>
      <c r="T87" s="262">
        <f t="shared" si="211"/>
        <v>5728</v>
      </c>
      <c r="U87" s="255">
        <f t="shared" si="211"/>
        <v>5624</v>
      </c>
      <c r="V87" s="255">
        <f t="shared" si="211"/>
        <v>7506</v>
      </c>
      <c r="W87" s="255">
        <f t="shared" si="211"/>
        <v>8699</v>
      </c>
      <c r="X87" s="254">
        <f t="shared" si="211"/>
        <v>27557</v>
      </c>
      <c r="Y87" s="255">
        <f t="shared" si="211"/>
        <v>5681</v>
      </c>
      <c r="Z87" s="255">
        <f t="shared" si="211"/>
        <v>7105</v>
      </c>
      <c r="AA87" s="255">
        <f t="shared" si="211"/>
        <v>10832</v>
      </c>
      <c r="AB87" s="255">
        <f t="shared" si="211"/>
        <v>9376</v>
      </c>
      <c r="AC87" s="254">
        <f t="shared" si="211"/>
        <v>32994</v>
      </c>
      <c r="AD87" s="255">
        <f t="shared" si="211"/>
        <v>8493</v>
      </c>
      <c r="AE87" s="255">
        <f>AE84-AE85</f>
        <v>9047</v>
      </c>
      <c r="AF87" s="255">
        <f t="shared" si="211"/>
        <v>11049</v>
      </c>
      <c r="AG87" s="255">
        <f t="shared" si="211"/>
        <v>10512</v>
      </c>
      <c r="AH87" s="254">
        <f t="shared" si="211"/>
        <v>39101</v>
      </c>
      <c r="AI87" s="255">
        <f t="shared" si="211"/>
        <v>11883</v>
      </c>
      <c r="AJ87" s="255">
        <f t="shared" si="211"/>
        <v>14740</v>
      </c>
      <c r="AK87" s="255">
        <f t="shared" si="211"/>
        <v>17000</v>
      </c>
      <c r="AL87" s="255">
        <f t="shared" si="211"/>
        <v>15317</v>
      </c>
      <c r="AM87" s="254">
        <f t="shared" si="211"/>
        <v>58940</v>
      </c>
      <c r="AN87" s="255">
        <f t="shared" ref="AN87:BQ87" si="212">AN84-AN85</f>
        <v>17273</v>
      </c>
      <c r="AO87" s="255">
        <f t="shared" si="212"/>
        <v>18836</v>
      </c>
      <c r="AP87" s="255">
        <f t="shared" si="212"/>
        <v>20142</v>
      </c>
      <c r="AQ87" s="255">
        <f t="shared" si="212"/>
        <v>8618</v>
      </c>
      <c r="AR87" s="254">
        <f t="shared" si="212"/>
        <v>64869</v>
      </c>
      <c r="AS87" s="410">
        <f t="shared" si="212"/>
        <v>18224</v>
      </c>
      <c r="AT87" s="255">
        <f t="shared" si="212"/>
        <v>25007</v>
      </c>
      <c r="AU87" s="410">
        <f t="shared" si="212"/>
        <v>35430</v>
      </c>
      <c r="AV87" s="255">
        <f t="shared" si="212"/>
        <v>31196</v>
      </c>
      <c r="AW87" s="254">
        <f t="shared" si="212"/>
        <v>109857</v>
      </c>
      <c r="AX87" s="410">
        <f t="shared" si="212"/>
        <v>32306</v>
      </c>
      <c r="AY87" s="488">
        <f t="shared" si="212"/>
        <v>31578</v>
      </c>
      <c r="AZ87" s="255">
        <f t="shared" si="212"/>
        <v>38263</v>
      </c>
      <c r="BA87" s="410">
        <f t="shared" si="212"/>
        <v>61798</v>
      </c>
      <c r="BB87" s="254">
        <f t="shared" si="212"/>
        <v>163945</v>
      </c>
      <c r="BC87" s="410">
        <f t="shared" si="212"/>
        <v>37825</v>
      </c>
      <c r="BD87" s="485">
        <f t="shared" si="212"/>
        <v>39161</v>
      </c>
      <c r="BE87" s="255">
        <f t="shared" si="212"/>
        <v>38924</v>
      </c>
      <c r="BF87" s="255">
        <f t="shared" si="212"/>
        <v>31552</v>
      </c>
      <c r="BG87" s="254">
        <f t="shared" si="212"/>
        <v>147462</v>
      </c>
      <c r="BH87" s="410">
        <f t="shared" si="212"/>
        <v>27348</v>
      </c>
      <c r="BI87" s="485">
        <f t="shared" si="212"/>
        <v>31999</v>
      </c>
      <c r="BJ87" s="255">
        <f t="shared" si="212"/>
        <v>40390</v>
      </c>
      <c r="BK87" s="255">
        <f t="shared" si="212"/>
        <v>46790</v>
      </c>
      <c r="BL87" s="254">
        <f t="shared" si="212"/>
        <v>146527</v>
      </c>
      <c r="BM87" s="255">
        <f t="shared" si="212"/>
        <v>46815</v>
      </c>
      <c r="BN87" s="485">
        <f t="shared" si="212"/>
        <v>53140</v>
      </c>
      <c r="BO87" s="255">
        <f t="shared" si="212"/>
        <v>38531</v>
      </c>
      <c r="BP87" s="255">
        <f t="shared" si="212"/>
        <v>53341</v>
      </c>
      <c r="BQ87" s="254">
        <f t="shared" si="212"/>
        <v>191827</v>
      </c>
      <c r="BR87" s="255">
        <f t="shared" ref="BR87:BW87" si="213">BR84-BR85</f>
        <v>36977</v>
      </c>
      <c r="BS87" s="485">
        <f t="shared" si="213"/>
        <v>25529</v>
      </c>
      <c r="BT87" s="255">
        <f t="shared" si="213"/>
        <v>44169</v>
      </c>
      <c r="BU87" s="255">
        <f t="shared" si="213"/>
        <v>54782</v>
      </c>
      <c r="BV87" s="254">
        <f t="shared" si="213"/>
        <v>161457</v>
      </c>
      <c r="BW87" s="485">
        <f t="shared" si="213"/>
        <v>39984</v>
      </c>
      <c r="BX87" s="485">
        <f t="shared" ref="BX87:CP87" si="214">BX84-BX85</f>
        <v>39946</v>
      </c>
      <c r="BY87" s="255">
        <f t="shared" si="214"/>
        <v>53232</v>
      </c>
      <c r="BZ87" s="255">
        <f t="shared" si="214"/>
        <v>31077</v>
      </c>
      <c r="CA87" s="254">
        <f t="shared" si="214"/>
        <v>164239</v>
      </c>
      <c r="CB87" s="485">
        <f t="shared" si="214"/>
        <v>30875</v>
      </c>
      <c r="CC87" s="485">
        <f t="shared" si="214"/>
        <v>49130</v>
      </c>
      <c r="CD87" s="255">
        <f t="shared" si="214"/>
        <v>47011</v>
      </c>
      <c r="CE87" s="255">
        <f t="shared" si="214"/>
        <v>38903</v>
      </c>
      <c r="CF87" s="254">
        <f t="shared" si="214"/>
        <v>165919</v>
      </c>
      <c r="CG87" s="485">
        <f t="shared" si="214"/>
        <v>54170</v>
      </c>
      <c r="CH87" s="485">
        <f>CH84-CH85</f>
        <v>67738</v>
      </c>
      <c r="CI87" s="485">
        <f>CI84-CI85</f>
        <v>75897</v>
      </c>
      <c r="CJ87" s="255">
        <f t="shared" ref="CJ87" si="215">CJ84-CJ85</f>
        <v>65221</v>
      </c>
      <c r="CK87" s="254">
        <f t="shared" si="214"/>
        <v>263026</v>
      </c>
      <c r="CL87" s="485">
        <f>CL84-CL85</f>
        <v>81052</v>
      </c>
      <c r="CM87" s="485">
        <f t="shared" si="214"/>
        <v>84627</v>
      </c>
      <c r="CN87" s="255">
        <f t="shared" ref="CN87:CO87" si="216">CN84-CN85</f>
        <v>84393</v>
      </c>
      <c r="CO87" s="255">
        <f t="shared" si="216"/>
        <v>80510.033999999985</v>
      </c>
      <c r="CP87" s="254">
        <f t="shared" si="214"/>
        <v>330582.03399999999</v>
      </c>
      <c r="CQ87" s="485">
        <f t="shared" ref="CQ87:CU87" si="217">CQ84-CQ85</f>
        <v>86322.556387350036</v>
      </c>
      <c r="CR87" s="485">
        <f t="shared" si="217"/>
        <v>97057.623846150003</v>
      </c>
      <c r="CS87" s="255">
        <f t="shared" si="217"/>
        <v>95059.005952500025</v>
      </c>
      <c r="CT87" s="255">
        <f t="shared" si="217"/>
        <v>96442.810687139412</v>
      </c>
      <c r="CU87" s="254">
        <f t="shared" si="217"/>
        <v>374881.99687313929</v>
      </c>
      <c r="CV87" s="21"/>
      <c r="CW87" s="21"/>
      <c r="CX87" s="21"/>
      <c r="CY87" s="21"/>
      <c r="CZ87" s="205"/>
      <c r="DA87" s="377"/>
      <c r="DB87" s="204"/>
      <c r="DC87" s="204"/>
      <c r="DD87" s="204"/>
      <c r="DE87" s="107"/>
    </row>
    <row r="88" spans="1:117" s="179" customFormat="1">
      <c r="A88" s="97"/>
      <c r="B88" s="98"/>
      <c r="C88" s="99" t="s">
        <v>39</v>
      </c>
      <c r="D88" s="100">
        <f t="shared" ref="D88:AI88" si="218">D87/D23</f>
        <v>7.9623833008789974E-2</v>
      </c>
      <c r="E88" s="99">
        <f t="shared" si="218"/>
        <v>5.266971070411619E-2</v>
      </c>
      <c r="F88" s="99">
        <f t="shared" si="218"/>
        <v>3.6407228166762864E-3</v>
      </c>
      <c r="G88" s="99">
        <f t="shared" si="218"/>
        <v>9.2646823142037094E-2</v>
      </c>
      <c r="H88" s="99">
        <f t="shared" si="218"/>
        <v>7.3780628091567935E-2</v>
      </c>
      <c r="I88" s="100">
        <f t="shared" si="218"/>
        <v>5.6061651974153248E-2</v>
      </c>
      <c r="J88" s="99">
        <f t="shared" si="218"/>
        <v>8.6336519801624378E-2</v>
      </c>
      <c r="K88" s="99">
        <f t="shared" si="218"/>
        <v>9.5230837443884053E-2</v>
      </c>
      <c r="L88" s="99">
        <f t="shared" si="218"/>
        <v>0.1005623419254157</v>
      </c>
      <c r="M88" s="99">
        <f t="shared" si="218"/>
        <v>8.9682956734979863E-2</v>
      </c>
      <c r="N88" s="100">
        <f t="shared" si="218"/>
        <v>9.3046168261645412E-2</v>
      </c>
      <c r="O88" s="99">
        <f t="shared" si="218"/>
        <v>6.977943282727013E-2</v>
      </c>
      <c r="P88" s="99">
        <f t="shared" si="218"/>
        <v>8.607438016528926E-2</v>
      </c>
      <c r="Q88" s="99">
        <f t="shared" si="218"/>
        <v>9.1135842969268938E-2</v>
      </c>
      <c r="R88" s="99">
        <f t="shared" si="218"/>
        <v>9.9532020044451192E-2</v>
      </c>
      <c r="S88" s="100">
        <f t="shared" si="218"/>
        <v>8.6803775101514755E-2</v>
      </c>
      <c r="T88" s="99">
        <f t="shared" si="218"/>
        <v>7.8045590178899893E-2</v>
      </c>
      <c r="U88" s="99">
        <f t="shared" si="218"/>
        <v>7.3291196976607811E-2</v>
      </c>
      <c r="V88" s="99">
        <f t="shared" si="218"/>
        <v>9.7248134328358216E-2</v>
      </c>
      <c r="W88" s="99">
        <f t="shared" si="218"/>
        <v>0.10598326002997112</v>
      </c>
      <c r="X88" s="100">
        <f t="shared" si="218"/>
        <v>8.9068524940932342E-2</v>
      </c>
      <c r="Y88" s="99">
        <f t="shared" si="218"/>
        <v>6.8674975520713707E-2</v>
      </c>
      <c r="Z88" s="99">
        <f t="shared" si="218"/>
        <v>7.7762455126521315E-2</v>
      </c>
      <c r="AA88" s="99">
        <f t="shared" si="218"/>
        <v>0.11542436997176195</v>
      </c>
      <c r="AB88" s="99">
        <f t="shared" si="218"/>
        <v>9.8313899840617391E-2</v>
      </c>
      <c r="AC88" s="100">
        <f t="shared" si="218"/>
        <v>9.081650628674609E-2</v>
      </c>
      <c r="AD88" s="99">
        <f t="shared" si="218"/>
        <v>8.8654370087370427E-2</v>
      </c>
      <c r="AE88" s="99">
        <f t="shared" si="218"/>
        <v>8.7759972062703709E-2</v>
      </c>
      <c r="AF88" s="99">
        <f t="shared" si="218"/>
        <v>0.1032414199082423</v>
      </c>
      <c r="AG88" s="99">
        <f t="shared" si="218"/>
        <v>9.4929335801688719E-2</v>
      </c>
      <c r="AH88" s="100">
        <f t="shared" si="218"/>
        <v>9.3847730551095299E-2</v>
      </c>
      <c r="AI88" s="99">
        <f t="shared" si="218"/>
        <v>0.10550849714985883</v>
      </c>
      <c r="AJ88" s="99">
        <f t="shared" ref="AJ88:BO88" si="219">AJ87/AJ23</f>
        <v>0.11851637439596047</v>
      </c>
      <c r="AK88" s="99">
        <f t="shared" si="219"/>
        <v>0.13212709071690604</v>
      </c>
      <c r="AL88" s="99">
        <f t="shared" si="219"/>
        <v>0.12018989328311362</v>
      </c>
      <c r="AM88" s="100">
        <f t="shared" si="219"/>
        <v>0.11952926479565039</v>
      </c>
      <c r="AN88" s="99">
        <f t="shared" si="219"/>
        <v>0.12798038024391328</v>
      </c>
      <c r="AO88" s="99">
        <f t="shared" si="219"/>
        <v>0.12875354591749547</v>
      </c>
      <c r="AP88" s="99">
        <f t="shared" si="219"/>
        <v>0.13352779343034241</v>
      </c>
      <c r="AQ88" s="99">
        <f t="shared" si="219"/>
        <v>5.3151925199982727E-2</v>
      </c>
      <c r="AR88" s="100">
        <f t="shared" si="219"/>
        <v>0.10916204595747545</v>
      </c>
      <c r="AS88" s="236">
        <f t="shared" si="219"/>
        <v>9.8514498237723527E-2</v>
      </c>
      <c r="AT88" s="99">
        <f t="shared" si="219"/>
        <v>0.12906905325962972</v>
      </c>
      <c r="AU88" s="236">
        <f t="shared" si="219"/>
        <v>0.17915927122680866</v>
      </c>
      <c r="AV88" s="99">
        <f t="shared" si="219"/>
        <v>0.15993355754244934</v>
      </c>
      <c r="AW88" s="100">
        <f t="shared" si="219"/>
        <v>0.14238480979845766</v>
      </c>
      <c r="AX88" s="236">
        <f t="shared" si="219"/>
        <v>0.16164557658725989</v>
      </c>
      <c r="AY88" s="236">
        <f t="shared" si="219"/>
        <v>0.150789330430049</v>
      </c>
      <c r="AZ88" s="99">
        <f t="shared" si="219"/>
        <v>0.17845882616320285</v>
      </c>
      <c r="BA88" s="236">
        <f t="shared" si="219"/>
        <v>0.28336527791788563</v>
      </c>
      <c r="BB88" s="100">
        <f t="shared" si="219"/>
        <v>0.19476245858424343</v>
      </c>
      <c r="BC88" s="236">
        <f t="shared" si="219"/>
        <v>0.17085620073627392</v>
      </c>
      <c r="BD88" s="99">
        <f t="shared" si="219"/>
        <v>0.16473443770454566</v>
      </c>
      <c r="BE88" s="99">
        <f t="shared" si="219"/>
        <v>0.16384361530172414</v>
      </c>
      <c r="BF88" s="99">
        <f t="shared" si="219"/>
        <v>0.12982599070908066</v>
      </c>
      <c r="BG88" s="100">
        <f t="shared" si="219"/>
        <v>0.15692321444533833</v>
      </c>
      <c r="BH88" s="236">
        <f t="shared" si="219"/>
        <v>0.10993596314564465</v>
      </c>
      <c r="BI88" s="99">
        <f t="shared" si="219"/>
        <v>0.11511218392623956</v>
      </c>
      <c r="BJ88" s="99">
        <f t="shared" si="219"/>
        <v>0.14571390433173273</v>
      </c>
      <c r="BK88" s="99">
        <f t="shared" si="219"/>
        <v>0.16279029311994433</v>
      </c>
      <c r="BL88" s="100">
        <f t="shared" si="219"/>
        <v>0.13426141424063276</v>
      </c>
      <c r="BM88" s="236">
        <f t="shared" si="219"/>
        <v>0.16914155647084328</v>
      </c>
      <c r="BN88" s="99">
        <f t="shared" si="219"/>
        <v>0.19585079368589425</v>
      </c>
      <c r="BO88" s="99">
        <f t="shared" si="219"/>
        <v>0.13475345967818086</v>
      </c>
      <c r="BP88" s="99">
        <f t="shared" ref="BP88:CK88" si="220">BP87/BP23</f>
        <v>0.18821275334500084</v>
      </c>
      <c r="BQ88" s="100">
        <f t="shared" si="220"/>
        <v>0.17166433696599592</v>
      </c>
      <c r="BR88" s="236">
        <f t="shared" si="220"/>
        <v>0.12542994959328635</v>
      </c>
      <c r="BS88" s="99">
        <f t="shared" si="220"/>
        <v>6.2978120844773694E-2</v>
      </c>
      <c r="BT88" s="99">
        <f t="shared" si="220"/>
        <v>9.5889489040953138E-2</v>
      </c>
      <c r="BU88" s="99">
        <f t="shared" si="220"/>
        <v>0.12617463885613209</v>
      </c>
      <c r="BV88" s="100">
        <f t="shared" si="220"/>
        <v>0.10122918057763022</v>
      </c>
      <c r="BW88" s="99">
        <f t="shared" si="220"/>
        <v>8.7663448130705882E-2</v>
      </c>
      <c r="BX88" s="99">
        <f t="shared" si="220"/>
        <v>8.5229951886661617E-2</v>
      </c>
      <c r="BY88" s="99">
        <f t="shared" si="220"/>
        <v>0.11249579979331813</v>
      </c>
      <c r="BZ88" s="99">
        <f t="shared" si="220"/>
        <v>6.8720976515855112E-2</v>
      </c>
      <c r="CA88" s="100">
        <f t="shared" si="220"/>
        <v>8.8768049361043433E-2</v>
      </c>
      <c r="CB88" s="99">
        <f t="shared" si="220"/>
        <v>6.5433514251260455E-2</v>
      </c>
      <c r="CC88" s="99">
        <f t="shared" si="220"/>
        <v>9.742622635485515E-2</v>
      </c>
      <c r="CD88" s="99">
        <f t="shared" si="220"/>
        <v>9.5032384309983745E-2</v>
      </c>
      <c r="CE88" s="99">
        <f t="shared" si="220"/>
        <v>8.0890349007662163E-2</v>
      </c>
      <c r="CF88" s="100">
        <f t="shared" si="220"/>
        <v>8.501033174826092E-2</v>
      </c>
      <c r="CG88" s="99">
        <f t="shared" si="220"/>
        <v>0.1057266486974953</v>
      </c>
      <c r="CH88" s="99">
        <f>CH87/CH23</f>
        <v>0.12521442725740145</v>
      </c>
      <c r="CI88" s="99">
        <f>CI87/CI23</f>
        <v>0.13968678738977836</v>
      </c>
      <c r="CJ88" s="99">
        <f t="shared" ref="CJ88" si="221">CJ87/CJ23</f>
        <v>0.12052719212168587</v>
      </c>
      <c r="CK88" s="100">
        <f t="shared" si="220"/>
        <v>0.12303565857097216</v>
      </c>
      <c r="CL88" s="99">
        <f t="shared" ref="CL88" si="222">CL87/CL23</f>
        <v>0.14341298558827953</v>
      </c>
      <c r="CM88" s="99">
        <f t="shared" ref="CM88:CU88" si="223">CM87/CM23</f>
        <v>0.14196374201708725</v>
      </c>
      <c r="CN88" s="99">
        <f t="shared" ref="CN88:CO88" si="224">CN87/CN23</f>
        <v>0.14162774657271024</v>
      </c>
      <c r="CO88" s="99">
        <f t="shared" si="224"/>
        <v>0.13642114376434972</v>
      </c>
      <c r="CP88" s="100">
        <f t="shared" si="223"/>
        <v>0.14083387439527745</v>
      </c>
      <c r="CQ88" s="99">
        <f t="shared" si="223"/>
        <v>0.14185496260395214</v>
      </c>
      <c r="CR88" s="99">
        <f t="shared" si="223"/>
        <v>0.14956013719211736</v>
      </c>
      <c r="CS88" s="99">
        <f t="shared" si="223"/>
        <v>0.14922823885022163</v>
      </c>
      <c r="CT88" s="99">
        <f t="shared" si="223"/>
        <v>0.15130918369950305</v>
      </c>
      <c r="CU88" s="100">
        <f t="shared" si="223"/>
        <v>0.14806503767384332</v>
      </c>
      <c r="CV88" s="99"/>
      <c r="CW88" s="99"/>
      <c r="CX88" s="99"/>
      <c r="CY88" s="99"/>
      <c r="CZ88" s="377"/>
      <c r="DA88" s="380"/>
      <c r="DB88" s="380"/>
      <c r="DC88" s="205"/>
      <c r="DD88" s="205"/>
      <c r="DE88" s="67"/>
      <c r="DF88" s="107"/>
      <c r="DG88" s="107"/>
      <c r="DH88" s="107"/>
      <c r="DI88" s="107"/>
      <c r="DJ88" s="107"/>
      <c r="DK88" s="107"/>
      <c r="DL88" s="107"/>
      <c r="DM88" s="107"/>
    </row>
    <row r="89" spans="1:117" ht="13.5" thickBot="1">
      <c r="A89" s="7"/>
      <c r="B89" s="8"/>
      <c r="C89" s="7"/>
      <c r="D89" s="9"/>
      <c r="E89" s="7"/>
      <c r="F89" s="7"/>
      <c r="G89" s="7"/>
      <c r="H89" s="7"/>
      <c r="I89" s="9"/>
      <c r="J89" s="7"/>
      <c r="K89" s="7"/>
      <c r="L89" s="7"/>
      <c r="M89" s="7"/>
      <c r="N89" s="9"/>
      <c r="O89" s="7"/>
      <c r="P89" s="7"/>
      <c r="Q89" s="7"/>
      <c r="R89" s="7"/>
      <c r="S89" s="9"/>
      <c r="T89" s="12"/>
      <c r="U89" s="7"/>
      <c r="V89" s="7"/>
      <c r="W89" s="7"/>
      <c r="X89" s="9"/>
      <c r="Y89" s="7"/>
      <c r="Z89" s="7"/>
      <c r="AA89" s="7"/>
      <c r="AB89" s="7"/>
      <c r="AC89" s="9"/>
      <c r="AD89" s="7"/>
      <c r="AE89" s="7"/>
      <c r="AF89" s="7"/>
      <c r="AG89" s="7"/>
      <c r="AH89" s="9"/>
      <c r="AI89" s="7"/>
      <c r="AJ89" s="7"/>
      <c r="AK89" s="7"/>
      <c r="AL89" s="7"/>
      <c r="AM89" s="9"/>
      <c r="AN89" s="7"/>
      <c r="AO89" s="7"/>
      <c r="AP89" s="7"/>
      <c r="AQ89" s="7"/>
      <c r="AR89" s="9"/>
      <c r="AS89" s="279"/>
      <c r="AT89" s="7"/>
      <c r="AU89" s="279"/>
      <c r="AV89" s="7"/>
      <c r="AW89" s="9"/>
      <c r="AX89" s="406"/>
      <c r="AY89" s="279"/>
      <c r="AZ89" s="491"/>
      <c r="BA89" s="493"/>
      <c r="BB89" s="9"/>
      <c r="BC89" s="406"/>
      <c r="BD89" s="21"/>
      <c r="BE89" s="7"/>
      <c r="BF89" s="7"/>
      <c r="BG89" s="9"/>
      <c r="BH89" s="279"/>
      <c r="BI89" s="7"/>
      <c r="BJ89" s="7"/>
      <c r="BK89" s="7"/>
      <c r="BL89" s="9"/>
      <c r="BM89" s="279"/>
      <c r="BN89" s="7"/>
      <c r="BO89" s="7"/>
      <c r="BP89" s="7"/>
      <c r="BQ89" s="9"/>
      <c r="BR89" s="279"/>
      <c r="BS89" s="7"/>
      <c r="BT89" s="7"/>
      <c r="BU89" s="7"/>
      <c r="BV89" s="9"/>
      <c r="BW89" s="7"/>
      <c r="BX89" s="7"/>
      <c r="BY89" s="7"/>
      <c r="BZ89" s="7"/>
      <c r="CA89" s="9"/>
      <c r="CB89" s="7"/>
      <c r="CC89" s="7"/>
      <c r="CD89" s="7"/>
      <c r="CE89" s="7"/>
      <c r="CF89" s="9"/>
      <c r="CG89" s="7"/>
      <c r="CH89" s="7"/>
      <c r="CI89" s="7"/>
      <c r="CJ89" s="7"/>
      <c r="CK89" s="9"/>
      <c r="CL89" s="7"/>
      <c r="CM89" s="7"/>
      <c r="CN89" s="7"/>
      <c r="CO89" s="7"/>
      <c r="CP89" s="9"/>
      <c r="CQ89" s="7"/>
      <c r="CR89" s="7"/>
      <c r="CS89" s="7"/>
      <c r="CT89" s="7"/>
      <c r="CU89" s="9"/>
      <c r="CV89" s="7"/>
      <c r="CW89" s="7"/>
      <c r="CX89" s="7"/>
      <c r="CY89" s="7"/>
      <c r="CZ89" s="205"/>
      <c r="DA89" s="205"/>
      <c r="DB89" s="377"/>
      <c r="DC89" s="204"/>
      <c r="DD89" s="204"/>
      <c r="DE89" s="107"/>
    </row>
    <row r="90" spans="1:117" s="77" customFormat="1">
      <c r="A90" s="256"/>
      <c r="B90" s="257" t="s">
        <v>404</v>
      </c>
      <c r="C90" s="258"/>
      <c r="D90" s="259">
        <f t="shared" ref="D90:AH90" si="225">IF(D81&gt;0,D81/D96,D81/D95)</f>
        <v>0</v>
      </c>
      <c r="E90" s="260">
        <f t="shared" si="225"/>
        <v>0</v>
      </c>
      <c r="F90" s="258">
        <f t="shared" si="225"/>
        <v>0</v>
      </c>
      <c r="G90" s="258">
        <f t="shared" si="225"/>
        <v>0</v>
      </c>
      <c r="H90" s="258">
        <f t="shared" si="225"/>
        <v>0</v>
      </c>
      <c r="I90" s="259">
        <f t="shared" si="225"/>
        <v>0</v>
      </c>
      <c r="J90" s="258">
        <f t="shared" si="225"/>
        <v>0</v>
      </c>
      <c r="K90" s="258">
        <f t="shared" si="225"/>
        <v>0</v>
      </c>
      <c r="L90" s="258">
        <f t="shared" si="225"/>
        <v>0</v>
      </c>
      <c r="M90" s="258">
        <f t="shared" si="225"/>
        <v>0</v>
      </c>
      <c r="N90" s="259">
        <f t="shared" si="225"/>
        <v>0</v>
      </c>
      <c r="O90" s="258">
        <f t="shared" si="225"/>
        <v>0</v>
      </c>
      <c r="P90" s="258">
        <f t="shared" si="225"/>
        <v>0</v>
      </c>
      <c r="Q90" s="258">
        <f t="shared" si="225"/>
        <v>0</v>
      </c>
      <c r="R90" s="258">
        <f t="shared" si="225"/>
        <v>0</v>
      </c>
      <c r="S90" s="259">
        <f t="shared" si="225"/>
        <v>0</v>
      </c>
      <c r="T90" s="258">
        <f t="shared" si="225"/>
        <v>0.22339857651245551</v>
      </c>
      <c r="U90" s="258">
        <f t="shared" si="225"/>
        <v>0.21948121011581187</v>
      </c>
      <c r="V90" s="258">
        <f t="shared" si="225"/>
        <v>0.28719660194174756</v>
      </c>
      <c r="W90" s="258">
        <f t="shared" si="225"/>
        <v>0.33564359526708504</v>
      </c>
      <c r="X90" s="259">
        <f t="shared" si="225"/>
        <v>1.0610786028835133</v>
      </c>
      <c r="Y90" s="258">
        <f t="shared" si="225"/>
        <v>0.24408238549031663</v>
      </c>
      <c r="Z90" s="258">
        <f t="shared" si="225"/>
        <v>0.28920626201592969</v>
      </c>
      <c r="AA90" s="258">
        <f t="shared" si="225"/>
        <v>0.39913902867883344</v>
      </c>
      <c r="AB90" s="258">
        <f t="shared" si="225"/>
        <v>0.35280213039705577</v>
      </c>
      <c r="AC90" s="259">
        <f t="shared" si="225"/>
        <v>1.2869269433435075</v>
      </c>
      <c r="AD90" s="258">
        <f t="shared" si="225"/>
        <v>0.33784022622834925</v>
      </c>
      <c r="AE90" s="258">
        <f t="shared" si="225"/>
        <v>0.35654709827938175</v>
      </c>
      <c r="AF90" s="258">
        <f t="shared" si="225"/>
        <v>0.42204579450005753</v>
      </c>
      <c r="AG90" s="258">
        <f t="shared" si="225"/>
        <v>0.39464750480932442</v>
      </c>
      <c r="AH90" s="259">
        <f t="shared" si="225"/>
        <v>1.5125984821105891</v>
      </c>
      <c r="AI90" s="258">
        <f t="shared" ref="AI90:BN90" si="226">IF(AI81&gt;0,AI81/AI96,AI81/AI95)</f>
        <v>0.43490140845070424</v>
      </c>
      <c r="AJ90" s="258">
        <f t="shared" si="226"/>
        <v>0.52234009271636184</v>
      </c>
      <c r="AK90" s="258">
        <f t="shared" si="226"/>
        <v>0.59381022559800478</v>
      </c>
      <c r="AL90" s="258">
        <f t="shared" si="226"/>
        <v>0.54011384986399713</v>
      </c>
      <c r="AM90" s="259">
        <f t="shared" si="226"/>
        <v>2.090815360931034</v>
      </c>
      <c r="AN90" s="258">
        <f t="shared" si="226"/>
        <v>0.59476250174118961</v>
      </c>
      <c r="AO90" s="258">
        <f t="shared" si="226"/>
        <v>0.64537219159486936</v>
      </c>
      <c r="AP90" s="258">
        <f t="shared" si="226"/>
        <v>0.70543893917301714</v>
      </c>
      <c r="AQ90" s="258">
        <f t="shared" si="226"/>
        <v>0.59145890555672931</v>
      </c>
      <c r="AR90" s="259">
        <f t="shared" si="226"/>
        <v>2.5356725146198831</v>
      </c>
      <c r="AS90" s="411">
        <f t="shared" si="226"/>
        <v>0.8004402242072125</v>
      </c>
      <c r="AT90" s="258">
        <f t="shared" si="226"/>
        <v>0.85765914605813409</v>
      </c>
      <c r="AU90" s="411">
        <f t="shared" si="226"/>
        <v>0.92470943628078439</v>
      </c>
      <c r="AV90" s="258">
        <f t="shared" si="226"/>
        <v>0.90388710711994869</v>
      </c>
      <c r="AW90" s="259">
        <f t="shared" si="226"/>
        <v>3.4867240737651271</v>
      </c>
      <c r="AX90" s="411">
        <f t="shared" si="226"/>
        <v>0.89795027226959823</v>
      </c>
      <c r="AY90" s="411">
        <f t="shared" si="226"/>
        <v>0.906941149460473</v>
      </c>
      <c r="AZ90" s="258">
        <f t="shared" si="226"/>
        <v>1.050022876315388</v>
      </c>
      <c r="BA90" s="411">
        <f t="shared" si="226"/>
        <v>1.0654953289956708</v>
      </c>
      <c r="BB90" s="259">
        <f t="shared" si="226"/>
        <v>3.9218724119917949</v>
      </c>
      <c r="BC90" s="411">
        <f t="shared" si="226"/>
        <v>1.1298574154031529</v>
      </c>
      <c r="BD90" s="258">
        <f t="shared" si="226"/>
        <v>1.1839946300715991</v>
      </c>
      <c r="BE90" s="258">
        <f t="shared" si="226"/>
        <v>1.2258438610343467</v>
      </c>
      <c r="BF90" s="258">
        <f t="shared" si="226"/>
        <v>1.2646962974104434</v>
      </c>
      <c r="BG90" s="259">
        <f t="shared" si="226"/>
        <v>4.8047408072084199</v>
      </c>
      <c r="BH90" s="411">
        <f t="shared" si="226"/>
        <v>1.2199065302513579</v>
      </c>
      <c r="BI90" s="258">
        <f t="shared" si="226"/>
        <v>1.3009318564288046</v>
      </c>
      <c r="BJ90" s="258">
        <f t="shared" si="226"/>
        <v>1.3485352532274082</v>
      </c>
      <c r="BK90" s="258">
        <f t="shared" si="226"/>
        <v>1.4300639134709932</v>
      </c>
      <c r="BL90" s="259">
        <f t="shared" si="226"/>
        <v>5.3025854650220134</v>
      </c>
      <c r="BM90" s="411">
        <f t="shared" si="226"/>
        <v>1.2339101691619678</v>
      </c>
      <c r="BN90" s="258">
        <f t="shared" si="226"/>
        <v>1.3598126327989184</v>
      </c>
      <c r="BO90" s="258">
        <f t="shared" ref="BO90:CM90" si="227">IF(BO81&gt;0,BO81/BO96,BO81/BO95)</f>
        <v>1.4805316540883526</v>
      </c>
      <c r="BP90" s="258">
        <f t="shared" si="227"/>
        <v>1.3616326916710022</v>
      </c>
      <c r="BQ90" s="259">
        <f t="shared" si="227"/>
        <v>5.4373152620575302</v>
      </c>
      <c r="BR90" s="411">
        <f t="shared" si="227"/>
        <v>1.4272160928286095</v>
      </c>
      <c r="BS90" s="258">
        <f t="shared" si="227"/>
        <v>1.8346082577089371</v>
      </c>
      <c r="BT90" s="258">
        <f t="shared" si="227"/>
        <v>2.0095776379889325</v>
      </c>
      <c r="BU90" s="258">
        <f t="shared" si="227"/>
        <v>1.7468732367876623</v>
      </c>
      <c r="BV90" s="259">
        <f t="shared" si="227"/>
        <v>7.0196482257415429</v>
      </c>
      <c r="BW90" s="258">
        <f t="shared" si="227"/>
        <v>1.9049784416747166</v>
      </c>
      <c r="BX90" s="258">
        <f t="shared" si="227"/>
        <v>1.8784291486496065</v>
      </c>
      <c r="BY90" s="258">
        <f t="shared" si="227"/>
        <v>2.0609333364774685</v>
      </c>
      <c r="BZ90" s="258">
        <f t="shared" si="227"/>
        <v>1.6586671067210448</v>
      </c>
      <c r="CA90" s="259">
        <f t="shared" si="227"/>
        <v>7.5029659767674977</v>
      </c>
      <c r="CB90" s="258">
        <f t="shared" si="227"/>
        <v>1.7581753164259164</v>
      </c>
      <c r="CC90" s="258">
        <f t="shared" si="227"/>
        <v>2.0100114617201936</v>
      </c>
      <c r="CD90" s="258">
        <f t="shared" si="227"/>
        <v>2.1391890945589505</v>
      </c>
      <c r="CE90" s="258">
        <f t="shared" si="227"/>
        <v>1.890128017471713</v>
      </c>
      <c r="CF90" s="259">
        <f t="shared" si="227"/>
        <v>7.7985964625246149</v>
      </c>
      <c r="CG90" s="258">
        <f t="shared" si="227"/>
        <v>2.1964501160092809</v>
      </c>
      <c r="CH90" s="258">
        <f>IF(CH81&gt;0,CH81/CH96,CH81/CH95)</f>
        <v>2.4008087810514152</v>
      </c>
      <c r="CI90" s="258">
        <f>IF(CI81&gt;0,CI81/CI96,CI81/CI95)</f>
        <v>2.5177141026227856</v>
      </c>
      <c r="CJ90" s="258">
        <f t="shared" ref="CJ90" si="228">IF(CJ81&gt;0,CJ81/CJ96,CJ81/CJ95)</f>
        <v>2.4308844962652576</v>
      </c>
      <c r="CK90" s="259">
        <f t="shared" si="227"/>
        <v>9.5485369092027295</v>
      </c>
      <c r="CL90" s="258">
        <f t="shared" ref="CL90" si="229">IF(CL81&gt;0,CL81/CL96,CL81/CL95)</f>
        <v>2.7778258198120294</v>
      </c>
      <c r="CM90" s="258">
        <f t="shared" si="227"/>
        <v>2.9117667144710784</v>
      </c>
      <c r="CN90" s="258">
        <f t="shared" ref="CN90:CO90" si="230">IF(CN81&gt;0,CN81/CN96,CN81/CN95)</f>
        <v>2.974334991102797</v>
      </c>
      <c r="CO90" s="258">
        <f t="shared" si="230"/>
        <v>2.9873466228785337</v>
      </c>
      <c r="CP90" s="259">
        <f>IF(CP81&gt;0,CP81/CP96,CP81/CP95)</f>
        <v>11.650441006796044</v>
      </c>
      <c r="CQ90" s="258">
        <f t="shared" ref="CQ90:CT90" si="231">IF(CQ81&gt;0,CQ81/CQ96,CQ81/CQ95)</f>
        <v>2.9956733281100378</v>
      </c>
      <c r="CR90" s="258">
        <f t="shared" si="231"/>
        <v>3.1993817039733252</v>
      </c>
      <c r="CS90" s="258">
        <f t="shared" si="231"/>
        <v>3.146525208870552</v>
      </c>
      <c r="CT90" s="258">
        <f t="shared" si="231"/>
        <v>3.1883280279793316</v>
      </c>
      <c r="CU90" s="259">
        <f>IF(CU81&gt;0,CU81/CU96,CU81/CU95)</f>
        <v>12.530504139099323</v>
      </c>
      <c r="CV90" s="470"/>
      <c r="CW90" s="470"/>
      <c r="CX90" s="470"/>
      <c r="CY90" s="470"/>
      <c r="CZ90" s="380"/>
      <c r="DA90" s="205"/>
      <c r="DB90" s="205"/>
      <c r="DC90" s="380"/>
      <c r="DD90" s="380"/>
      <c r="DF90" s="261"/>
      <c r="DG90" s="261"/>
      <c r="DH90" s="261"/>
      <c r="DI90" s="261"/>
      <c r="DJ90" s="261"/>
      <c r="DK90" s="261"/>
      <c r="DL90" s="261"/>
      <c r="DM90" s="261"/>
    </row>
    <row r="91" spans="1:117" s="107" customFormat="1">
      <c r="A91" s="97"/>
      <c r="B91" s="98"/>
      <c r="C91" s="99" t="s">
        <v>40</v>
      </c>
      <c r="D91" s="100"/>
      <c r="E91" s="99"/>
      <c r="F91" s="99"/>
      <c r="G91" s="99"/>
      <c r="H91" s="99"/>
      <c r="I91" s="100"/>
      <c r="J91" s="99" t="e">
        <f>J90/E90-1</f>
        <v>#DIV/0!</v>
      </c>
      <c r="K91" s="99" t="e">
        <f t="shared" ref="K91:AH91" si="232">K90/F90-1</f>
        <v>#DIV/0!</v>
      </c>
      <c r="L91" s="99" t="e">
        <f t="shared" si="232"/>
        <v>#DIV/0!</v>
      </c>
      <c r="M91" s="99" t="e">
        <f t="shared" si="232"/>
        <v>#DIV/0!</v>
      </c>
      <c r="N91" s="100"/>
      <c r="O91" s="99" t="e">
        <f t="shared" si="232"/>
        <v>#DIV/0!</v>
      </c>
      <c r="P91" s="99" t="e">
        <f t="shared" si="232"/>
        <v>#DIV/0!</v>
      </c>
      <c r="Q91" s="99" t="e">
        <f t="shared" si="232"/>
        <v>#DIV/0!</v>
      </c>
      <c r="R91" s="99" t="e">
        <f t="shared" si="232"/>
        <v>#DIV/0!</v>
      </c>
      <c r="S91" s="100"/>
      <c r="T91" s="99" t="e">
        <f t="shared" si="232"/>
        <v>#DIV/0!</v>
      </c>
      <c r="U91" s="99" t="e">
        <f t="shared" si="232"/>
        <v>#DIV/0!</v>
      </c>
      <c r="V91" s="99" t="e">
        <f t="shared" si="232"/>
        <v>#DIV/0!</v>
      </c>
      <c r="W91" s="99" t="e">
        <f t="shared" si="232"/>
        <v>#DIV/0!</v>
      </c>
      <c r="X91" s="100"/>
      <c r="Y91" s="99">
        <f t="shared" si="232"/>
        <v>9.258702226649107E-2</v>
      </c>
      <c r="Z91" s="99">
        <f t="shared" si="232"/>
        <v>0.31768118948918933</v>
      </c>
      <c r="AA91" s="99">
        <f t="shared" si="232"/>
        <v>0.38977629254746993</v>
      </c>
      <c r="AB91" s="99">
        <f t="shared" si="232"/>
        <v>5.1121294646832238E-2</v>
      </c>
      <c r="AC91" s="100">
        <f t="shared" si="232"/>
        <v>0.21284788878622618</v>
      </c>
      <c r="AD91" s="99">
        <f t="shared" si="232"/>
        <v>0.38412374801110838</v>
      </c>
      <c r="AE91" s="99">
        <f t="shared" si="232"/>
        <v>0.23284708911227825</v>
      </c>
      <c r="AF91" s="99">
        <f t="shared" si="232"/>
        <v>5.7390443367681732E-2</v>
      </c>
      <c r="AG91" s="99">
        <f t="shared" si="232"/>
        <v>0.11860862168030106</v>
      </c>
      <c r="AH91" s="100">
        <f t="shared" si="232"/>
        <v>0.1753569151180987</v>
      </c>
      <c r="AI91" s="99">
        <f t="shared" ref="AI91:BN91" si="233">AI90/AD90-1</f>
        <v>0.2872990682783596</v>
      </c>
      <c r="AJ91" s="99">
        <f t="shared" si="233"/>
        <v>0.46499605588451232</v>
      </c>
      <c r="AK91" s="99">
        <f t="shared" si="233"/>
        <v>0.40698055361839147</v>
      </c>
      <c r="AL91" s="99">
        <f t="shared" si="233"/>
        <v>0.36859816236505893</v>
      </c>
      <c r="AM91" s="100">
        <f t="shared" si="233"/>
        <v>0.38226726104711917</v>
      </c>
      <c r="AN91" s="99">
        <f t="shared" si="233"/>
        <v>0.36758007719491093</v>
      </c>
      <c r="AO91" s="99">
        <f t="shared" si="233"/>
        <v>0.23554021717669626</v>
      </c>
      <c r="AP91" s="99">
        <f t="shared" si="233"/>
        <v>0.18798718641565171</v>
      </c>
      <c r="AQ91" s="99">
        <f t="shared" si="233"/>
        <v>9.5063393959738507E-2</v>
      </c>
      <c r="AR91" s="100">
        <f t="shared" si="233"/>
        <v>0.21276730695662938</v>
      </c>
      <c r="AS91" s="236">
        <f t="shared" si="233"/>
        <v>0.34581487881951811</v>
      </c>
      <c r="AT91" s="99">
        <f t="shared" si="233"/>
        <v>0.32893725082677139</v>
      </c>
      <c r="AU91" s="236">
        <f t="shared" si="233"/>
        <v>0.3108284571940656</v>
      </c>
      <c r="AV91" s="99">
        <f t="shared" si="233"/>
        <v>0.52823315132796345</v>
      </c>
      <c r="AW91" s="100">
        <f t="shared" si="233"/>
        <v>0.37506876525331356</v>
      </c>
      <c r="AX91" s="236">
        <f t="shared" si="233"/>
        <v>0.12182052464812543</v>
      </c>
      <c r="AY91" s="236">
        <f t="shared" si="233"/>
        <v>5.7461059709842388E-2</v>
      </c>
      <c r="AZ91" s="99">
        <f t="shared" si="233"/>
        <v>0.13551655808620167</v>
      </c>
      <c r="BA91" s="236">
        <f t="shared" si="233"/>
        <v>0.17879248481666443</v>
      </c>
      <c r="BB91" s="100">
        <f t="shared" si="233"/>
        <v>0.12480148386298162</v>
      </c>
      <c r="BC91" s="236">
        <f t="shared" si="233"/>
        <v>0.25826279059685775</v>
      </c>
      <c r="BD91" s="99">
        <f t="shared" si="233"/>
        <v>0.30548121096494674</v>
      </c>
      <c r="BE91" s="99">
        <f t="shared" si="233"/>
        <v>0.16744490875849127</v>
      </c>
      <c r="BF91" s="99">
        <f t="shared" si="233"/>
        <v>0.18695620993715489</v>
      </c>
      <c r="BG91" s="100">
        <f t="shared" si="233"/>
        <v>0.22511400231101453</v>
      </c>
      <c r="BH91" s="236">
        <f t="shared" si="233"/>
        <v>7.9699538738765341E-2</v>
      </c>
      <c r="BI91" s="99">
        <f t="shared" si="233"/>
        <v>9.8764997228183438E-2</v>
      </c>
      <c r="BJ91" s="99">
        <f t="shared" si="233"/>
        <v>0.1000872917775486</v>
      </c>
      <c r="BK91" s="99">
        <f t="shared" si="233"/>
        <v>0.13075678042163319</v>
      </c>
      <c r="BL91" s="100">
        <f t="shared" si="233"/>
        <v>0.10361529951140991</v>
      </c>
      <c r="BM91" s="236">
        <f t="shared" si="233"/>
        <v>1.1479272028918963E-2</v>
      </c>
      <c r="BN91" s="99">
        <f t="shared" si="233"/>
        <v>4.5260461629210713E-2</v>
      </c>
      <c r="BO91" s="99">
        <f t="shared" ref="BO91:CP91" si="234">BO90/BJ90-1</f>
        <v>9.7881312739167559E-2</v>
      </c>
      <c r="BP91" s="99">
        <f t="shared" si="234"/>
        <v>-4.7851862532421685E-2</v>
      </c>
      <c r="BQ91" s="100">
        <f t="shared" si="234"/>
        <v>2.5408321643139775E-2</v>
      </c>
      <c r="BR91" s="236">
        <f t="shared" si="234"/>
        <v>0.1566612614903149</v>
      </c>
      <c r="BS91" s="99">
        <f t="shared" si="234"/>
        <v>0.34916253420351095</v>
      </c>
      <c r="BT91" s="99">
        <f t="shared" si="234"/>
        <v>0.35733513865756783</v>
      </c>
      <c r="BU91" s="99">
        <f t="shared" si="234"/>
        <v>0.28292545227001775</v>
      </c>
      <c r="BV91" s="100">
        <f t="shared" si="234"/>
        <v>0.29101365056497452</v>
      </c>
      <c r="BW91" s="99">
        <f t="shared" si="234"/>
        <v>0.33475123441134036</v>
      </c>
      <c r="BX91" s="99">
        <f t="shared" si="234"/>
        <v>2.3885693720463896E-2</v>
      </c>
      <c r="BY91" s="99">
        <f t="shared" si="234"/>
        <v>2.5555468730200204E-2</v>
      </c>
      <c r="BZ91" s="99">
        <f t="shared" si="234"/>
        <v>-5.0493721129313496E-2</v>
      </c>
      <c r="CA91" s="100">
        <f t="shared" si="234"/>
        <v>6.8852132682887923E-2</v>
      </c>
      <c r="CB91" s="99">
        <f t="shared" si="234"/>
        <v>-7.7062880102591436E-2</v>
      </c>
      <c r="CC91" s="99">
        <f t="shared" si="234"/>
        <v>7.0049122249397078E-2</v>
      </c>
      <c r="CD91" s="99">
        <f t="shared" si="234"/>
        <v>3.7971028318284139E-2</v>
      </c>
      <c r="CE91" s="99">
        <f t="shared" si="234"/>
        <v>0.13954633199921251</v>
      </c>
      <c r="CF91" s="100">
        <f t="shared" si="234"/>
        <v>3.9401816118121769E-2</v>
      </c>
      <c r="CG91" s="99">
        <f t="shared" si="234"/>
        <v>0.24927821218324553</v>
      </c>
      <c r="CH91" s="99">
        <f t="shared" si="234"/>
        <v>0.19442541834899396</v>
      </c>
      <c r="CI91" s="99">
        <f t="shared" si="234"/>
        <v>0.17694789536213396</v>
      </c>
      <c r="CJ91" s="99">
        <f t="shared" si="234"/>
        <v>0.28609516064254481</v>
      </c>
      <c r="CK91" s="100">
        <f t="shared" si="234"/>
        <v>0.22439171652069456</v>
      </c>
      <c r="CL91" s="99">
        <f t="shared" si="234"/>
        <v>0.26468878103138849</v>
      </c>
      <c r="CM91" s="99">
        <f t="shared" si="234"/>
        <v>0.21282741776539704</v>
      </c>
      <c r="CN91" s="99">
        <f t="shared" si="234"/>
        <v>0.1813632802883911</v>
      </c>
      <c r="CO91" s="99">
        <f t="shared" si="234"/>
        <v>0.22891343766773331</v>
      </c>
      <c r="CP91" s="100">
        <f t="shared" si="234"/>
        <v>0.22012839428494346</v>
      </c>
      <c r="CQ91" s="99">
        <f t="shared" ref="CQ91" si="235">CQ90/CL90-1</f>
        <v>7.842374663820717E-2</v>
      </c>
      <c r="CR91" s="99">
        <f t="shared" ref="CR91" si="236">CR90/CM90-1</f>
        <v>9.8776796943532696E-2</v>
      </c>
      <c r="CS91" s="99">
        <f t="shared" ref="CS91" si="237">CS90/CN90-1</f>
        <v>5.7892005534962321E-2</v>
      </c>
      <c r="CT91" s="99">
        <f t="shared" ref="CT91" si="238">CT90/CO90-1</f>
        <v>6.7277564498738007E-2</v>
      </c>
      <c r="CU91" s="100">
        <f t="shared" ref="CU91" si="239">CU90/CP90-1</f>
        <v>7.5539040263790325E-2</v>
      </c>
      <c r="CV91" s="273"/>
      <c r="CW91" s="273"/>
      <c r="CX91" s="273"/>
      <c r="CY91" s="273"/>
      <c r="CZ91" s="273"/>
      <c r="DA91" s="273"/>
      <c r="DB91" s="377"/>
      <c r="DC91" s="377"/>
      <c r="DD91" s="377"/>
      <c r="DE91" s="179"/>
      <c r="DF91" s="67"/>
      <c r="DG91" s="67"/>
      <c r="DH91" s="67"/>
      <c r="DI91" s="67"/>
      <c r="DJ91" s="67"/>
      <c r="DK91" s="67"/>
      <c r="DL91" s="67"/>
      <c r="DM91" s="67"/>
    </row>
    <row r="92" spans="1:117">
      <c r="A92" s="42"/>
      <c r="B92" s="8" t="s">
        <v>41</v>
      </c>
      <c r="C92" s="43"/>
      <c r="D92" s="44">
        <f>D87/D96</f>
        <v>0.42322015863803442</v>
      </c>
      <c r="E92" s="250">
        <f t="shared" ref="E92:AM92" si="240">E87/E96</f>
        <v>7.9085182280466515E-2</v>
      </c>
      <c r="F92" s="43">
        <f t="shared" si="240"/>
        <v>6.2069487548255245E-3</v>
      </c>
      <c r="G92" s="43">
        <f t="shared" si="240"/>
        <v>0.15889952272670482</v>
      </c>
      <c r="H92" s="43">
        <f t="shared" si="240"/>
        <v>0.13527550751384129</v>
      </c>
      <c r="I92" s="44">
        <f t="shared" si="240"/>
        <v>0.37928746427113108</v>
      </c>
      <c r="J92" s="43">
        <f t="shared" si="240"/>
        <v>0.16344191362560209</v>
      </c>
      <c r="K92" s="43">
        <f t="shared" si="240"/>
        <v>0.1871579119352994</v>
      </c>
      <c r="L92" s="43">
        <f t="shared" si="240"/>
        <v>0.20486748705018226</v>
      </c>
      <c r="M92" s="43">
        <f t="shared" si="240"/>
        <v>0.18173875054608998</v>
      </c>
      <c r="N92" s="44">
        <f t="shared" si="240"/>
        <v>0.7374945391000437</v>
      </c>
      <c r="O92" s="43">
        <f t="shared" si="240"/>
        <v>0.13291501841495021</v>
      </c>
      <c r="P92" s="43">
        <f t="shared" si="240"/>
        <v>0.17261000469574345</v>
      </c>
      <c r="Q92" s="43">
        <f t="shared" si="240"/>
        <v>0.18986162101101384</v>
      </c>
      <c r="R92" s="43">
        <f t="shared" si="240"/>
        <v>0.21271573978462899</v>
      </c>
      <c r="S92" s="44">
        <f t="shared" si="240"/>
        <v>0.7051902724611574</v>
      </c>
      <c r="T92" s="43">
        <f t="shared" si="240"/>
        <v>0.16986951364175565</v>
      </c>
      <c r="U92" s="43">
        <f t="shared" si="240"/>
        <v>0.16615457338690617</v>
      </c>
      <c r="V92" s="43">
        <f t="shared" si="240"/>
        <v>0.22773058252427184</v>
      </c>
      <c r="W92" s="43">
        <f t="shared" si="240"/>
        <v>0.27158065623926819</v>
      </c>
      <c r="X92" s="44">
        <f t="shared" si="240"/>
        <v>0.83118175785727211</v>
      </c>
      <c r="Y92" s="43">
        <f t="shared" si="240"/>
        <v>0.17463879495849985</v>
      </c>
      <c r="Z92" s="43">
        <f t="shared" si="240"/>
        <v>0.21682077573316244</v>
      </c>
      <c r="AA92" s="43">
        <f t="shared" si="240"/>
        <v>0.32838173770690599</v>
      </c>
      <c r="AB92" s="43">
        <f t="shared" si="240"/>
        <v>0.28054217408216392</v>
      </c>
      <c r="AC92" s="44">
        <f t="shared" si="240"/>
        <v>1.002050020500205</v>
      </c>
      <c r="AD92" s="43">
        <f t="shared" si="240"/>
        <v>0.25017674089784375</v>
      </c>
      <c r="AE92" s="43">
        <f t="shared" si="240"/>
        <v>0.26383785360163314</v>
      </c>
      <c r="AF92" s="43">
        <f t="shared" si="240"/>
        <v>0.31782878840179496</v>
      </c>
      <c r="AG92" s="43">
        <f t="shared" si="240"/>
        <v>0.29738599072083288</v>
      </c>
      <c r="AH92" s="44">
        <f t="shared" si="240"/>
        <v>1.1304951210697507</v>
      </c>
      <c r="AI92" s="43">
        <f t="shared" si="240"/>
        <v>0.33473239436619717</v>
      </c>
      <c r="AJ92" s="43">
        <f t="shared" si="240"/>
        <v>0.41921447057819744</v>
      </c>
      <c r="AK92" s="43">
        <f t="shared" si="240"/>
        <v>0.48180478403809091</v>
      </c>
      <c r="AL92" s="43">
        <f t="shared" si="240"/>
        <v>0.42951683912397298</v>
      </c>
      <c r="AM92" s="44">
        <f t="shared" si="240"/>
        <v>1.6649012047512111</v>
      </c>
      <c r="AN92" s="43">
        <f t="shared" ref="AN92:BS92" si="241">AN87/AN96</f>
        <v>0.48120908204485302</v>
      </c>
      <c r="AO92" s="43">
        <f t="shared" si="241"/>
        <v>0.5218162174141896</v>
      </c>
      <c r="AP92" s="43">
        <f t="shared" si="241"/>
        <v>0.55412803653470522</v>
      </c>
      <c r="AQ92" s="43">
        <f t="shared" si="241"/>
        <v>0.22760405662370589</v>
      </c>
      <c r="AR92" s="44">
        <f t="shared" si="241"/>
        <v>1.7747409459320818</v>
      </c>
      <c r="AS92" s="412">
        <f t="shared" si="241"/>
        <v>0.46643290420004607</v>
      </c>
      <c r="AT92" s="43">
        <f t="shared" si="241"/>
        <v>0.6455418452165832</v>
      </c>
      <c r="AU92" s="412">
        <f t="shared" si="241"/>
        <v>0.90701960985100605</v>
      </c>
      <c r="AV92" s="43">
        <f t="shared" si="241"/>
        <v>0.80041051956382292</v>
      </c>
      <c r="AW92" s="44">
        <f t="shared" si="241"/>
        <v>2.8196296343826597</v>
      </c>
      <c r="AX92" s="412">
        <f t="shared" si="241"/>
        <v>0.82980581526764619</v>
      </c>
      <c r="AY92" s="412">
        <f t="shared" si="241"/>
        <v>0.80554067498278104</v>
      </c>
      <c r="AZ92" s="43">
        <f t="shared" si="241"/>
        <v>0.97257383966244726</v>
      </c>
      <c r="BA92" s="412">
        <f t="shared" si="241"/>
        <v>1.5645459378718449</v>
      </c>
      <c r="BB92" s="44">
        <f t="shared" si="241"/>
        <v>4.1776345127218519</v>
      </c>
      <c r="BC92" s="412">
        <f t="shared" si="241"/>
        <v>0.94951802389798168</v>
      </c>
      <c r="BD92" s="43">
        <f t="shared" si="241"/>
        <v>0.97357299124900554</v>
      </c>
      <c r="BE92" s="43">
        <f t="shared" si="241"/>
        <v>0.96042242400315836</v>
      </c>
      <c r="BF92" s="43">
        <f t="shared" si="241"/>
        <v>0.79095535333784561</v>
      </c>
      <c r="BG92" s="44">
        <f t="shared" si="241"/>
        <v>3.6755463331650868</v>
      </c>
      <c r="BH92" s="412">
        <f t="shared" si="241"/>
        <v>0.69086775293671843</v>
      </c>
      <c r="BI92" s="43">
        <f t="shared" si="241"/>
        <v>0.80373244920001008</v>
      </c>
      <c r="BJ92" s="43">
        <f t="shared" si="241"/>
        <v>1.0027308838133069</v>
      </c>
      <c r="BK92" s="43">
        <f t="shared" si="241"/>
        <v>1.1501966568338249</v>
      </c>
      <c r="BL92" s="44">
        <f t="shared" si="241"/>
        <v>3.654996944337046</v>
      </c>
      <c r="BM92" s="412">
        <f t="shared" si="241"/>
        <v>1.1378329768617539</v>
      </c>
      <c r="BN92" s="43">
        <f t="shared" si="241"/>
        <v>1.2830790032837551</v>
      </c>
      <c r="BO92" s="43">
        <f t="shared" si="241"/>
        <v>0.926092390520598</v>
      </c>
      <c r="BP92" s="43">
        <f t="shared" si="241"/>
        <v>1.2614340443645651</v>
      </c>
      <c r="BQ92" s="44">
        <f t="shared" si="241"/>
        <v>4.6097854035998367</v>
      </c>
      <c r="BR92" s="412">
        <f t="shared" si="241"/>
        <v>0.87923245196880351</v>
      </c>
      <c r="BS92" s="43">
        <f t="shared" si="241"/>
        <v>0.606475982325272</v>
      </c>
      <c r="BT92" s="43">
        <f t="shared" ref="BT92:CM92" si="242">BT87/BT96</f>
        <v>1.0445301045263207</v>
      </c>
      <c r="BU92" s="43">
        <f t="shared" si="242"/>
        <v>1.2878973105134475</v>
      </c>
      <c r="BV92" s="44">
        <f t="shared" si="242"/>
        <v>3.8221007030750656</v>
      </c>
      <c r="BW92" s="43">
        <f t="shared" si="242"/>
        <v>0.94206347336427676</v>
      </c>
      <c r="BX92" s="43">
        <f t="shared" si="242"/>
        <v>0.94388128824933248</v>
      </c>
      <c r="BY92" s="43">
        <f t="shared" si="242"/>
        <v>1.2552644610559578</v>
      </c>
      <c r="BZ92" s="43">
        <f t="shared" si="242"/>
        <v>0.73261981659162168</v>
      </c>
      <c r="CA92" s="44">
        <f t="shared" si="242"/>
        <v>3.8737897281679343</v>
      </c>
      <c r="CB92" s="43">
        <f t="shared" si="242"/>
        <v>0.72636804215875406</v>
      </c>
      <c r="CC92" s="43">
        <f t="shared" si="242"/>
        <v>1.1492128839091482</v>
      </c>
      <c r="CD92" s="43">
        <f t="shared" si="242"/>
        <v>1.0973366634765762</v>
      </c>
      <c r="CE92" s="43">
        <f t="shared" si="242"/>
        <v>0.90385911108013295</v>
      </c>
      <c r="CF92" s="44">
        <f t="shared" si="242"/>
        <v>3.8779939113819761</v>
      </c>
      <c r="CG92" s="43">
        <f t="shared" si="242"/>
        <v>1.256844547563805</v>
      </c>
      <c r="CH92" s="43">
        <f>CH87/CH96</f>
        <v>1.5652917388792607</v>
      </c>
      <c r="CI92" s="43">
        <f>CI87/CI96</f>
        <v>1.7370119467203735</v>
      </c>
      <c r="CJ92" s="43">
        <f t="shared" ref="CJ92" si="243">CJ87/CJ96</f>
        <v>1.4852659865184916</v>
      </c>
      <c r="CK92" s="44">
        <f t="shared" si="242"/>
        <v>6.0472350429069843</v>
      </c>
      <c r="CL92" s="43">
        <f t="shared" ref="CL92" si="244">CL87/CL96</f>
        <v>1.8444803495437272</v>
      </c>
      <c r="CM92" s="43">
        <f t="shared" si="242"/>
        <v>1.9264494980536775</v>
      </c>
      <c r="CN92" s="43">
        <f t="shared" ref="CN92:CO92" si="245">CN87/CN96</f>
        <v>1.9252863074325866</v>
      </c>
      <c r="CO92" s="43">
        <f t="shared" si="245"/>
        <v>1.8489776542727874</v>
      </c>
      <c r="CP92" s="44">
        <f>CP87/CP96</f>
        <v>7.5454247156902463</v>
      </c>
      <c r="CQ92" s="43">
        <f t="shared" ref="CQ92:CT92" si="246">CQ87/CQ96</f>
        <v>1.9657967056425039</v>
      </c>
      <c r="CR92" s="43">
        <f t="shared" si="246"/>
        <v>2.205241128234753</v>
      </c>
      <c r="CS92" s="43">
        <f t="shared" si="246"/>
        <v>2.1549344219009465</v>
      </c>
      <c r="CT92" s="43">
        <f t="shared" si="246"/>
        <v>2.181359480396031</v>
      </c>
      <c r="CU92" s="44">
        <f>CU87/CU96</f>
        <v>8.5080084851122972</v>
      </c>
      <c r="CV92" s="43"/>
      <c r="CW92" s="43"/>
      <c r="CX92" s="43"/>
      <c r="CY92" s="43"/>
      <c r="CZ92" s="43"/>
      <c r="DA92" s="204"/>
      <c r="DB92" s="205"/>
      <c r="DC92" s="205"/>
      <c r="DD92" s="205"/>
      <c r="DF92" s="179"/>
      <c r="DG92" s="179"/>
      <c r="DH92" s="179"/>
      <c r="DI92" s="179"/>
      <c r="DJ92" s="179"/>
      <c r="DK92" s="179"/>
      <c r="DL92" s="179"/>
      <c r="DM92" s="179"/>
    </row>
    <row r="93" spans="1:117" s="107" customFormat="1" ht="13.5" thickBot="1">
      <c r="A93" s="97"/>
      <c r="B93" s="109"/>
      <c r="C93" s="110" t="s">
        <v>40</v>
      </c>
      <c r="D93" s="101"/>
      <c r="E93" s="110"/>
      <c r="F93" s="110"/>
      <c r="G93" s="110"/>
      <c r="H93" s="110"/>
      <c r="I93" s="101">
        <f t="shared" ref="I93:AN93" si="247">I92/D92-1</f>
        <v>-0.10380576981087863</v>
      </c>
      <c r="J93" s="110">
        <f t="shared" si="247"/>
        <v>1.0666565962505357</v>
      </c>
      <c r="K93" s="110">
        <f t="shared" si="247"/>
        <v>29.15296554362488</v>
      </c>
      <c r="L93" s="110">
        <f t="shared" si="247"/>
        <v>0.28928950530920639</v>
      </c>
      <c r="M93" s="110">
        <f t="shared" si="247"/>
        <v>0.34347121578896767</v>
      </c>
      <c r="N93" s="101">
        <f t="shared" si="247"/>
        <v>0.94442107523187402</v>
      </c>
      <c r="O93" s="110">
        <f t="shared" si="247"/>
        <v>-0.18677519452311431</v>
      </c>
      <c r="P93" s="110">
        <f t="shared" si="247"/>
        <v>-7.7730655835619555E-2</v>
      </c>
      <c r="Q93" s="110">
        <f t="shared" si="247"/>
        <v>-7.3246693534600449E-2</v>
      </c>
      <c r="R93" s="110">
        <f t="shared" si="247"/>
        <v>0.17044790472840332</v>
      </c>
      <c r="S93" s="101">
        <f t="shared" si="247"/>
        <v>-4.380271978461947E-2</v>
      </c>
      <c r="T93" s="110">
        <f t="shared" si="247"/>
        <v>0.27803099805799536</v>
      </c>
      <c r="U93" s="110">
        <f t="shared" si="247"/>
        <v>-3.7398940578306283E-2</v>
      </c>
      <c r="V93" s="110">
        <f t="shared" si="247"/>
        <v>0.19945558934768193</v>
      </c>
      <c r="W93" s="110">
        <f t="shared" si="247"/>
        <v>0.27673042208460408</v>
      </c>
      <c r="X93" s="101">
        <f t="shared" si="247"/>
        <v>0.17866310741411207</v>
      </c>
      <c r="Y93" s="110">
        <f t="shared" si="247"/>
        <v>2.8076146298990023E-2</v>
      </c>
      <c r="Z93" s="110">
        <f t="shared" si="247"/>
        <v>0.30493414242817951</v>
      </c>
      <c r="AA93" s="110">
        <f t="shared" si="247"/>
        <v>0.44197469688510815</v>
      </c>
      <c r="AB93" s="110">
        <f t="shared" si="247"/>
        <v>3.2997629385652649E-2</v>
      </c>
      <c r="AC93" s="101">
        <f t="shared" si="247"/>
        <v>0.2055726813391805</v>
      </c>
      <c r="AD93" s="110">
        <f t="shared" si="247"/>
        <v>0.4325381766250409</v>
      </c>
      <c r="AE93" s="110">
        <f t="shared" si="247"/>
        <v>0.21684766005234568</v>
      </c>
      <c r="AF93" s="110">
        <f t="shared" si="247"/>
        <v>-3.2136224684120362E-2</v>
      </c>
      <c r="AG93" s="110">
        <f t="shared" si="247"/>
        <v>6.0040229936108691E-2</v>
      </c>
      <c r="AH93" s="101">
        <f t="shared" si="247"/>
        <v>0.12818232417721842</v>
      </c>
      <c r="AI93" s="110">
        <f t="shared" si="247"/>
        <v>0.33798367172302624</v>
      </c>
      <c r="AJ93" s="110">
        <f t="shared" si="247"/>
        <v>0.58890949443200946</v>
      </c>
      <c r="AK93" s="110">
        <f t="shared" si="247"/>
        <v>0.51592555998734668</v>
      </c>
      <c r="AL93" s="110">
        <f t="shared" si="247"/>
        <v>0.44430757509077212</v>
      </c>
      <c r="AM93" s="101">
        <f t="shared" si="247"/>
        <v>0.47271861127164283</v>
      </c>
      <c r="AN93" s="110">
        <f t="shared" si="247"/>
        <v>0.43759340339916553</v>
      </c>
      <c r="AO93" s="110">
        <f t="shared" ref="AO93:BT93" si="248">AO92/AJ92-1</f>
        <v>0.24474762689961471</v>
      </c>
      <c r="AP93" s="110">
        <f t="shared" si="248"/>
        <v>0.1501090377112082</v>
      </c>
      <c r="AQ93" s="110">
        <f t="shared" si="248"/>
        <v>-0.47009282083580495</v>
      </c>
      <c r="AR93" s="101">
        <f t="shared" si="248"/>
        <v>6.5973729172287054E-2</v>
      </c>
      <c r="AS93" s="413">
        <f t="shared" si="248"/>
        <v>-3.070635695822066E-2</v>
      </c>
      <c r="AT93" s="110">
        <f t="shared" si="248"/>
        <v>0.23710575423566582</v>
      </c>
      <c r="AU93" s="413">
        <f t="shared" si="248"/>
        <v>0.63684121728101584</v>
      </c>
      <c r="AV93" s="110">
        <f t="shared" si="248"/>
        <v>2.5166794978840326</v>
      </c>
      <c r="AW93" s="101">
        <f t="shared" si="248"/>
        <v>0.58875561013317901</v>
      </c>
      <c r="AX93" s="413">
        <f t="shared" si="248"/>
        <v>0.77904647762962043</v>
      </c>
      <c r="AY93" s="413">
        <f t="shared" si="248"/>
        <v>0.24785198814263887</v>
      </c>
      <c r="AZ93" s="110">
        <f t="shared" si="248"/>
        <v>7.2274324721832262E-2</v>
      </c>
      <c r="BA93" s="413">
        <f t="shared" si="248"/>
        <v>0.95467937968185534</v>
      </c>
      <c r="BB93" s="101">
        <f t="shared" si="248"/>
        <v>0.48162526800670369</v>
      </c>
      <c r="BC93" s="413">
        <f t="shared" si="248"/>
        <v>0.14426532861995356</v>
      </c>
      <c r="BD93" s="110">
        <f t="shared" si="248"/>
        <v>0.20859569415264634</v>
      </c>
      <c r="BE93" s="110">
        <f t="shared" si="248"/>
        <v>-1.2494080309117028E-2</v>
      </c>
      <c r="BF93" s="110">
        <f t="shared" si="248"/>
        <v>-0.49445054044642933</v>
      </c>
      <c r="BG93" s="101">
        <f t="shared" si="248"/>
        <v>-0.12018480267428655</v>
      </c>
      <c r="BH93" s="413">
        <f t="shared" si="248"/>
        <v>-0.2724016442567847</v>
      </c>
      <c r="BI93" s="110">
        <f t="shared" si="248"/>
        <v>-0.17445075364211315</v>
      </c>
      <c r="BJ93" s="110">
        <f t="shared" si="248"/>
        <v>4.4051928352319969E-2</v>
      </c>
      <c r="BK93" s="110">
        <f t="shared" si="248"/>
        <v>0.45418657574030519</v>
      </c>
      <c r="BL93" s="101">
        <f t="shared" si="248"/>
        <v>-5.5908392835699594E-3</v>
      </c>
      <c r="BM93" s="413">
        <f t="shared" si="248"/>
        <v>0.64696205898319903</v>
      </c>
      <c r="BN93" s="110">
        <f t="shared" si="248"/>
        <v>0.59640064869952636</v>
      </c>
      <c r="BO93" s="110">
        <f t="shared" si="248"/>
        <v>-7.6429772464231549E-2</v>
      </c>
      <c r="BP93" s="110">
        <f t="shared" si="248"/>
        <v>9.6711624807662044E-2</v>
      </c>
      <c r="BQ93" s="101">
        <f t="shared" si="248"/>
        <v>0.26122825102278524</v>
      </c>
      <c r="BR93" s="413">
        <f t="shared" si="248"/>
        <v>-0.22727459139582507</v>
      </c>
      <c r="BS93" s="110">
        <f t="shared" si="248"/>
        <v>-0.52732763861529053</v>
      </c>
      <c r="BT93" s="110">
        <f t="shared" si="248"/>
        <v>0.12788973888355093</v>
      </c>
      <c r="BU93" s="110">
        <f t="shared" ref="BU93:CP93" si="249">BU92/BP92-1</f>
        <v>2.0978715666591263E-2</v>
      </c>
      <c r="BV93" s="101">
        <f t="shared" si="249"/>
        <v>-0.17087231434019867</v>
      </c>
      <c r="BW93" s="110">
        <f t="shared" si="249"/>
        <v>7.1461217400222488E-2</v>
      </c>
      <c r="BX93" s="110">
        <f t="shared" si="249"/>
        <v>0.55633745730609907</v>
      </c>
      <c r="BY93" s="110">
        <f t="shared" si="249"/>
        <v>0.20175039055021027</v>
      </c>
      <c r="BZ93" s="110">
        <f t="shared" si="249"/>
        <v>-0.43115044141248549</v>
      </c>
      <c r="CA93" s="101">
        <f t="shared" si="249"/>
        <v>1.3523721405687361E-2</v>
      </c>
      <c r="CB93" s="110">
        <f t="shared" si="249"/>
        <v>-0.22896061391196476</v>
      </c>
      <c r="CC93" s="110">
        <f t="shared" si="249"/>
        <v>0.21753964001199266</v>
      </c>
      <c r="CD93" s="110">
        <f t="shared" si="249"/>
        <v>-0.12581237060318673</v>
      </c>
      <c r="CE93" s="110">
        <f t="shared" si="249"/>
        <v>0.23373554824816289</v>
      </c>
      <c r="CF93" s="101">
        <f t="shared" si="249"/>
        <v>1.0852894733732743E-3</v>
      </c>
      <c r="CG93" s="110">
        <f t="shared" si="249"/>
        <v>0.73031366279342835</v>
      </c>
      <c r="CH93" s="110">
        <f t="shared" si="249"/>
        <v>0.36205550842310763</v>
      </c>
      <c r="CI93" s="110">
        <f t="shared" si="249"/>
        <v>0.58293439427894578</v>
      </c>
      <c r="CJ93" s="110">
        <f t="shared" si="249"/>
        <v>0.64324944929034755</v>
      </c>
      <c r="CK93" s="101">
        <f t="shared" si="249"/>
        <v>0.5593719797130805</v>
      </c>
      <c r="CL93" s="110">
        <f t="shared" si="249"/>
        <v>0.46754851514370777</v>
      </c>
      <c r="CM93" s="110">
        <f t="shared" si="249"/>
        <v>0.23072871989537469</v>
      </c>
      <c r="CN93" s="110">
        <f t="shared" si="249"/>
        <v>0.1083897903337343</v>
      </c>
      <c r="CO93" s="110">
        <f t="shared" si="249"/>
        <v>0.24487982021782306</v>
      </c>
      <c r="CP93" s="101">
        <f t="shared" si="249"/>
        <v>0.2477478818258505</v>
      </c>
      <c r="CQ93" s="110">
        <f t="shared" ref="CQ93" si="250">CQ92/CL92-1</f>
        <v>6.5772647634216863E-2</v>
      </c>
      <c r="CR93" s="110">
        <f t="shared" ref="CR93" si="251">CR92/CM92-1</f>
        <v>0.14471785035773999</v>
      </c>
      <c r="CS93" s="110">
        <f t="shared" ref="CS93" si="252">CS92/CN92-1</f>
        <v>0.11927998115490723</v>
      </c>
      <c r="CT93" s="110">
        <f t="shared" ref="CT93" si="253">CT92/CO92-1</f>
        <v>0.17976519367616217</v>
      </c>
      <c r="CU93" s="101">
        <f t="shared" ref="CU93" si="254">CU92/CP92-1</f>
        <v>0.12757184727062709</v>
      </c>
      <c r="CV93" s="99"/>
      <c r="CW93" s="99"/>
      <c r="CX93" s="99"/>
      <c r="CY93" s="99"/>
      <c r="CZ93" s="204"/>
      <c r="DA93" s="205"/>
      <c r="DB93" s="205"/>
      <c r="DC93" s="377"/>
      <c r="DD93" s="377"/>
      <c r="DE93" s="179"/>
      <c r="DF93" s="67"/>
      <c r="DG93" s="67"/>
      <c r="DH93" s="67"/>
      <c r="DI93" s="67"/>
      <c r="DJ93" s="67"/>
      <c r="DK93" s="67"/>
      <c r="DL93" s="67"/>
      <c r="DM93" s="67"/>
    </row>
    <row r="94" spans="1:117" ht="5.45" customHeight="1">
      <c r="A94" s="7"/>
      <c r="B94" s="45"/>
      <c r="C94" s="46"/>
      <c r="D94" s="47"/>
      <c r="E94" s="46"/>
      <c r="F94" s="46"/>
      <c r="G94" s="46"/>
      <c r="H94" s="46"/>
      <c r="I94" s="47"/>
      <c r="J94" s="46"/>
      <c r="K94" s="46"/>
      <c r="L94" s="46"/>
      <c r="M94" s="46"/>
      <c r="N94" s="47"/>
      <c r="O94" s="46"/>
      <c r="P94" s="46"/>
      <c r="Q94" s="46"/>
      <c r="R94" s="46"/>
      <c r="S94" s="47"/>
      <c r="T94" s="59"/>
      <c r="U94" s="46"/>
      <c r="V94" s="46"/>
      <c r="W94" s="46"/>
      <c r="X94" s="47"/>
      <c r="Y94" s="46"/>
      <c r="Z94" s="46"/>
      <c r="AA94" s="46"/>
      <c r="AB94" s="46"/>
      <c r="AC94" s="47"/>
      <c r="AD94" s="46"/>
      <c r="AE94" s="46"/>
      <c r="AF94" s="46"/>
      <c r="AG94" s="46"/>
      <c r="AH94" s="47"/>
      <c r="AI94" s="46"/>
      <c r="AJ94" s="46"/>
      <c r="AK94" s="46"/>
      <c r="AL94" s="46"/>
      <c r="AM94" s="47"/>
      <c r="AN94" s="46"/>
      <c r="AO94" s="46"/>
      <c r="AP94" s="46"/>
      <c r="AQ94" s="46"/>
      <c r="AR94" s="47"/>
      <c r="AS94" s="414"/>
      <c r="AT94" s="46"/>
      <c r="AU94" s="414"/>
      <c r="AV94" s="46"/>
      <c r="AW94" s="47"/>
      <c r="AX94" s="414"/>
      <c r="AY94" s="414"/>
      <c r="AZ94" s="46"/>
      <c r="BA94" s="414"/>
      <c r="BB94" s="47"/>
      <c r="BC94" s="414"/>
      <c r="BD94" s="46"/>
      <c r="BE94" s="46"/>
      <c r="BF94" s="46"/>
      <c r="BG94" s="47"/>
      <c r="BH94" s="414"/>
      <c r="BI94" s="46"/>
      <c r="BJ94" s="46"/>
      <c r="BK94" s="46"/>
      <c r="BL94" s="47"/>
      <c r="BM94" s="414"/>
      <c r="BN94" s="46"/>
      <c r="BO94" s="46"/>
      <c r="BP94" s="46"/>
      <c r="BQ94" s="47"/>
      <c r="BR94" s="414"/>
      <c r="BS94" s="46"/>
      <c r="BT94" s="46"/>
      <c r="BU94" s="46"/>
      <c r="BV94" s="47"/>
      <c r="BW94" s="46"/>
      <c r="BX94" s="46"/>
      <c r="BY94" s="46"/>
      <c r="BZ94" s="46"/>
      <c r="CA94" s="47"/>
      <c r="CB94" s="46"/>
      <c r="CC94" s="46"/>
      <c r="CD94" s="46"/>
      <c r="CE94" s="46"/>
      <c r="CF94" s="47"/>
      <c r="CG94" s="46"/>
      <c r="CH94" s="46"/>
      <c r="CI94" s="46"/>
      <c r="CJ94" s="46"/>
      <c r="CK94" s="47"/>
      <c r="CL94" s="46"/>
      <c r="CM94" s="46"/>
      <c r="CN94" s="46"/>
      <c r="CO94" s="46"/>
      <c r="CP94" s="47"/>
      <c r="CQ94" s="46"/>
      <c r="CR94" s="46"/>
      <c r="CS94" s="46"/>
      <c r="CT94" s="46"/>
      <c r="CU94" s="47"/>
      <c r="CV94" s="7"/>
      <c r="CW94" s="7"/>
      <c r="CX94" s="7"/>
      <c r="CY94" s="7"/>
      <c r="CZ94" s="205"/>
      <c r="DA94" s="205"/>
      <c r="DB94" s="204"/>
      <c r="DC94" s="205"/>
      <c r="DD94" s="205"/>
    </row>
    <row r="95" spans="1:117">
      <c r="A95" s="10"/>
      <c r="B95" s="854" t="s">
        <v>42</v>
      </c>
      <c r="C95" s="851"/>
      <c r="D95" s="13">
        <v>38735</v>
      </c>
      <c r="E95" s="12">
        <v>38020</v>
      </c>
      <c r="F95" s="12">
        <v>38087</v>
      </c>
      <c r="G95" s="12">
        <v>38474</v>
      </c>
      <c r="H95" s="12">
        <f>G95-2089</f>
        <v>36385</v>
      </c>
      <c r="I95" s="13">
        <v>37714</v>
      </c>
      <c r="J95" s="12">
        <v>35497</v>
      </c>
      <c r="K95" s="12">
        <v>35343</v>
      </c>
      <c r="L95" s="12">
        <v>35118</v>
      </c>
      <c r="M95" s="12">
        <f>L95+122</f>
        <v>35240</v>
      </c>
      <c r="N95" s="13">
        <v>35240</v>
      </c>
      <c r="O95" s="12">
        <v>35101</v>
      </c>
      <c r="P95" s="12">
        <v>34862</v>
      </c>
      <c r="Q95" s="12">
        <v>34103</v>
      </c>
      <c r="R95" s="12">
        <v>32285</v>
      </c>
      <c r="S95" s="13">
        <v>34075</v>
      </c>
      <c r="T95" s="12">
        <v>32086</v>
      </c>
      <c r="U95" s="12">
        <v>32005</v>
      </c>
      <c r="V95" s="12">
        <v>31097</v>
      </c>
      <c r="W95" s="12">
        <v>29823</v>
      </c>
      <c r="X95" s="13">
        <v>31267</v>
      </c>
      <c r="Y95" s="12">
        <v>30015</v>
      </c>
      <c r="Z95" s="12">
        <v>30171</v>
      </c>
      <c r="AA95" s="12">
        <v>30387</v>
      </c>
      <c r="AB95" s="12">
        <v>30779</v>
      </c>
      <c r="AC95" s="13">
        <f>AVERAGE(Y95:AB95)</f>
        <v>30338</v>
      </c>
      <c r="AD95" s="35">
        <v>31403</v>
      </c>
      <c r="AE95" s="12">
        <v>31617</v>
      </c>
      <c r="AF95" s="12">
        <v>32037</v>
      </c>
      <c r="AG95" s="12">
        <v>32498</v>
      </c>
      <c r="AH95" s="13">
        <f>AVERAGE(AD95:AG95)</f>
        <v>31888.75</v>
      </c>
      <c r="AI95" s="12">
        <v>32916</v>
      </c>
      <c r="AJ95" s="12">
        <v>32918</v>
      </c>
      <c r="AK95" s="12">
        <v>32935</v>
      </c>
      <c r="AL95" s="12">
        <v>33275</v>
      </c>
      <c r="AM95" s="13">
        <f>AVERAGE(AI95:AL95)</f>
        <v>33011</v>
      </c>
      <c r="AN95" s="12">
        <v>33562</v>
      </c>
      <c r="AO95" s="12">
        <v>33751</v>
      </c>
      <c r="AP95" s="12">
        <v>33900</v>
      </c>
      <c r="AQ95" s="12">
        <v>35334</v>
      </c>
      <c r="AR95" s="13">
        <f>AVERAGE(AN95:AQ95)</f>
        <v>34136.75</v>
      </c>
      <c r="AS95" s="81">
        <v>36549</v>
      </c>
      <c r="AT95" s="12">
        <v>36160</v>
      </c>
      <c r="AU95" s="81">
        <v>36433</v>
      </c>
      <c r="AV95" s="12">
        <v>36653</v>
      </c>
      <c r="AW95" s="13">
        <f>AVERAGE(AS95:AV95)</f>
        <v>36448.75</v>
      </c>
      <c r="AX95" s="81">
        <v>36845</v>
      </c>
      <c r="AY95" s="81">
        <v>37154</v>
      </c>
      <c r="AZ95" s="12">
        <v>37391</v>
      </c>
      <c r="BA95" s="12">
        <v>37694</v>
      </c>
      <c r="BB95" s="13">
        <f>AVERAGE(AX95:BA95)</f>
        <v>37271</v>
      </c>
      <c r="BC95" s="81">
        <v>38002</v>
      </c>
      <c r="BD95" s="12">
        <v>38390</v>
      </c>
      <c r="BE95" s="12">
        <v>38761</v>
      </c>
      <c r="BF95" s="12">
        <v>38614</v>
      </c>
      <c r="BG95" s="13">
        <f>AVERAGE(BC95:BF95)</f>
        <v>38441.75</v>
      </c>
      <c r="BH95" s="81">
        <v>38308</v>
      </c>
      <c r="BI95" s="12">
        <v>38402</v>
      </c>
      <c r="BJ95" s="12">
        <v>38765</v>
      </c>
      <c r="BK95" s="12">
        <f>BJ95+400</f>
        <v>39165</v>
      </c>
      <c r="BL95" s="13">
        <f>AVERAGE(BH95:BK95)</f>
        <v>38660</v>
      </c>
      <c r="BM95" s="12">
        <v>39500</v>
      </c>
      <c r="BN95" s="12">
        <v>39963</v>
      </c>
      <c r="BO95" s="12">
        <f>BN95+100</f>
        <v>40063</v>
      </c>
      <c r="BP95" s="12">
        <f>BO95+100</f>
        <v>40163</v>
      </c>
      <c r="BQ95" s="13">
        <f>AVERAGE(BM95:BP95)</f>
        <v>39922.25</v>
      </c>
      <c r="BR95" s="12">
        <v>40611</v>
      </c>
      <c r="BS95" s="12">
        <v>40765</v>
      </c>
      <c r="BT95" s="12">
        <v>40888</v>
      </c>
      <c r="BU95" s="12">
        <v>41126</v>
      </c>
      <c r="BV95" s="13">
        <f>AVERAGE(BR95:BU95)</f>
        <v>40847.5</v>
      </c>
      <c r="BW95" s="12">
        <v>41364</v>
      </c>
      <c r="BX95" s="12">
        <v>41500</v>
      </c>
      <c r="BY95" s="12">
        <v>41600</v>
      </c>
      <c r="BZ95" s="12">
        <v>41707</v>
      </c>
      <c r="CA95" s="13">
        <f>AVERAGE(BW95:BZ95)</f>
        <v>41542.75</v>
      </c>
      <c r="CB95" s="12">
        <v>41832</v>
      </c>
      <c r="CC95" s="12">
        <v>41980</v>
      </c>
      <c r="CD95" s="12">
        <v>42087</v>
      </c>
      <c r="CE95" s="12">
        <f>+CD95+200</f>
        <v>42287</v>
      </c>
      <c r="CF95" s="13">
        <f>AVERAGE(CB95:CE95)</f>
        <v>42046.5</v>
      </c>
      <c r="CG95" s="12">
        <v>42332</v>
      </c>
      <c r="CH95" s="12">
        <v>42527</v>
      </c>
      <c r="CI95" s="12">
        <v>42714</v>
      </c>
      <c r="CJ95" s="12">
        <v>42864</v>
      </c>
      <c r="CK95" s="13">
        <f>AVERAGE(CG95:CJ95)</f>
        <v>42609.25</v>
      </c>
      <c r="CL95" s="12">
        <v>43024</v>
      </c>
      <c r="CM95" s="12">
        <v>43163</v>
      </c>
      <c r="CN95" s="12">
        <v>43135</v>
      </c>
      <c r="CO95" s="12">
        <v>43057</v>
      </c>
      <c r="CP95" s="13">
        <f>AVERAGE(CL95:CO95)</f>
        <v>43094.75</v>
      </c>
      <c r="CQ95" s="12">
        <f t="shared" ref="CQ95" si="255">+CP95+200</f>
        <v>43294.75</v>
      </c>
      <c r="CR95" s="12">
        <f t="shared" ref="CR95" si="256">+CQ95+200</f>
        <v>43494.75</v>
      </c>
      <c r="CS95" s="12">
        <f t="shared" ref="CS95" si="257">+CR95+200</f>
        <v>43694.75</v>
      </c>
      <c r="CT95" s="12">
        <f t="shared" ref="CT95" si="258">+CS95+200</f>
        <v>43894.75</v>
      </c>
      <c r="CU95" s="13">
        <f>AVERAGE(CQ95:CT95)</f>
        <v>43594.75</v>
      </c>
      <c r="CV95" s="12"/>
      <c r="CW95" s="12"/>
      <c r="CX95" s="12"/>
      <c r="CY95" s="12"/>
      <c r="CZ95" s="205"/>
      <c r="DA95" s="205"/>
      <c r="DB95" s="205"/>
      <c r="DC95" s="205"/>
      <c r="DD95" s="205"/>
      <c r="DF95" s="107"/>
      <c r="DG95" s="107"/>
      <c r="DH95" s="107"/>
      <c r="DI95" s="107"/>
      <c r="DJ95" s="107"/>
      <c r="DK95" s="107"/>
      <c r="DL95" s="107"/>
      <c r="DM95" s="107"/>
    </row>
    <row r="96" spans="1:117" ht="13.5" thickBot="1">
      <c r="A96" s="7"/>
      <c r="B96" s="48" t="s">
        <v>43</v>
      </c>
      <c r="C96" s="49"/>
      <c r="D96" s="50">
        <v>41352</v>
      </c>
      <c r="E96" s="51">
        <v>39527</v>
      </c>
      <c r="F96" s="51">
        <v>39633</v>
      </c>
      <c r="G96" s="51">
        <v>40019</v>
      </c>
      <c r="H96" s="51">
        <f>G96-2089</f>
        <v>37930</v>
      </c>
      <c r="I96" s="50">
        <v>39184</v>
      </c>
      <c r="J96" s="51">
        <v>36747</v>
      </c>
      <c r="K96" s="51">
        <v>36723</v>
      </c>
      <c r="L96" s="51">
        <v>36487</v>
      </c>
      <c r="M96" s="51">
        <f>L96+137</f>
        <v>36624</v>
      </c>
      <c r="N96" s="50">
        <v>36624</v>
      </c>
      <c r="O96" s="51">
        <v>36655</v>
      </c>
      <c r="P96" s="51">
        <v>36203</v>
      </c>
      <c r="Q96" s="51">
        <v>35410</v>
      </c>
      <c r="R96" s="51">
        <v>33895</v>
      </c>
      <c r="S96" s="50">
        <v>35528</v>
      </c>
      <c r="T96" s="51">
        <v>33720</v>
      </c>
      <c r="U96" s="51">
        <v>33848</v>
      </c>
      <c r="V96" s="51">
        <v>32960</v>
      </c>
      <c r="W96" s="51">
        <v>32031</v>
      </c>
      <c r="X96" s="50">
        <v>33154</v>
      </c>
      <c r="Y96" s="51">
        <v>32530</v>
      </c>
      <c r="Z96" s="12">
        <v>32769</v>
      </c>
      <c r="AA96" s="12">
        <v>32986</v>
      </c>
      <c r="AB96" s="12">
        <v>33421</v>
      </c>
      <c r="AC96" s="13">
        <f>AVERAGE(Y96:AB96)</f>
        <v>32926.5</v>
      </c>
      <c r="AD96" s="35">
        <v>33948</v>
      </c>
      <c r="AE96" s="12">
        <v>34290</v>
      </c>
      <c r="AF96" s="12">
        <v>34764</v>
      </c>
      <c r="AG96" s="12">
        <v>35348</v>
      </c>
      <c r="AH96" s="13">
        <f>AVERAGE(AD96:AG96)</f>
        <v>34587.5</v>
      </c>
      <c r="AI96" s="12">
        <v>35500</v>
      </c>
      <c r="AJ96" s="12">
        <v>35161</v>
      </c>
      <c r="AK96" s="12">
        <v>35284</v>
      </c>
      <c r="AL96" s="12">
        <v>35661</v>
      </c>
      <c r="AM96" s="13">
        <f>AVERAGE(AI96:AL96)</f>
        <v>35401.5</v>
      </c>
      <c r="AN96" s="12">
        <v>35895</v>
      </c>
      <c r="AO96" s="12">
        <v>36097</v>
      </c>
      <c r="AP96" s="12">
        <v>36349</v>
      </c>
      <c r="AQ96" s="12">
        <v>37864</v>
      </c>
      <c r="AR96" s="13">
        <f>AVERAGE(AN96:AQ96)</f>
        <v>36551.25</v>
      </c>
      <c r="AS96" s="81">
        <v>39071</v>
      </c>
      <c r="AT96" s="12">
        <v>38738</v>
      </c>
      <c r="AU96" s="81">
        <v>39062</v>
      </c>
      <c r="AV96" s="12">
        <v>38975</v>
      </c>
      <c r="AW96" s="13">
        <f>AVERAGE(AS96:AV96)</f>
        <v>38961.5</v>
      </c>
      <c r="AX96" s="81">
        <v>38932</v>
      </c>
      <c r="AY96" s="81">
        <v>39201</v>
      </c>
      <c r="AZ96" s="12">
        <v>39342</v>
      </c>
      <c r="BA96" s="12">
        <v>39499</v>
      </c>
      <c r="BB96" s="13">
        <f>AVERAGE(AX96:BA96)</f>
        <v>39243.5</v>
      </c>
      <c r="BC96" s="81">
        <v>39836</v>
      </c>
      <c r="BD96" s="12">
        <v>40224</v>
      </c>
      <c r="BE96" s="12">
        <v>40528</v>
      </c>
      <c r="BF96" s="12">
        <v>39891</v>
      </c>
      <c r="BG96" s="13">
        <f>AVERAGE(BC96:BF96)</f>
        <v>40119.75</v>
      </c>
      <c r="BH96" s="81">
        <v>39585</v>
      </c>
      <c r="BI96" s="12">
        <v>39813</v>
      </c>
      <c r="BJ96" s="12">
        <v>40280</v>
      </c>
      <c r="BK96" s="12">
        <f>BJ96+400</f>
        <v>40680</v>
      </c>
      <c r="BL96" s="13">
        <f>AVERAGE(BH96:BK96)</f>
        <v>40089.5</v>
      </c>
      <c r="BM96" s="12">
        <v>41144</v>
      </c>
      <c r="BN96" s="12">
        <v>41416</v>
      </c>
      <c r="BO96" s="12">
        <v>41606</v>
      </c>
      <c r="BP96" s="12">
        <f>BO96+680</f>
        <v>42286</v>
      </c>
      <c r="BQ96" s="13">
        <f>AVERAGE(BM96:BP96)</f>
        <v>41613</v>
      </c>
      <c r="BR96" s="12">
        <v>42056</v>
      </c>
      <c r="BS96" s="12">
        <v>42094</v>
      </c>
      <c r="BT96" s="12">
        <v>42286</v>
      </c>
      <c r="BU96" s="12">
        <v>42536</v>
      </c>
      <c r="BV96" s="13">
        <f>AVERAGE(BR96:BU96)</f>
        <v>42243</v>
      </c>
      <c r="BW96" s="12">
        <v>42443</v>
      </c>
      <c r="BX96" s="12">
        <v>42321</v>
      </c>
      <c r="BY96" s="12">
        <v>42407</v>
      </c>
      <c r="BZ96" s="12">
        <v>42419</v>
      </c>
      <c r="CA96" s="13">
        <f>AVERAGE(BW96:BZ96)</f>
        <v>42397.5</v>
      </c>
      <c r="CB96" s="12">
        <v>42506</v>
      </c>
      <c r="CC96" s="12">
        <v>42751</v>
      </c>
      <c r="CD96" s="12">
        <v>42841</v>
      </c>
      <c r="CE96" s="12">
        <f>+CD96+200</f>
        <v>43041</v>
      </c>
      <c r="CF96" s="13">
        <f>AVERAGE(CB96:CE96)</f>
        <v>42784.75</v>
      </c>
      <c r="CG96" s="12">
        <v>43100</v>
      </c>
      <c r="CH96" s="12">
        <v>43275</v>
      </c>
      <c r="CI96" s="12">
        <v>43694</v>
      </c>
      <c r="CJ96" s="12">
        <v>43912</v>
      </c>
      <c r="CK96" s="13">
        <f>AVERAGE(CG96:CJ96)</f>
        <v>43495.25</v>
      </c>
      <c r="CL96" s="12">
        <v>43943</v>
      </c>
      <c r="CM96" s="12">
        <v>43929</v>
      </c>
      <c r="CN96" s="12">
        <v>43834</v>
      </c>
      <c r="CO96" s="12">
        <v>43543</v>
      </c>
      <c r="CP96" s="13">
        <f>AVERAGE(CL96:CO96)</f>
        <v>43812.25</v>
      </c>
      <c r="CQ96" s="12">
        <f>+CP96+100</f>
        <v>43912.25</v>
      </c>
      <c r="CR96" s="12">
        <f>+CQ96+100</f>
        <v>44012.25</v>
      </c>
      <c r="CS96" s="12">
        <f>+CR96+100</f>
        <v>44112.25</v>
      </c>
      <c r="CT96" s="12">
        <f>+CS96+100</f>
        <v>44212.25</v>
      </c>
      <c r="CU96" s="13">
        <f>AVERAGE(CQ96:CT96)</f>
        <v>44062.25</v>
      </c>
      <c r="CV96" s="12">
        <f>41750-BQ96</f>
        <v>137</v>
      </c>
      <c r="CW96" s="12"/>
      <c r="CX96" s="12"/>
      <c r="CY96" s="12"/>
      <c r="CZ96" s="205"/>
      <c r="DA96" s="205"/>
      <c r="DB96" s="205"/>
      <c r="DC96" s="204"/>
      <c r="DD96" s="204"/>
      <c r="DE96" s="107"/>
    </row>
    <row r="97" spans="1:117" ht="7.5" customHeight="1">
      <c r="A97" s="7"/>
      <c r="B97" s="45"/>
      <c r="C97" s="46"/>
      <c r="D97" s="47"/>
      <c r="E97" s="46"/>
      <c r="F97" s="46"/>
      <c r="G97" s="46"/>
      <c r="H97" s="46"/>
      <c r="I97" s="47"/>
      <c r="J97" s="46"/>
      <c r="K97" s="46"/>
      <c r="L97" s="46"/>
      <c r="M97" s="46"/>
      <c r="N97" s="47"/>
      <c r="O97" s="46"/>
      <c r="P97" s="46"/>
      <c r="Q97" s="46"/>
      <c r="R97" s="46"/>
      <c r="S97" s="47"/>
      <c r="T97" s="59"/>
      <c r="U97" s="46"/>
      <c r="V97" s="46"/>
      <c r="W97" s="46"/>
      <c r="X97" s="47"/>
      <c r="Y97" s="46"/>
      <c r="Z97" s="46"/>
      <c r="AA97" s="46"/>
      <c r="AB97" s="46"/>
      <c r="AC97" s="47"/>
      <c r="AD97" s="46"/>
      <c r="AE97" s="46"/>
      <c r="AF97" s="46"/>
      <c r="AG97" s="46"/>
      <c r="AH97" s="47"/>
      <c r="AI97" s="46"/>
      <c r="AJ97" s="46"/>
      <c r="AK97" s="46"/>
      <c r="AL97" s="46"/>
      <c r="AM97" s="47"/>
      <c r="AN97" s="46"/>
      <c r="AO97" s="46"/>
      <c r="AP97" s="46"/>
      <c r="AQ97" s="46"/>
      <c r="AR97" s="47"/>
      <c r="AS97" s="414"/>
      <c r="AT97" s="46"/>
      <c r="AU97" s="414"/>
      <c r="AV97" s="46"/>
      <c r="AW97" s="47"/>
      <c r="AX97" s="414"/>
      <c r="AY97" s="414"/>
      <c r="AZ97" s="46"/>
      <c r="BA97" s="46"/>
      <c r="BB97" s="47"/>
      <c r="BC97" s="414"/>
      <c r="BD97" s="46"/>
      <c r="BE97" s="46"/>
      <c r="BF97" s="46"/>
      <c r="BG97" s="47"/>
      <c r="BH97" s="414"/>
      <c r="BI97" s="46"/>
      <c r="BJ97" s="46"/>
      <c r="BK97" s="46"/>
      <c r="BL97" s="47"/>
      <c r="BM97" s="414"/>
      <c r="BN97" s="46"/>
      <c r="BO97" s="46"/>
      <c r="BP97" s="46"/>
      <c r="BQ97" s="47"/>
      <c r="BR97" s="414"/>
      <c r="BS97" s="46"/>
      <c r="BT97" s="46"/>
      <c r="BU97" s="46"/>
      <c r="BV97" s="47"/>
      <c r="BW97" s="414"/>
      <c r="BX97" s="46"/>
      <c r="BY97" s="46"/>
      <c r="BZ97" s="46"/>
      <c r="CA97" s="47"/>
      <c r="CB97" s="414"/>
      <c r="CC97" s="46"/>
      <c r="CD97" s="46"/>
      <c r="CE97" s="46"/>
      <c r="CF97" s="47"/>
      <c r="CG97" s="414"/>
      <c r="CH97" s="46"/>
      <c r="CI97" s="46"/>
      <c r="CJ97" s="46"/>
      <c r="CK97" s="47"/>
      <c r="CL97" s="414"/>
      <c r="CM97" s="46"/>
      <c r="CN97" s="46"/>
      <c r="CO97" s="46"/>
      <c r="CP97" s="47"/>
      <c r="CQ97" s="414"/>
      <c r="CR97" s="46"/>
      <c r="CS97" s="46"/>
      <c r="CT97" s="46"/>
      <c r="CU97" s="47"/>
      <c r="CV97" s="7"/>
      <c r="CW97" s="7"/>
      <c r="CX97" s="7"/>
      <c r="CY97" s="7"/>
      <c r="CZ97" s="205"/>
      <c r="DA97" s="205"/>
      <c r="DB97" s="205"/>
      <c r="DC97" s="205"/>
      <c r="DD97" s="205"/>
    </row>
    <row r="98" spans="1:117" ht="13.5" thickBot="1">
      <c r="A98" s="10"/>
      <c r="B98" s="855" t="s">
        <v>44</v>
      </c>
      <c r="C98" s="852"/>
      <c r="D98" s="50">
        <f>'Balance Sheet'!D29</f>
        <v>73714</v>
      </c>
      <c r="E98" s="11">
        <f>'Balance Sheet'!E29</f>
        <v>83426</v>
      </c>
      <c r="F98" s="12">
        <f>'Balance Sheet'!F29</f>
        <v>92973</v>
      </c>
      <c r="G98" s="12">
        <f>'Balance Sheet'!G29</f>
        <v>91029</v>
      </c>
      <c r="H98" s="79">
        <f>'Balance Sheet'!H29</f>
        <v>95773</v>
      </c>
      <c r="I98" s="50">
        <f>'Balance Sheet'!I29</f>
        <v>95773</v>
      </c>
      <c r="J98" s="11">
        <f>'Balance Sheet'!J29</f>
        <v>87042</v>
      </c>
      <c r="K98" s="12">
        <f>'Balance Sheet'!K29</f>
        <v>92441</v>
      </c>
      <c r="L98" s="12">
        <f>'Balance Sheet'!L29</f>
        <v>99670</v>
      </c>
      <c r="M98" s="79">
        <f>'Balance Sheet'!M29</f>
        <v>99116</v>
      </c>
      <c r="N98" s="50">
        <f>'Balance Sheet'!N29</f>
        <v>99116</v>
      </c>
      <c r="O98" s="11">
        <f>'Balance Sheet'!O29</f>
        <v>85828</v>
      </c>
      <c r="P98" s="12">
        <f>'Balance Sheet'!P29</f>
        <v>97838</v>
      </c>
      <c r="Q98" s="12">
        <f>'Balance Sheet'!Q29</f>
        <v>98357</v>
      </c>
      <c r="R98" s="79">
        <f>'Balance Sheet'!R29</f>
        <v>102590</v>
      </c>
      <c r="S98" s="50">
        <f>'Balance Sheet'!S29</f>
        <v>102590</v>
      </c>
      <c r="T98" s="11">
        <f>'Balance Sheet'!T29</f>
        <v>91792</v>
      </c>
      <c r="U98" s="12">
        <f>'Balance Sheet'!U29</f>
        <v>110455</v>
      </c>
      <c r="V98" s="12">
        <f>'Balance Sheet'!V29</f>
        <v>108114</v>
      </c>
      <c r="W98" s="79">
        <f>'Balance Sheet'!W29</f>
        <v>123678</v>
      </c>
      <c r="X98" s="13">
        <f>'Balance Sheet'!X29</f>
        <v>123678</v>
      </c>
      <c r="Y98" s="11">
        <f>'Balance Sheet'!Y29</f>
        <v>109381</v>
      </c>
      <c r="Z98" s="12">
        <f>'Balance Sheet'!Z29</f>
        <v>125721</v>
      </c>
      <c r="AA98" s="12">
        <f>'Balance Sheet'!AA29</f>
        <v>120127</v>
      </c>
      <c r="AB98" s="12">
        <f>'Balance Sheet'!AB29</f>
        <v>140550</v>
      </c>
      <c r="AC98" s="50"/>
      <c r="AD98" s="11">
        <f>'Balance Sheet'!AD29</f>
        <v>125385</v>
      </c>
      <c r="AE98" s="12">
        <f>'Balance Sheet'!AE29</f>
        <v>155903</v>
      </c>
      <c r="AF98" s="12">
        <f>'Balance Sheet'!AF29</f>
        <v>151510</v>
      </c>
      <c r="AG98" s="12">
        <f>'Balance Sheet'!AG29</f>
        <v>156738</v>
      </c>
      <c r="AH98" s="50"/>
      <c r="AI98" s="11">
        <f>'Balance Sheet'!AI29</f>
        <v>139298</v>
      </c>
      <c r="AJ98" s="12">
        <f>'Balance Sheet'!AJ29</f>
        <v>184578</v>
      </c>
      <c r="AK98" s="12">
        <f>'Balance Sheet'!AK29</f>
        <v>185844</v>
      </c>
      <c r="AL98" s="12">
        <f>'Balance Sheet'!AL29</f>
        <v>189212</v>
      </c>
      <c r="AM98" s="50"/>
      <c r="AN98" s="11">
        <f>'Balance Sheet'!AN29</f>
        <v>164706</v>
      </c>
      <c r="AO98" s="12">
        <f>'Balance Sheet'!AO29</f>
        <v>201549</v>
      </c>
      <c r="AP98" s="12">
        <f>'Balance Sheet'!AP29</f>
        <v>200890</v>
      </c>
      <c r="AQ98" s="12">
        <f>'Balance Sheet'!AQ29</f>
        <v>281627</v>
      </c>
      <c r="AR98" s="13"/>
      <c r="AS98" s="12">
        <f>'Balance Sheet'!AS29</f>
        <v>250108</v>
      </c>
      <c r="AT98" s="12">
        <f>'Balance Sheet'!AT29</f>
        <v>296481</v>
      </c>
      <c r="AU98" s="12">
        <f>'Balance Sheet'!AU29</f>
        <v>288316</v>
      </c>
      <c r="AV98" s="12">
        <f>'Balance Sheet'!AV29</f>
        <v>298217</v>
      </c>
      <c r="AW98" s="13"/>
      <c r="AX98" s="12">
        <f>'Balance Sheet'!AX29</f>
        <v>270208</v>
      </c>
      <c r="AY98" s="12">
        <f>'Balance Sheet'!AY29</f>
        <v>304128</v>
      </c>
      <c r="AZ98" s="12">
        <f>'Balance Sheet'!AZ29</f>
        <v>297163</v>
      </c>
      <c r="BA98" s="12">
        <f>'Balance Sheet'!BA29</f>
        <v>309461</v>
      </c>
      <c r="BB98" s="50"/>
      <c r="BC98" s="12">
        <f>'Balance Sheet'!BC29</f>
        <v>268132</v>
      </c>
      <c r="BD98" s="51">
        <f>'Balance Sheet'!BD29</f>
        <v>316084</v>
      </c>
      <c r="BE98" s="51">
        <f>'Balance Sheet'!BE29</f>
        <v>326421</v>
      </c>
      <c r="BF98" s="51">
        <f>'Balance Sheet'!BF29</f>
        <v>350512</v>
      </c>
      <c r="BG98" s="50"/>
      <c r="BH98" s="51">
        <f>'Balance Sheet'!BH29</f>
        <v>319900</v>
      </c>
      <c r="BI98" s="51">
        <f>'Balance Sheet'!BI29</f>
        <v>368488</v>
      </c>
      <c r="BJ98" s="51">
        <f>'Balance Sheet'!BJ29</f>
        <v>391560</v>
      </c>
      <c r="BK98" s="51">
        <f>'Balance Sheet'!BK29</f>
        <v>412495</v>
      </c>
      <c r="BL98" s="50"/>
      <c r="BM98" s="51">
        <f>'Balance Sheet'!BM29</f>
        <v>365959</v>
      </c>
      <c r="BN98" s="51">
        <f>'Balance Sheet'!BN29</f>
        <v>423037</v>
      </c>
      <c r="BO98" s="51">
        <f>'Balance Sheet'!BO29</f>
        <v>436504</v>
      </c>
      <c r="BP98" s="51">
        <f>'Balance Sheet'!BP29</f>
        <v>461278</v>
      </c>
      <c r="BQ98" s="50"/>
      <c r="BR98" s="51">
        <f>'Balance Sheet'!BR29</f>
        <v>420535</v>
      </c>
      <c r="BS98" s="51">
        <f>'Balance Sheet'!BS29</f>
        <v>484482</v>
      </c>
      <c r="BT98" s="51">
        <f>'Balance Sheet'!BT29</f>
        <v>495250</v>
      </c>
      <c r="BU98" s="51">
        <f>'Balance Sheet'!BU29</f>
        <v>510529</v>
      </c>
      <c r="BV98" s="50"/>
      <c r="BW98" s="51">
        <f>'Balance Sheet'!BW29</f>
        <v>454678</v>
      </c>
      <c r="BX98" s="51">
        <f>'Balance Sheet'!BX29</f>
        <v>528588</v>
      </c>
      <c r="BY98" s="51">
        <f>'Balance Sheet'!BY29</f>
        <v>529233</v>
      </c>
      <c r="BZ98" s="51">
        <f>'Balance Sheet'!BZ29</f>
        <v>568538</v>
      </c>
      <c r="CA98" s="50"/>
      <c r="CB98" s="51">
        <f>'Balance Sheet'!CB29</f>
        <v>497395</v>
      </c>
      <c r="CC98" s="51">
        <f>'Balance Sheet'!CC29</f>
        <v>565840</v>
      </c>
      <c r="CD98" s="51">
        <f>'Balance Sheet'!CD29</f>
        <v>600439</v>
      </c>
      <c r="CE98" s="51">
        <f>'Balance Sheet'!CE29</f>
        <v>632914</v>
      </c>
      <c r="CF98" s="50"/>
      <c r="CG98" s="51">
        <f>'Balance Sheet'!CG29</f>
        <v>571871</v>
      </c>
      <c r="CH98" s="51">
        <f>'Balance Sheet'!CH29</f>
        <v>652302</v>
      </c>
      <c r="CI98" s="51">
        <f>'Balance Sheet'!CI29</f>
        <v>682422</v>
      </c>
      <c r="CJ98" s="51">
        <f>'Balance Sheet'!CJ29</f>
        <v>701438</v>
      </c>
      <c r="CK98" s="50"/>
      <c r="CL98" s="51">
        <f>'Balance Sheet'!CL29</f>
        <v>642379</v>
      </c>
      <c r="CM98" s="51">
        <f>'Balance Sheet'!CM29</f>
        <v>720497</v>
      </c>
      <c r="CN98" s="51">
        <f>'Balance Sheet'!CN29</f>
        <v>761050</v>
      </c>
      <c r="CO98" s="51">
        <f>'Balance Sheet'!CO29</f>
        <v>780838</v>
      </c>
      <c r="CP98" s="50"/>
      <c r="CQ98" s="51"/>
      <c r="CR98" s="51"/>
      <c r="CS98" s="51"/>
      <c r="CT98" s="51"/>
      <c r="CU98" s="50"/>
      <c r="CV98" s="12"/>
      <c r="CW98" s="12"/>
      <c r="CX98" s="12"/>
      <c r="CY98" s="12"/>
      <c r="CZ98" s="205"/>
      <c r="DA98" s="205"/>
      <c r="DB98" s="205"/>
      <c r="DC98" s="205"/>
      <c r="DD98" s="205"/>
    </row>
    <row r="99" spans="1:117" ht="13.5" thickBot="1">
      <c r="A99" s="10"/>
      <c r="B99" s="856" t="s">
        <v>45</v>
      </c>
      <c r="C99" s="853"/>
      <c r="D99" s="16">
        <f>'Cash Flows'!D26</f>
        <v>27821</v>
      </c>
      <c r="E99" s="52">
        <f>'Cash Flows'!E26</f>
        <v>17578</v>
      </c>
      <c r="F99" s="37">
        <f>'Cash Flows'!F26</f>
        <v>2910</v>
      </c>
      <c r="G99" s="37">
        <f>'Cash Flows'!G26</f>
        <v>24169</v>
      </c>
      <c r="H99" s="66">
        <f>'Cash Flows'!H26</f>
        <v>894</v>
      </c>
      <c r="I99" s="16">
        <f>'Cash Flows'!I26</f>
        <v>45551</v>
      </c>
      <c r="J99" s="52">
        <f>'Cash Flows'!J26</f>
        <v>8532</v>
      </c>
      <c r="K99" s="37">
        <f>'Cash Flows'!K26</f>
        <v>-8344</v>
      </c>
      <c r="L99" s="37">
        <f>'Cash Flows'!L26</f>
        <v>17772</v>
      </c>
      <c r="M99" s="66">
        <f>'Cash Flows'!M26</f>
        <v>7468</v>
      </c>
      <c r="N99" s="16">
        <f>'Cash Flows'!N26</f>
        <v>25428</v>
      </c>
      <c r="O99" s="52">
        <f>'Cash Flows'!O26</f>
        <v>4711</v>
      </c>
      <c r="P99" s="37">
        <f>'Cash Flows'!P26</f>
        <v>-10888</v>
      </c>
      <c r="Q99" s="37">
        <f>'Cash Flows'!Q26</f>
        <v>23674</v>
      </c>
      <c r="R99" s="66">
        <f>'Cash Flows'!R26</f>
        <v>3587</v>
      </c>
      <c r="S99" s="16">
        <f>'Cash Flows'!S26</f>
        <v>21084</v>
      </c>
      <c r="T99" s="52">
        <f>'Cash Flows'!T26</f>
        <v>17467</v>
      </c>
      <c r="U99" s="37">
        <f>'Cash Flows'!U26</f>
        <v>1860</v>
      </c>
      <c r="V99" s="37">
        <f>'Cash Flows'!V26</f>
        <v>25778</v>
      </c>
      <c r="W99" s="66">
        <f>'Cash Flows'!W26</f>
        <v>13441</v>
      </c>
      <c r="X99" s="16">
        <f>'Cash Flows'!X26</f>
        <v>56435</v>
      </c>
      <c r="Y99" s="52">
        <f>'Cash Flows'!Y26</f>
        <v>18084</v>
      </c>
      <c r="Z99" s="37">
        <f>'Cash Flows'!Z26</f>
        <v>-9659</v>
      </c>
      <c r="AA99" s="37">
        <f>'Cash Flows'!AA26</f>
        <v>33829</v>
      </c>
      <c r="AB99" s="66">
        <f>'Cash Flows'!AB26</f>
        <v>16414</v>
      </c>
      <c r="AC99" s="16">
        <f>'Cash Flows'!AC26</f>
        <v>58668</v>
      </c>
      <c r="AD99" s="52">
        <f>'Cash Flows'!AD26</f>
        <v>17084</v>
      </c>
      <c r="AE99" s="37">
        <f>'Cash Flows'!AE26</f>
        <v>-498</v>
      </c>
      <c r="AF99" s="37">
        <f>'Cash Flows'!AF26</f>
        <v>42115</v>
      </c>
      <c r="AG99" s="37">
        <f>'Cash Flows'!AG26</f>
        <v>7389</v>
      </c>
      <c r="AH99" s="16">
        <f>'Cash Flows'!AH26</f>
        <v>66090</v>
      </c>
      <c r="AI99" s="52">
        <f>'Cash Flows'!AI26</f>
        <v>16560</v>
      </c>
      <c r="AJ99" s="37">
        <f>'Cash Flows'!AJ26</f>
        <v>12268</v>
      </c>
      <c r="AK99" s="37">
        <f>'Cash Flows'!AK26</f>
        <v>66303</v>
      </c>
      <c r="AL99" s="37">
        <f>'Cash Flows'!AL26</f>
        <v>28306</v>
      </c>
      <c r="AM99" s="16">
        <f>'Cash Flows'!AM26</f>
        <v>123437</v>
      </c>
      <c r="AN99" s="88">
        <f>'Cash Flows'!AN26</f>
        <v>-2095</v>
      </c>
      <c r="AO99" s="59">
        <f>'Cash Flows'!AO26</f>
        <v>16908</v>
      </c>
      <c r="AP99" s="59">
        <f>'Cash Flows'!AP26</f>
        <v>55100</v>
      </c>
      <c r="AQ99" s="59">
        <f>'Cash Flows'!AQ26</f>
        <v>19100</v>
      </c>
      <c r="AR99" s="65">
        <f>'Cash Flows'!AR26</f>
        <v>89013</v>
      </c>
      <c r="AS99" s="59">
        <f>'Cash Flows'!AS26</f>
        <v>41415</v>
      </c>
      <c r="AT99" s="59">
        <f>'Cash Flows'!AT26</f>
        <v>20012</v>
      </c>
      <c r="AU99" s="59">
        <f>'Cash Flows'!AU26</f>
        <v>80257</v>
      </c>
      <c r="AV99" s="59">
        <f>'Cash Flows'!AV26</f>
        <v>50175</v>
      </c>
      <c r="AW99" s="65">
        <f>'Cash Flows'!AW26</f>
        <v>191859</v>
      </c>
      <c r="AX99" s="59">
        <f>'Cash Flows'!AX26</f>
        <v>48179</v>
      </c>
      <c r="AY99" s="59">
        <f>'Cash Flows'!AY26</f>
        <v>1395</v>
      </c>
      <c r="AZ99" s="59">
        <f>'Cash Flows'!AZ26</f>
        <v>92806</v>
      </c>
      <c r="BA99" s="59">
        <f>'Cash Flows'!BA26</f>
        <v>53374</v>
      </c>
      <c r="BB99" s="16">
        <f>'Cash Flows'!BB26</f>
        <v>195754</v>
      </c>
      <c r="BC99" s="59">
        <f>'Cash Flows'!BC26</f>
        <v>44631</v>
      </c>
      <c r="BD99" s="37">
        <f>'Cash Flows'!BD26</f>
        <v>22599</v>
      </c>
      <c r="BE99" s="37">
        <f>'Cash Flows'!BE26</f>
        <v>112123</v>
      </c>
      <c r="BF99" s="37">
        <f>'Cash Flows'!BF26</f>
        <v>70850</v>
      </c>
      <c r="BG99" s="16">
        <f>'Cash Flows'!BG26</f>
        <v>250203</v>
      </c>
      <c r="BH99" s="37">
        <f>'Cash Flows'!BH26</f>
        <v>23957</v>
      </c>
      <c r="BI99" s="37">
        <f>'Cash Flows'!BI26</f>
        <v>24497</v>
      </c>
      <c r="BJ99" s="37">
        <f>'Cash Flows'!BJ26</f>
        <v>130073</v>
      </c>
      <c r="BK99" s="37">
        <f>'Cash Flows'!BK26</f>
        <v>76193</v>
      </c>
      <c r="BL99" s="16">
        <f>'Cash Flows'!BL26</f>
        <v>254720</v>
      </c>
      <c r="BM99" s="37">
        <f>'Cash Flows'!BM26</f>
        <v>55971</v>
      </c>
      <c r="BN99" s="37">
        <f>'Cash Flows'!BN26</f>
        <v>39062</v>
      </c>
      <c r="BO99" s="37">
        <f>'Cash Flows'!BO26</f>
        <v>169055</v>
      </c>
      <c r="BP99" s="37">
        <f>'Cash Flows'!BP26</f>
        <v>88008</v>
      </c>
      <c r="BQ99" s="16"/>
      <c r="BR99" s="37">
        <f>'Cash Flows'!BR26</f>
        <v>71704</v>
      </c>
      <c r="BS99" s="37">
        <f>'Cash Flows'!BS26</f>
        <v>-20348</v>
      </c>
      <c r="BT99" s="37">
        <f>'Cash Flows'!BT26</f>
        <v>205386</v>
      </c>
      <c r="BU99" s="37">
        <f>'Cash Flows'!BU26</f>
        <v>115010</v>
      </c>
      <c r="BV99" s="16"/>
      <c r="BW99" s="37">
        <f>'Cash Flows'!BW26</f>
        <v>53541</v>
      </c>
      <c r="BX99" s="37">
        <f>'Cash Flows'!BX26</f>
        <v>76679</v>
      </c>
      <c r="BY99" s="37">
        <f>'Cash Flows'!BY26</f>
        <v>129377</v>
      </c>
      <c r="BZ99" s="37">
        <f>'Cash Flows'!BZ26</f>
        <v>121857</v>
      </c>
      <c r="CA99" s="16"/>
      <c r="CB99" s="37">
        <f>'Cash Flows'!CB26</f>
        <v>74709</v>
      </c>
      <c r="CC99" s="37">
        <f>'Cash Flows'!CC26</f>
        <v>-19184</v>
      </c>
      <c r="CD99" s="37">
        <f>'Cash Flows'!CD26</f>
        <v>177496</v>
      </c>
      <c r="CE99" s="37">
        <f>'Cash Flows'!CE26</f>
        <v>147419</v>
      </c>
      <c r="CF99" s="16"/>
      <c r="CG99" s="37">
        <f>'Cash Flows'!CG26</f>
        <v>71839</v>
      </c>
      <c r="CH99" s="37">
        <f>'Cash Flows'!CH26</f>
        <v>64304</v>
      </c>
      <c r="CI99" s="37">
        <f>'Cash Flows'!CI26</f>
        <v>263716</v>
      </c>
      <c r="CJ99" s="37">
        <f>'Cash Flows'!CJ26</f>
        <v>224774</v>
      </c>
      <c r="CK99" s="16"/>
      <c r="CL99" s="37">
        <f>'Cash Flows'!CL26</f>
        <v>56158</v>
      </c>
      <c r="CM99" s="37">
        <f>'Cash Flows'!CM26</f>
        <v>98312</v>
      </c>
      <c r="CN99" s="37">
        <f>'Cash Flows'!CN26</f>
        <v>255191</v>
      </c>
      <c r="CO99" s="37">
        <f>'Cash Flows'!CO26</f>
        <v>243883</v>
      </c>
      <c r="CP99" s="16"/>
      <c r="CQ99" s="37"/>
      <c r="CR99" s="37"/>
      <c r="CS99" s="37"/>
      <c r="CT99" s="37"/>
      <c r="CU99" s="16"/>
      <c r="CV99" s="12"/>
      <c r="CW99" s="12"/>
      <c r="CX99" s="12"/>
      <c r="CY99" s="12"/>
      <c r="CZ99" s="205"/>
      <c r="DA99" s="205"/>
      <c r="DB99" s="205"/>
      <c r="DC99" s="205"/>
      <c r="DD99" s="205"/>
    </row>
    <row r="100" spans="1:117">
      <c r="A100" s="10"/>
      <c r="B100" s="854" t="s">
        <v>377</v>
      </c>
      <c r="C100" s="851"/>
      <c r="D100" s="13">
        <f>'Balance Sheet'!D6</f>
        <v>55694</v>
      </c>
      <c r="E100" s="88">
        <f>'Balance Sheet'!E6</f>
        <v>40298</v>
      </c>
      <c r="F100" s="59">
        <f>'Balance Sheet'!F6</f>
        <v>38144</v>
      </c>
      <c r="G100" s="59">
        <f>'Balance Sheet'!G6</f>
        <v>29361</v>
      </c>
      <c r="H100" s="89">
        <f>'Balance Sheet'!H6</f>
        <v>7619</v>
      </c>
      <c r="I100" s="13">
        <f>'Balance Sheet'!I6</f>
        <v>7619</v>
      </c>
      <c r="J100" s="88">
        <f>'Balance Sheet'!J6</f>
        <v>7393</v>
      </c>
      <c r="K100" s="59">
        <f>'Balance Sheet'!K6</f>
        <v>9449</v>
      </c>
      <c r="L100" s="59">
        <f>'Balance Sheet'!L6</f>
        <v>7895</v>
      </c>
      <c r="M100" s="89">
        <f>'Balance Sheet'!M6</f>
        <v>15746</v>
      </c>
      <c r="N100" s="13">
        <f>'Balance Sheet'!N6</f>
        <v>15746</v>
      </c>
      <c r="O100" s="88">
        <f>'Balance Sheet'!O6</f>
        <v>9051</v>
      </c>
      <c r="P100" s="59">
        <f>'Balance Sheet'!P6</f>
        <v>6217</v>
      </c>
      <c r="Q100" s="59">
        <f>'Balance Sheet'!Q6</f>
        <v>6449</v>
      </c>
      <c r="R100" s="89">
        <f>'Balance Sheet'!R6</f>
        <v>2139</v>
      </c>
      <c r="S100" s="13">
        <f>'Balance Sheet'!S6</f>
        <v>2139</v>
      </c>
      <c r="T100" s="88">
        <f>'Balance Sheet'!T6</f>
        <v>2248</v>
      </c>
      <c r="U100" s="59">
        <f>'Balance Sheet'!U6</f>
        <v>1437</v>
      </c>
      <c r="V100" s="59">
        <f>'Balance Sheet'!V6</f>
        <v>5280</v>
      </c>
      <c r="W100" s="89">
        <f>'Balance Sheet'!W6</f>
        <v>1351</v>
      </c>
      <c r="X100" s="13">
        <f>'Balance Sheet'!X6</f>
        <v>1351</v>
      </c>
      <c r="Y100" s="88">
        <f>'Balance Sheet'!Y6</f>
        <v>9932</v>
      </c>
      <c r="Z100" s="59">
        <f>'Balance Sheet'!Z6</f>
        <v>362</v>
      </c>
      <c r="AA100" s="59">
        <f>'Balance Sheet'!AA6</f>
        <v>103</v>
      </c>
      <c r="AB100" s="89">
        <f>'Balance Sheet'!AB6</f>
        <v>6406</v>
      </c>
      <c r="AC100" s="13"/>
      <c r="AD100" s="88">
        <f>'Balance Sheet'!AD6</f>
        <v>4495</v>
      </c>
      <c r="AE100" s="59">
        <f>'Balance Sheet'!AE6</f>
        <v>3068</v>
      </c>
      <c r="AF100" s="59">
        <f>'Balance Sheet'!AF6</f>
        <v>52121</v>
      </c>
      <c r="AG100" s="59">
        <f>'Balance Sheet'!AG6</f>
        <v>78876</v>
      </c>
      <c r="AH100" s="13"/>
      <c r="AI100" s="88">
        <f>'Balance Sheet'!AI6</f>
        <v>97145</v>
      </c>
      <c r="AJ100" s="59">
        <f>'Balance Sheet'!AJ6</f>
        <v>88892</v>
      </c>
      <c r="AK100" s="59">
        <f>'Balance Sheet'!AK6</f>
        <v>157431</v>
      </c>
      <c r="AL100" s="59">
        <f>'Balance Sheet'!AL6</f>
        <v>206167</v>
      </c>
      <c r="AM100" s="11"/>
      <c r="AN100" s="88">
        <f>'Balance Sheet'!AN6-'Balance Sheet'!AN28-'Balance Sheet'!AN34-'Balance Sheet'!AN36</f>
        <v>194721</v>
      </c>
      <c r="AO100" s="59">
        <f>'Balance Sheet'!AO6-'Balance Sheet'!AO28-'Balance Sheet'!AO34-'Balance Sheet'!AO36</f>
        <v>204103</v>
      </c>
      <c r="AP100" s="59">
        <f>'Balance Sheet'!AP6-'Balance Sheet'!AP28-'Balance Sheet'!AP34-'Balance Sheet'!AP36</f>
        <v>238614</v>
      </c>
      <c r="AQ100" s="59">
        <f>'Balance Sheet'!AQ6-'Balance Sheet'!AQ28-'Balance Sheet'!AQ34-'Balance Sheet'!AQ36</f>
        <v>-32913</v>
      </c>
      <c r="AR100" s="65">
        <f>'Balance Sheet'!AR6-'Balance Sheet'!AR28-'Balance Sheet'!AR34-'Balance Sheet'!AR36</f>
        <v>-32913</v>
      </c>
      <c r="AS100" s="88">
        <f>'Balance Sheet'!AS6-'Balance Sheet'!AS28-'Balance Sheet'!AS34-'Balance Sheet'!AS36</f>
        <v>-104659</v>
      </c>
      <c r="AT100" s="59">
        <f>'Balance Sheet'!AT6-'Balance Sheet'!AT28-'Balance Sheet'!AT34-'Balance Sheet'!AT36</f>
        <v>-93673</v>
      </c>
      <c r="AU100" s="59">
        <f>'Balance Sheet'!AU6-'Balance Sheet'!AU28-'Balance Sheet'!AU34-'Balance Sheet'!AU36</f>
        <v>-10686</v>
      </c>
      <c r="AV100" s="59">
        <f>'Balance Sheet'!AV6-'Balance Sheet'!AV28-'Balance Sheet'!AV34-'Balance Sheet'!AV36</f>
        <v>26151</v>
      </c>
      <c r="AW100" s="65"/>
      <c r="AX100" s="59">
        <f>'Balance Sheet'!AX6-'Balance Sheet'!AX28-'Balance Sheet'!AX34-'Balance Sheet'!AX36</f>
        <v>63731</v>
      </c>
      <c r="AY100" s="59">
        <f>'Balance Sheet'!AY6-'Balance Sheet'!AY28-'Balance Sheet'!AY34-'Balance Sheet'!AY36</f>
        <v>55072</v>
      </c>
      <c r="AZ100" s="59">
        <f>'Balance Sheet'!AZ6-'Balance Sheet'!AZ28-'Balance Sheet'!AZ34-'Balance Sheet'!AZ36</f>
        <v>124603</v>
      </c>
      <c r="BA100" s="59">
        <f>'Balance Sheet'!BA6-'Balance Sheet'!BA28-'Balance Sheet'!BA34-'Balance Sheet'!BA36</f>
        <v>185926</v>
      </c>
      <c r="BB100" s="13"/>
      <c r="BC100" s="59">
        <f>'Balance Sheet'!BC6-'Balance Sheet'!BC28-'Balance Sheet'!BC34-'Balance Sheet'!BC36</f>
        <v>210616</v>
      </c>
      <c r="BD100" s="12">
        <f>'Balance Sheet'!BD6-'Balance Sheet'!BD28-'Balance Sheet'!BD34-'Balance Sheet'!BD36</f>
        <v>93247</v>
      </c>
      <c r="BE100" s="12">
        <f>'Balance Sheet'!BE6-'Balance Sheet'!BE28-'Balance Sheet'!BE34-'Balance Sheet'!BE36</f>
        <v>219452</v>
      </c>
      <c r="BF100" s="12">
        <f>'Balance Sheet'!BF6-'Balance Sheet'!BF28-'Balance Sheet'!BF34-'Balance Sheet'!BF36</f>
        <v>134279</v>
      </c>
      <c r="BG100" s="13"/>
      <c r="BH100" s="12">
        <f>'Balance Sheet'!BH6-'Balance Sheet'!BH28-'Balance Sheet'!BH34-'Balance Sheet'!BH36</f>
        <v>-45563</v>
      </c>
      <c r="BI100" s="12">
        <f>'Balance Sheet'!BI6-'Balance Sheet'!BI28-'Balance Sheet'!BI34-'Balance Sheet'!BI36</f>
        <v>-3813</v>
      </c>
      <c r="BJ100" s="12">
        <f>'Balance Sheet'!BJ6-'Balance Sheet'!BJ28-'Balance Sheet'!BJ34-'Balance Sheet'!BJ36</f>
        <v>161438</v>
      </c>
      <c r="BK100" s="12">
        <f>'Balance Sheet'!BK6-'Balance Sheet'!BK28-'Balance Sheet'!BK34-'Balance Sheet'!BK36</f>
        <v>232682</v>
      </c>
      <c r="BL100" s="13"/>
      <c r="BM100" s="12">
        <f>'Balance Sheet'!BM6-'Balance Sheet'!BM28-'Balance Sheet'!BM34-'Balance Sheet'!BM36</f>
        <v>301985</v>
      </c>
      <c r="BN100" s="12">
        <f>'Balance Sheet'!BN6-'Balance Sheet'!BN28-'Balance Sheet'!BN34-'Balance Sheet'!BN36</f>
        <v>351336</v>
      </c>
      <c r="BO100" s="12">
        <f>'Balance Sheet'!BO6-'Balance Sheet'!BO28-'Balance Sheet'!BO34-'Balance Sheet'!BO36</f>
        <v>518685</v>
      </c>
      <c r="BP100" s="12">
        <f>'Balance Sheet'!BP6-'Balance Sheet'!BP28-'Balance Sheet'!BP34-'Balance Sheet'!BP36</f>
        <v>603623</v>
      </c>
      <c r="BQ100" s="13"/>
      <c r="BR100" s="12">
        <f>'Balance Sheet'!BR6-'Balance Sheet'!BR28-'Balance Sheet'!BR34-'Balance Sheet'!BR36</f>
        <v>659269</v>
      </c>
      <c r="BS100" s="12">
        <f>'Balance Sheet'!BS6-'Balance Sheet'!BS28-'Balance Sheet'!BS34-'Balance Sheet'!BS36</f>
        <v>-1332692</v>
      </c>
      <c r="BT100" s="12">
        <f>'Balance Sheet'!BT6-'Balance Sheet'!BT28-'Balance Sheet'!BT34-'Balance Sheet'!BT36</f>
        <v>-1193742</v>
      </c>
      <c r="BU100" s="12">
        <f>'Balance Sheet'!BU6-'Balance Sheet'!BU28-'Balance Sheet'!BU34-'Balance Sheet'!BU36</f>
        <v>-1032105</v>
      </c>
      <c r="BV100" s="13"/>
      <c r="BW100" s="12">
        <f>'Balance Sheet'!BW6-'Balance Sheet'!BW28-'Balance Sheet'!BW34-'Balance Sheet'!BW36</f>
        <v>-1078920</v>
      </c>
      <c r="BX100" s="12">
        <f>'Balance Sheet'!BX6-'Balance Sheet'!BX28-'Balance Sheet'!BX34-'Balance Sheet'!BX36</f>
        <v>-1010026</v>
      </c>
      <c r="BY100" s="12">
        <f>'Balance Sheet'!BY6-'Balance Sheet'!BY28-'Balance Sheet'!BY34-'Balance Sheet'!BY36</f>
        <v>-890265</v>
      </c>
      <c r="BZ100" s="12">
        <f>'Balance Sheet'!BZ6-'Balance Sheet'!BZ28-'Balance Sheet'!BZ34-'Balance Sheet'!BZ36</f>
        <v>-813532</v>
      </c>
      <c r="CA100" s="13"/>
      <c r="CB100" s="12">
        <f>'Balance Sheet'!CB6-'Balance Sheet'!CB28-'Balance Sheet'!CB34-'Balance Sheet'!CB36</f>
        <v>-737672</v>
      </c>
      <c r="CC100" s="12">
        <f>'Balance Sheet'!CC6-'Balance Sheet'!CC28-'Balance Sheet'!CC34-'Balance Sheet'!CC36</f>
        <v>-750310</v>
      </c>
      <c r="CD100" s="12">
        <f>'Balance Sheet'!CD6-'Balance Sheet'!CD28-'Balance Sheet'!CD34-'Balance Sheet'!CD36</f>
        <v>-603684</v>
      </c>
      <c r="CE100" s="12">
        <f>'Balance Sheet'!CE6-'Balance Sheet'!CE28-'Balance Sheet'!CE34-'Balance Sheet'!CE36</f>
        <v>-480514</v>
      </c>
      <c r="CF100" s="13"/>
      <c r="CG100" s="12">
        <f>'Balance Sheet'!CG6-'Balance Sheet'!CG28-'Balance Sheet'!CG34-'Balance Sheet'!CG36</f>
        <v>-408401</v>
      </c>
      <c r="CH100" s="12">
        <f>'Balance Sheet'!CH6-'Balance Sheet'!CH28-'Balance Sheet'!CH34-'Balance Sheet'!CH36</f>
        <v>-346347</v>
      </c>
      <c r="CI100" s="12">
        <f>'Balance Sheet'!CI6-'Balance Sheet'!CI28-'Balance Sheet'!CI34-'Balance Sheet'!CI36</f>
        <v>-59206</v>
      </c>
      <c r="CJ100" s="12">
        <f>'Balance Sheet'!CJ6-'Balance Sheet'!CJ28-'Balance Sheet'!CJ34-'Balance Sheet'!CJ36</f>
        <v>146787</v>
      </c>
      <c r="CK100" s="13"/>
      <c r="CL100" s="12">
        <f>'Balance Sheet'!CL6-'Balance Sheet'!CL28-'Balance Sheet'!CL34-'Balance Sheet'!CL36</f>
        <v>705729</v>
      </c>
      <c r="CM100" s="12">
        <f>'Balance Sheet'!CM6-'Balance Sheet'!CM28-'Balance Sheet'!CM34-'Balance Sheet'!CM36</f>
        <v>787447</v>
      </c>
      <c r="CN100" s="12">
        <f>'Balance Sheet'!CN6-'Balance Sheet'!CN28-'Balance Sheet'!CN34-'Balance Sheet'!CN36</f>
        <v>834101</v>
      </c>
      <c r="CO100" s="12">
        <f>'Balance Sheet'!CO6-'Balance Sheet'!CO28-'Balance Sheet'!CO34-'Balance Sheet'!CO36</f>
        <v>1015400</v>
      </c>
      <c r="CP100" s="13"/>
      <c r="CQ100" s="12"/>
      <c r="CR100" s="12"/>
      <c r="CS100" s="12"/>
      <c r="CT100" s="12"/>
      <c r="CU100" s="13"/>
      <c r="CV100" s="12"/>
      <c r="CW100" s="12"/>
      <c r="CX100" s="12"/>
      <c r="CY100" s="12"/>
      <c r="CZ100" s="205"/>
      <c r="DA100" s="205"/>
      <c r="DB100" s="205"/>
      <c r="DC100" s="205"/>
      <c r="DD100" s="205"/>
    </row>
    <row r="101" spans="1:117" ht="13.5" thickBot="1">
      <c r="A101" s="42"/>
      <c r="B101" s="855" t="s">
        <v>46</v>
      </c>
      <c r="C101" s="852"/>
      <c r="D101" s="55">
        <f>D100/D96</f>
        <v>1.3468272393112788</v>
      </c>
      <c r="E101" s="53">
        <f t="shared" ref="E101:Y101" si="259">E100/E96</f>
        <v>1.0195056543628407</v>
      </c>
      <c r="F101" s="54">
        <f t="shared" si="259"/>
        <v>0.96243029798400326</v>
      </c>
      <c r="G101" s="54">
        <f t="shared" si="259"/>
        <v>0.73367650366076109</v>
      </c>
      <c r="H101" s="87">
        <f t="shared" si="259"/>
        <v>0.20087002372791984</v>
      </c>
      <c r="I101" s="55">
        <f t="shared" si="259"/>
        <v>0.1944416088199265</v>
      </c>
      <c r="J101" s="53">
        <f t="shared" si="259"/>
        <v>0.20118649141426512</v>
      </c>
      <c r="K101" s="54">
        <f t="shared" si="259"/>
        <v>0.25730468643629334</v>
      </c>
      <c r="L101" s="54">
        <f t="shared" si="259"/>
        <v>0.216378436155343</v>
      </c>
      <c r="M101" s="87">
        <f t="shared" si="259"/>
        <v>0.42993665356050675</v>
      </c>
      <c r="N101" s="55">
        <f t="shared" si="259"/>
        <v>0.42993665356050675</v>
      </c>
      <c r="O101" s="53">
        <f t="shared" si="259"/>
        <v>0.24692402127949803</v>
      </c>
      <c r="P101" s="54">
        <f t="shared" si="259"/>
        <v>0.17172610004695743</v>
      </c>
      <c r="Q101" s="54">
        <f t="shared" si="259"/>
        <v>0.18212369387178762</v>
      </c>
      <c r="R101" s="87">
        <f t="shared" si="259"/>
        <v>6.310665289865762E-2</v>
      </c>
      <c r="S101" s="55">
        <f t="shared" si="259"/>
        <v>6.0206034676874576E-2</v>
      </c>
      <c r="T101" s="53">
        <f t="shared" si="259"/>
        <v>6.6666666666666666E-2</v>
      </c>
      <c r="U101" s="54">
        <f t="shared" si="259"/>
        <v>4.2454502481682817E-2</v>
      </c>
      <c r="V101" s="54">
        <f t="shared" si="259"/>
        <v>0.16019417475728157</v>
      </c>
      <c r="W101" s="87">
        <f t="shared" si="259"/>
        <v>4.2177890168898877E-2</v>
      </c>
      <c r="X101" s="55">
        <f t="shared" si="259"/>
        <v>4.0749230862037765E-2</v>
      </c>
      <c r="Y101" s="53">
        <f t="shared" si="259"/>
        <v>0.3053181678450661</v>
      </c>
      <c r="Z101" s="54">
        <f>Z100/Z96</f>
        <v>1.1047026152766334E-2</v>
      </c>
      <c r="AA101" s="54">
        <f>AA100/AA96</f>
        <v>3.1225368338082824E-3</v>
      </c>
      <c r="AB101" s="87">
        <f>AB100/AB96</f>
        <v>0.19167589240298016</v>
      </c>
      <c r="AC101" s="55"/>
      <c r="AD101" s="53">
        <f>AD100/AD96</f>
        <v>0.13240838930128432</v>
      </c>
      <c r="AE101" s="54">
        <f>AE100/AE96</f>
        <v>8.9472149314669E-2</v>
      </c>
      <c r="AF101" s="54">
        <f>AF100/AF96</f>
        <v>1.4992808652629157</v>
      </c>
      <c r="AG101" s="54">
        <f>AG100/AG96</f>
        <v>2.2314133755799479</v>
      </c>
      <c r="AH101" s="55"/>
      <c r="AI101" s="53">
        <f>AI100/AI96</f>
        <v>2.7364788732394367</v>
      </c>
      <c r="AJ101" s="54">
        <f>AJ100/AJ96</f>
        <v>2.5281419754842012</v>
      </c>
      <c r="AK101" s="54">
        <f>AK100/AK96</f>
        <v>4.4618240562294522</v>
      </c>
      <c r="AL101" s="54">
        <f>AL100/AL96</f>
        <v>5.7813017021395927</v>
      </c>
      <c r="AM101" s="53"/>
      <c r="AN101" s="53">
        <f>AN100/AN96</f>
        <v>5.424738821562892</v>
      </c>
      <c r="AO101" s="467">
        <f>AO100/AO96</f>
        <v>5.6542926004931156</v>
      </c>
      <c r="AP101" s="467">
        <f>AP100/AP96</f>
        <v>6.5645272222069382</v>
      </c>
      <c r="AQ101" s="467">
        <f>AQ100/AQ96</f>
        <v>-0.86924255229241498</v>
      </c>
      <c r="AR101" s="55"/>
      <c r="AS101" s="53">
        <f>AS100/AS96</f>
        <v>-2.6786875175961709</v>
      </c>
      <c r="AT101" s="467">
        <f>AT100/AT96</f>
        <v>-2.4181165780370697</v>
      </c>
      <c r="AU101" s="467">
        <f>AU100/AU96</f>
        <v>-0.27356510163330089</v>
      </c>
      <c r="AV101" s="467">
        <f>AV100/AV96</f>
        <v>0.67096856959589479</v>
      </c>
      <c r="AW101" s="55"/>
      <c r="AX101" s="467">
        <f>AX100/AX96</f>
        <v>1.6369824309051679</v>
      </c>
      <c r="AY101" s="467">
        <f>AY100/AY96</f>
        <v>1.4048621208642638</v>
      </c>
      <c r="AZ101" s="467">
        <f>AZ100/AZ96</f>
        <v>3.1671750292308474</v>
      </c>
      <c r="BA101" s="467">
        <f>BA100/BA96</f>
        <v>4.7071065090255448</v>
      </c>
      <c r="BB101" s="55"/>
      <c r="BC101" s="467">
        <f>BC100/BC96</f>
        <v>5.287077015764635</v>
      </c>
      <c r="BD101" s="54">
        <f>BD100/BD96</f>
        <v>2.3181931185361973</v>
      </c>
      <c r="BE101" s="54">
        <f>BE100/BE96</f>
        <v>5.414824318989341</v>
      </c>
      <c r="BF101" s="54">
        <f>BF100/BF96</f>
        <v>3.3661477526259054</v>
      </c>
      <c r="BG101" s="55"/>
      <c r="BH101" s="54">
        <f>BH100/BH96</f>
        <v>-1.1510167992926614</v>
      </c>
      <c r="BI101" s="54">
        <f>BI100/BI96</f>
        <v>-9.5772737548037071E-2</v>
      </c>
      <c r="BJ101" s="54">
        <f>BJ100/BJ96</f>
        <v>4.007894736842105</v>
      </c>
      <c r="BK101" s="54">
        <f>BK100/BK96</f>
        <v>5.7198131760078663</v>
      </c>
      <c r="BL101" s="55"/>
      <c r="BM101" s="54">
        <f>BM100/BM96</f>
        <v>7.339709313630177</v>
      </c>
      <c r="BN101" s="54">
        <f>BN100/BN96</f>
        <v>8.4830983194900522</v>
      </c>
      <c r="BO101" s="54">
        <f>BO100/BO96</f>
        <v>12.466591357015815</v>
      </c>
      <c r="BP101" s="54">
        <f>BP100/BP96</f>
        <v>14.274771792082486</v>
      </c>
      <c r="BQ101" s="55"/>
      <c r="BR101" s="54">
        <f>BR100/BR96</f>
        <v>15.675979646186038</v>
      </c>
      <c r="BS101" s="54">
        <f>BS100/BS96</f>
        <v>-31.659904024326508</v>
      </c>
      <c r="BT101" s="54">
        <f>BT100/BT96</f>
        <v>-28.230194390578443</v>
      </c>
      <c r="BU101" s="54">
        <f>BU100/BU96</f>
        <v>-24.264270265187136</v>
      </c>
      <c r="BV101" s="55"/>
      <c r="BW101" s="54">
        <f>BW100/BW96</f>
        <v>-25.42044624555286</v>
      </c>
      <c r="BX101" s="54">
        <f>BX100/BX96</f>
        <v>-23.865834928286194</v>
      </c>
      <c r="BY101" s="54">
        <f>BY100/BY96</f>
        <v>-20.993350154455634</v>
      </c>
      <c r="BZ101" s="54">
        <f>BZ100/BZ96</f>
        <v>-19.178481340908554</v>
      </c>
      <c r="CA101" s="55"/>
      <c r="CB101" s="54">
        <f>CB100/CB96</f>
        <v>-17.354538182844774</v>
      </c>
      <c r="CC101" s="54">
        <f>CC100/CC96</f>
        <v>-17.550700568407755</v>
      </c>
      <c r="CD101" s="54">
        <f>CD100/CD96</f>
        <v>-14.09126771083775</v>
      </c>
      <c r="CE101" s="54">
        <f>CE100/CE96</f>
        <v>-11.164099347134128</v>
      </c>
      <c r="CF101" s="55"/>
      <c r="CG101" s="54">
        <f>CG100/CG96</f>
        <v>-9.4756612529002329</v>
      </c>
      <c r="CH101" s="54">
        <f>CH100/CH96</f>
        <v>-8.003396880415945</v>
      </c>
      <c r="CI101" s="54">
        <f>CI100/CI96</f>
        <v>-1.3550144184556232</v>
      </c>
      <c r="CJ101" s="54">
        <f>CJ100/CJ96</f>
        <v>3.342753689196575</v>
      </c>
      <c r="CK101" s="55"/>
      <c r="CL101" s="54">
        <f>CL100/CL96</f>
        <v>16.060100584848552</v>
      </c>
      <c r="CM101" s="54">
        <f>CM100/CM96</f>
        <v>17.925447881809284</v>
      </c>
      <c r="CN101" s="54">
        <f>CN100/CN96</f>
        <v>19.028630743258656</v>
      </c>
      <c r="CO101" s="54">
        <f>CO100/CO96</f>
        <v>23.319477298302829</v>
      </c>
      <c r="CP101" s="55"/>
      <c r="CQ101" s="54"/>
      <c r="CR101" s="54"/>
      <c r="CS101" s="54"/>
      <c r="CT101" s="54"/>
      <c r="CU101" s="55"/>
      <c r="CV101" s="43"/>
      <c r="CW101" s="43"/>
      <c r="CX101" s="43"/>
      <c r="CY101" s="43"/>
      <c r="CZ101" s="205"/>
      <c r="DC101" s="205"/>
      <c r="DD101" s="205"/>
    </row>
    <row r="102" spans="1:117">
      <c r="B102" s="207" t="s">
        <v>900</v>
      </c>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c r="AA102" s="43"/>
      <c r="AB102" s="43"/>
      <c r="AC102" s="43"/>
      <c r="AD102" s="43"/>
      <c r="AE102" s="43"/>
      <c r="AF102" s="43"/>
      <c r="AG102" s="43"/>
      <c r="AH102" s="208"/>
      <c r="AK102" s="43"/>
      <c r="AL102" s="43"/>
      <c r="AN102" s="43"/>
      <c r="AO102" s="43"/>
      <c r="AP102" s="43"/>
      <c r="AQ102" s="43"/>
      <c r="AR102" s="208"/>
      <c r="AS102" s="43"/>
      <c r="AT102" s="43"/>
      <c r="AU102" s="43"/>
      <c r="AV102" s="43"/>
      <c r="AW102" s="208"/>
      <c r="AX102" s="208"/>
      <c r="AY102" s="208"/>
      <c r="AZ102" s="208"/>
      <c r="BA102" s="208"/>
      <c r="BC102" s="208"/>
      <c r="BD102" s="208"/>
      <c r="BE102" s="208"/>
      <c r="BF102" s="208"/>
      <c r="BG102" s="208"/>
      <c r="BH102" s="208"/>
      <c r="BI102" s="208"/>
      <c r="BJ102" s="208"/>
      <c r="BK102" s="208"/>
      <c r="BL102" s="208"/>
      <c r="BM102" s="208"/>
      <c r="BN102" s="208"/>
      <c r="BO102" s="208"/>
      <c r="BP102" s="208"/>
      <c r="BQ102" s="208"/>
      <c r="BR102" s="208"/>
      <c r="BS102" s="208"/>
      <c r="BT102" s="208"/>
      <c r="BU102" s="208"/>
      <c r="BV102" s="208"/>
      <c r="BW102" s="208"/>
      <c r="BX102" s="208"/>
      <c r="BY102" s="208"/>
      <c r="BZ102" s="208"/>
      <c r="CB102" s="208"/>
      <c r="CC102" s="208"/>
      <c r="CD102" s="208"/>
      <c r="CE102" s="208"/>
      <c r="CG102" s="208"/>
      <c r="CH102" s="208"/>
      <c r="CI102" s="208"/>
      <c r="CJ102" s="208"/>
      <c r="CL102" s="208"/>
      <c r="CM102" s="208"/>
      <c r="CN102" s="208"/>
      <c r="CO102" s="208"/>
      <c r="CP102" s="208"/>
      <c r="CQ102" s="208"/>
      <c r="CR102" s="208"/>
      <c r="CS102" s="208"/>
      <c r="CT102" s="208"/>
      <c r="CU102" s="208" t="s">
        <v>501</v>
      </c>
      <c r="CV102" s="208"/>
      <c r="CW102" s="208"/>
      <c r="CX102" s="208"/>
      <c r="CY102" s="208"/>
      <c r="CZ102" s="205"/>
      <c r="DC102" s="205"/>
      <c r="DD102" s="205"/>
    </row>
    <row r="103" spans="1:117">
      <c r="B103" s="207" t="s">
        <v>901</v>
      </c>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c r="AA103" s="43"/>
      <c r="AB103" s="43"/>
      <c r="AC103" s="43"/>
      <c r="AD103" s="43"/>
      <c r="AE103" s="43"/>
      <c r="AF103" s="43"/>
      <c r="AG103" s="43"/>
      <c r="AH103" s="209"/>
      <c r="AK103" s="43"/>
      <c r="AL103" s="43"/>
      <c r="AN103" s="43"/>
      <c r="AO103" s="43"/>
      <c r="AP103" s="43"/>
      <c r="AQ103" s="43"/>
      <c r="AR103" s="209"/>
      <c r="AS103" s="43"/>
      <c r="AT103" s="43"/>
      <c r="AU103" s="43"/>
      <c r="AV103" s="43"/>
      <c r="AW103" s="209"/>
      <c r="AX103" s="209"/>
      <c r="AY103" s="209"/>
      <c r="AZ103" s="209"/>
      <c r="BA103" s="209"/>
      <c r="BC103" s="209"/>
      <c r="BD103" s="209"/>
      <c r="BE103" s="209"/>
      <c r="BF103" s="209"/>
      <c r="BG103" s="209"/>
      <c r="BH103" s="209"/>
      <c r="BI103" s="209"/>
      <c r="BJ103" s="209"/>
      <c r="BK103" s="209"/>
      <c r="BL103" s="209"/>
      <c r="BM103" s="209"/>
      <c r="BN103" s="209"/>
      <c r="BO103" s="209"/>
      <c r="BP103" s="209"/>
      <c r="BQ103" s="209"/>
      <c r="BR103" s="209"/>
      <c r="BS103" s="209"/>
      <c r="BT103" s="209"/>
      <c r="BU103" s="209"/>
      <c r="BV103" s="209"/>
      <c r="BW103" s="209"/>
      <c r="BX103" s="209"/>
      <c r="BY103" s="209"/>
      <c r="BZ103" s="209"/>
      <c r="CB103" s="209"/>
      <c r="CC103" s="209"/>
      <c r="CD103" s="209"/>
      <c r="CE103" s="209"/>
      <c r="CG103" s="209"/>
      <c r="CH103" s="209"/>
      <c r="CI103" s="209"/>
      <c r="CJ103" s="209"/>
      <c r="CL103" s="209"/>
      <c r="CM103" s="209"/>
      <c r="CN103" s="209"/>
      <c r="CO103" s="209"/>
      <c r="CP103" s="209"/>
      <c r="CQ103" s="209"/>
      <c r="CR103" s="209"/>
      <c r="CS103" s="209"/>
      <c r="CT103" s="209"/>
      <c r="CU103" s="209" t="s">
        <v>385</v>
      </c>
      <c r="CV103" s="209"/>
      <c r="CW103" s="209"/>
      <c r="CX103" s="209"/>
      <c r="CY103" s="209"/>
    </row>
    <row r="104" spans="1:117">
      <c r="B104" s="207"/>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c r="AA104" s="43"/>
      <c r="AB104" s="43"/>
      <c r="AC104" s="43"/>
      <c r="AD104" s="43"/>
      <c r="AE104" s="43"/>
      <c r="AF104" s="43"/>
      <c r="AG104" s="43"/>
      <c r="AH104" s="209"/>
      <c r="AI104" s="43"/>
      <c r="AJ104" s="43"/>
      <c r="AK104" s="43"/>
      <c r="AL104" s="43"/>
      <c r="AM104" s="209"/>
      <c r="AN104" s="43"/>
      <c r="AO104" s="43"/>
      <c r="AP104" s="43"/>
      <c r="AQ104" s="43"/>
      <c r="AR104" s="209"/>
      <c r="AS104" s="43"/>
      <c r="AT104" s="43"/>
      <c r="AU104" s="43"/>
      <c r="AV104" s="43"/>
      <c r="AW104" s="209"/>
      <c r="AX104" s="209"/>
      <c r="AY104" s="209"/>
      <c r="AZ104" s="209"/>
      <c r="BA104" s="209"/>
      <c r="BB104" s="209"/>
      <c r="BC104" s="209"/>
      <c r="BD104" s="209"/>
      <c r="BE104" s="209"/>
      <c r="BF104" s="209"/>
      <c r="BG104" s="209"/>
      <c r="BH104" s="209"/>
      <c r="BI104" s="209"/>
      <c r="BJ104" s="209"/>
      <c r="BK104" s="209"/>
      <c r="BL104" s="209"/>
      <c r="BM104" s="209"/>
      <c r="BN104" s="209"/>
      <c r="BO104" s="209"/>
      <c r="BP104" s="209"/>
      <c r="BQ104" s="209"/>
      <c r="BR104" s="209"/>
      <c r="BS104" s="209"/>
      <c r="BT104" s="209"/>
      <c r="BU104" s="209"/>
      <c r="BV104" s="209"/>
      <c r="BW104" s="209"/>
      <c r="BX104" s="209"/>
      <c r="BY104" s="209"/>
      <c r="BZ104" s="209"/>
      <c r="CA104" s="209"/>
      <c r="CB104" s="209"/>
      <c r="CC104" s="209"/>
      <c r="CD104" s="209"/>
      <c r="CE104" s="209"/>
      <c r="CF104" s="209"/>
      <c r="CG104" s="209"/>
      <c r="CH104" s="209"/>
      <c r="CI104" s="209"/>
      <c r="CJ104" s="209"/>
      <c r="CK104" s="209"/>
      <c r="CL104" s="209">
        <f t="shared" ref="CL104:CM104" si="260">CL8+CL14</f>
        <v>487790</v>
      </c>
      <c r="CM104" s="209">
        <f t="shared" si="260"/>
        <v>517198</v>
      </c>
      <c r="CN104" s="209">
        <f>CN8+CN14</f>
        <v>512406</v>
      </c>
      <c r="CO104" s="209">
        <f>CO8+CO14</f>
        <v>514358.03399999999</v>
      </c>
      <c r="CP104" s="209">
        <f>SUM(CL104:CO104)</f>
        <v>2031752.034</v>
      </c>
      <c r="CQ104" s="209">
        <f t="shared" ref="CQ104:CR104" si="261">CQ8+CQ14</f>
        <v>531526.87</v>
      </c>
      <c r="CR104" s="209">
        <f t="shared" si="261"/>
        <v>565453.82999999996</v>
      </c>
      <c r="CS104" s="209">
        <f>CS8+CS14</f>
        <v>560704.14</v>
      </c>
      <c r="CT104" s="209">
        <f>CT8+CT14</f>
        <v>562889.00924000004</v>
      </c>
      <c r="CU104" s="209">
        <f>SUM(CQ104:CT104)</f>
        <v>2220573.8492399999</v>
      </c>
      <c r="CV104" s="209"/>
      <c r="CW104" s="209"/>
      <c r="CX104" s="209"/>
      <c r="CY104" s="209"/>
    </row>
    <row r="105" spans="1:117" ht="12.75" hidden="1" customHeight="1" outlineLevel="1" thickBot="1">
      <c r="AB105" s="67">
        <v>27</v>
      </c>
      <c r="AD105" s="67">
        <v>25</v>
      </c>
      <c r="AE105" s="67">
        <v>28</v>
      </c>
      <c r="AF105" s="67">
        <v>34</v>
      </c>
      <c r="AG105" s="67">
        <v>34</v>
      </c>
      <c r="AH105" s="67">
        <v>121</v>
      </c>
      <c r="AI105" s="67">
        <v>25</v>
      </c>
      <c r="AJ105" s="67">
        <v>28</v>
      </c>
      <c r="AK105" s="67">
        <v>34</v>
      </c>
      <c r="AL105" s="67">
        <v>34</v>
      </c>
      <c r="AM105" s="67">
        <v>121</v>
      </c>
      <c r="AN105" s="67">
        <v>107.8</v>
      </c>
      <c r="AO105" s="67">
        <v>127.6</v>
      </c>
      <c r="AP105" s="67">
        <v>147.4</v>
      </c>
      <c r="AQ105" s="67">
        <v>167.2</v>
      </c>
      <c r="AR105" s="67">
        <v>187</v>
      </c>
      <c r="AS105" s="67">
        <v>107.8</v>
      </c>
      <c r="AT105" s="67">
        <v>127.6</v>
      </c>
      <c r="AU105" s="67">
        <v>147.4</v>
      </c>
      <c r="AV105" s="67">
        <v>167.2</v>
      </c>
      <c r="AW105" s="67">
        <v>187</v>
      </c>
      <c r="CG105" s="67">
        <f>119/513</f>
        <v>0.23196881091617932</v>
      </c>
      <c r="CK105" s="67">
        <f>510/2130</f>
        <v>0.23943661971830985</v>
      </c>
      <c r="CL105" s="67">
        <f>119/513</f>
        <v>0.23196881091617932</v>
      </c>
      <c r="DA105" s="7"/>
    </row>
    <row r="106" spans="1:117" s="7" customFormat="1" ht="13.5" hidden="1" customHeight="1" outlineLevel="1" thickBot="1">
      <c r="B106" s="2"/>
      <c r="C106" s="221" t="s">
        <v>386</v>
      </c>
      <c r="D106" s="3">
        <v>2007</v>
      </c>
      <c r="E106" s="4" t="s">
        <v>1</v>
      </c>
      <c r="F106" s="4" t="s">
        <v>2</v>
      </c>
      <c r="G106" s="4" t="s">
        <v>3</v>
      </c>
      <c r="H106" s="4" t="s">
        <v>4</v>
      </c>
      <c r="I106" s="446"/>
      <c r="J106" s="4" t="s">
        <v>5</v>
      </c>
      <c r="K106" s="4" t="s">
        <v>6</v>
      </c>
      <c r="L106" s="4" t="s">
        <v>7</v>
      </c>
      <c r="M106" s="4" t="s">
        <v>8</v>
      </c>
      <c r="N106" s="446"/>
      <c r="O106" s="5" t="s">
        <v>9</v>
      </c>
      <c r="P106" s="5" t="s">
        <v>10</v>
      </c>
      <c r="Q106" s="5" t="s">
        <v>11</v>
      </c>
      <c r="R106" s="5" t="s">
        <v>12</v>
      </c>
      <c r="S106" s="6">
        <v>2010</v>
      </c>
      <c r="T106" s="57" t="s">
        <v>13</v>
      </c>
      <c r="U106" s="5" t="s">
        <v>14</v>
      </c>
      <c r="V106" s="5" t="s">
        <v>15</v>
      </c>
      <c r="W106" s="5" t="s">
        <v>16</v>
      </c>
      <c r="X106" s="6">
        <v>2011</v>
      </c>
      <c r="Y106" s="5" t="s">
        <v>17</v>
      </c>
      <c r="Z106" s="5" t="s">
        <v>125</v>
      </c>
      <c r="AA106" s="5" t="s">
        <v>405</v>
      </c>
      <c r="AB106" s="5" t="s">
        <v>413</v>
      </c>
      <c r="AC106" s="6">
        <v>2012</v>
      </c>
      <c r="AD106" s="5" t="s">
        <v>428</v>
      </c>
      <c r="AE106" s="5" t="s">
        <v>431</v>
      </c>
      <c r="AF106" s="5" t="s">
        <v>432</v>
      </c>
      <c r="AG106" s="5" t="s">
        <v>433</v>
      </c>
      <c r="AH106" s="6">
        <v>2013</v>
      </c>
      <c r="AI106" s="5" t="s">
        <v>449</v>
      </c>
      <c r="AJ106" s="5" t="s">
        <v>454</v>
      </c>
      <c r="AK106" s="5" t="s">
        <v>455</v>
      </c>
      <c r="AL106" s="5" t="s">
        <v>456</v>
      </c>
      <c r="AM106" s="6">
        <v>2014</v>
      </c>
      <c r="AN106" s="5" t="s">
        <v>471</v>
      </c>
      <c r="AO106" s="5" t="s">
        <v>441</v>
      </c>
      <c r="AP106" s="5" t="s">
        <v>442</v>
      </c>
      <c r="AQ106" s="5" t="s">
        <v>443</v>
      </c>
      <c r="AR106" s="6" t="s">
        <v>444</v>
      </c>
      <c r="AS106" s="5" t="s">
        <v>440</v>
      </c>
      <c r="AT106" s="5" t="s">
        <v>441</v>
      </c>
      <c r="AU106" s="5" t="s">
        <v>442</v>
      </c>
      <c r="AV106" s="5" t="s">
        <v>443</v>
      </c>
      <c r="AW106" s="6" t="s">
        <v>444</v>
      </c>
      <c r="AX106" s="415"/>
      <c r="AY106" s="415"/>
      <c r="AZ106" s="415"/>
      <c r="BA106" s="415"/>
      <c r="BB106" s="415"/>
      <c r="BC106" s="415"/>
      <c r="BD106" s="415"/>
      <c r="BE106" s="415"/>
      <c r="BF106" s="415"/>
      <c r="BG106" s="415"/>
      <c r="BH106" s="415"/>
      <c r="BI106" s="415"/>
      <c r="BJ106" s="415"/>
      <c r="BK106" s="415"/>
      <c r="BL106" s="415"/>
      <c r="BM106" s="415"/>
      <c r="BN106" s="415"/>
      <c r="BO106" s="415"/>
      <c r="BP106" s="415"/>
      <c r="BQ106" s="415"/>
      <c r="BR106" s="415"/>
      <c r="BS106" s="415"/>
      <c r="BT106" s="415"/>
      <c r="BU106" s="415"/>
      <c r="BV106" s="415"/>
      <c r="BW106" s="415"/>
      <c r="BX106" s="415"/>
      <c r="BY106" s="415"/>
      <c r="BZ106" s="415"/>
      <c r="CA106" s="415"/>
      <c r="CB106" s="415"/>
      <c r="CC106" s="415"/>
      <c r="CD106" s="415"/>
      <c r="CE106" s="415"/>
      <c r="CF106" s="415"/>
      <c r="CG106" s="415"/>
      <c r="CH106" s="415"/>
      <c r="CI106" s="415"/>
      <c r="CJ106" s="415"/>
      <c r="CK106" s="415"/>
      <c r="CL106" s="415"/>
      <c r="CM106" s="415"/>
      <c r="CN106" s="415"/>
      <c r="CO106" s="415"/>
      <c r="CP106" s="415"/>
      <c r="CQ106" s="415"/>
      <c r="CR106" s="415"/>
      <c r="CS106" s="415"/>
      <c r="CT106" s="415"/>
      <c r="CU106" s="415"/>
      <c r="CV106" s="415"/>
      <c r="CW106" s="415"/>
      <c r="CX106" s="415"/>
      <c r="CY106" s="415"/>
      <c r="DC106" s="67"/>
      <c r="DD106" s="67"/>
      <c r="DE106" s="67"/>
      <c r="DF106" s="67"/>
      <c r="DG106" s="67"/>
      <c r="DH106" s="67"/>
      <c r="DI106" s="67"/>
      <c r="DJ106" s="67"/>
      <c r="DK106" s="67"/>
      <c r="DL106" s="67"/>
      <c r="DM106" s="67"/>
    </row>
    <row r="107" spans="1:117" s="7" customFormat="1" ht="12.75" hidden="1" customHeight="1" outlineLevel="1">
      <c r="B107" s="8"/>
      <c r="C107" s="222" t="s">
        <v>32</v>
      </c>
      <c r="D107" s="211">
        <f t="shared" ref="D107:S107" si="262">D81</f>
        <v>0</v>
      </c>
      <c r="E107" s="212">
        <f t="shared" si="262"/>
        <v>0</v>
      </c>
      <c r="F107" s="212">
        <f t="shared" si="262"/>
        <v>0</v>
      </c>
      <c r="G107" s="212">
        <f t="shared" si="262"/>
        <v>0</v>
      </c>
      <c r="H107" s="212">
        <f t="shared" si="262"/>
        <v>0</v>
      </c>
      <c r="I107" s="212"/>
      <c r="J107" s="212">
        <f t="shared" si="262"/>
        <v>0</v>
      </c>
      <c r="K107" s="212">
        <f t="shared" si="262"/>
        <v>0</v>
      </c>
      <c r="L107" s="212">
        <f t="shared" si="262"/>
        <v>0</v>
      </c>
      <c r="M107" s="212">
        <f t="shared" si="262"/>
        <v>0</v>
      </c>
      <c r="N107" s="212"/>
      <c r="O107" s="212">
        <f t="shared" si="262"/>
        <v>0</v>
      </c>
      <c r="P107" s="212">
        <f t="shared" si="262"/>
        <v>0</v>
      </c>
      <c r="Q107" s="212">
        <f t="shared" si="262"/>
        <v>0</v>
      </c>
      <c r="R107" s="212">
        <f t="shared" si="262"/>
        <v>0</v>
      </c>
      <c r="S107" s="211">
        <f t="shared" si="262"/>
        <v>0</v>
      </c>
      <c r="T107" s="212">
        <f t="shared" ref="T107:AW107" si="263">T54</f>
        <v>12531</v>
      </c>
      <c r="U107" s="212">
        <f t="shared" si="263"/>
        <v>12399</v>
      </c>
      <c r="V107" s="212">
        <f t="shared" si="263"/>
        <v>15040</v>
      </c>
      <c r="W107" s="212">
        <f t="shared" si="263"/>
        <v>17256</v>
      </c>
      <c r="X107" s="211">
        <f t="shared" si="263"/>
        <v>57226</v>
      </c>
      <c r="Y107" s="212">
        <f t="shared" si="263"/>
        <v>13235</v>
      </c>
      <c r="Z107" s="212">
        <f t="shared" si="263"/>
        <v>15842</v>
      </c>
      <c r="AA107" s="212">
        <f t="shared" si="263"/>
        <v>22143</v>
      </c>
      <c r="AB107" s="212">
        <f t="shared" si="263"/>
        <v>18935</v>
      </c>
      <c r="AC107" s="233">
        <f t="shared" si="263"/>
        <v>70155</v>
      </c>
      <c r="AD107" s="212">
        <f t="shared" si="263"/>
        <v>18725</v>
      </c>
      <c r="AE107" s="212">
        <f t="shared" si="263"/>
        <v>19903</v>
      </c>
      <c r="AF107" s="212">
        <f t="shared" si="263"/>
        <v>23070</v>
      </c>
      <c r="AG107" s="212">
        <f t="shared" si="263"/>
        <v>24660</v>
      </c>
      <c r="AH107" s="211">
        <f t="shared" si="263"/>
        <v>86358</v>
      </c>
      <c r="AI107" s="212">
        <f t="shared" si="263"/>
        <v>24958</v>
      </c>
      <c r="AJ107" s="212">
        <f t="shared" si="263"/>
        <v>28733</v>
      </c>
      <c r="AK107" s="212">
        <f t="shared" si="263"/>
        <v>32358</v>
      </c>
      <c r="AL107" s="212">
        <f t="shared" si="263"/>
        <v>30509</v>
      </c>
      <c r="AM107" s="211">
        <f t="shared" si="263"/>
        <v>116558</v>
      </c>
      <c r="AN107" s="212">
        <f t="shared" si="263"/>
        <v>33120</v>
      </c>
      <c r="AO107" s="212">
        <f t="shared" si="263"/>
        <v>36003</v>
      </c>
      <c r="AP107" s="212">
        <f t="shared" si="263"/>
        <v>39323</v>
      </c>
      <c r="AQ107" s="212">
        <f t="shared" si="263"/>
        <v>40728</v>
      </c>
      <c r="AR107" s="211">
        <f t="shared" si="263"/>
        <v>149174</v>
      </c>
      <c r="AS107" s="212">
        <f t="shared" si="263"/>
        <v>49055</v>
      </c>
      <c r="AT107" s="212">
        <f t="shared" si="263"/>
        <v>52211</v>
      </c>
      <c r="AU107" s="212">
        <f t="shared" si="263"/>
        <v>57415</v>
      </c>
      <c r="AV107" s="212">
        <f t="shared" si="263"/>
        <v>54845</v>
      </c>
      <c r="AW107" s="211">
        <f t="shared" si="263"/>
        <v>213526</v>
      </c>
      <c r="AX107" s="212"/>
      <c r="AY107" s="212"/>
      <c r="AZ107" s="212"/>
      <c r="BA107" s="212"/>
      <c r="BB107" s="212"/>
      <c r="BC107" s="212"/>
      <c r="BD107" s="212"/>
      <c r="BE107" s="212"/>
      <c r="BF107" s="212"/>
      <c r="BG107" s="212"/>
      <c r="BH107" s="212"/>
      <c r="BI107" s="212"/>
      <c r="BJ107" s="212"/>
      <c r="BK107" s="212"/>
      <c r="BL107" s="212"/>
      <c r="BM107" s="212"/>
      <c r="BN107" s="212"/>
      <c r="BO107" s="212"/>
      <c r="BP107" s="212"/>
      <c r="BQ107" s="212"/>
      <c r="BR107" s="212"/>
      <c r="BS107" s="212"/>
      <c r="BT107" s="212"/>
      <c r="BU107" s="212"/>
      <c r="BV107" s="212"/>
      <c r="BW107" s="212"/>
      <c r="BX107" s="212"/>
      <c r="BY107" s="212"/>
      <c r="BZ107" s="212"/>
      <c r="CA107" s="212"/>
      <c r="CB107" s="212"/>
      <c r="CC107" s="212"/>
      <c r="CD107" s="212"/>
      <c r="CE107" s="212"/>
      <c r="CF107" s="212"/>
      <c r="CG107" s="212"/>
      <c r="CH107" s="212"/>
      <c r="CI107" s="212"/>
      <c r="CJ107" s="212"/>
      <c r="CK107" s="212"/>
      <c r="CL107" s="212"/>
      <c r="CM107" s="212"/>
      <c r="CN107" s="212"/>
      <c r="CO107" s="212"/>
      <c r="CP107" s="212"/>
      <c r="CQ107" s="212"/>
      <c r="CR107" s="212"/>
      <c r="CS107" s="212"/>
      <c r="CT107" s="212"/>
      <c r="CU107" s="212"/>
      <c r="CV107" s="212"/>
      <c r="CW107" s="212"/>
      <c r="CX107" s="212"/>
      <c r="CY107" s="212"/>
      <c r="DC107" s="67"/>
      <c r="DD107" s="67"/>
      <c r="DE107" s="67"/>
    </row>
    <row r="108" spans="1:117" s="7" customFormat="1" ht="6.75" hidden="1" customHeight="1" outlineLevel="1">
      <c r="B108" s="8"/>
      <c r="C108" s="222"/>
      <c r="D108" s="213"/>
      <c r="E108" s="214"/>
      <c r="F108" s="214"/>
      <c r="G108" s="214"/>
      <c r="H108" s="214"/>
      <c r="I108" s="214"/>
      <c r="J108" s="214"/>
      <c r="K108" s="214"/>
      <c r="L108" s="214"/>
      <c r="M108" s="214"/>
      <c r="N108" s="214"/>
      <c r="O108" s="214"/>
      <c r="P108" s="214"/>
      <c r="Q108" s="214"/>
      <c r="R108" s="214"/>
      <c r="S108" s="213"/>
      <c r="T108" s="215"/>
      <c r="U108" s="214"/>
      <c r="V108" s="214"/>
      <c r="W108" s="214"/>
      <c r="X108" s="213"/>
      <c r="Y108" s="214"/>
      <c r="Z108" s="214"/>
      <c r="AA108" s="214"/>
      <c r="AB108" s="214"/>
      <c r="AC108" s="213"/>
      <c r="AD108" s="214"/>
      <c r="AE108" s="214"/>
      <c r="AF108" s="214"/>
      <c r="AG108" s="214"/>
      <c r="AH108" s="213"/>
      <c r="AI108" s="214"/>
      <c r="AJ108" s="214"/>
      <c r="AK108" s="214"/>
      <c r="AL108" s="214"/>
      <c r="AM108" s="213"/>
      <c r="AN108" s="214"/>
      <c r="AO108" s="214"/>
      <c r="AP108" s="214"/>
      <c r="AQ108" s="214"/>
      <c r="AR108" s="213"/>
      <c r="AS108" s="214"/>
      <c r="AT108" s="214"/>
      <c r="AU108" s="214"/>
      <c r="AV108" s="214"/>
      <c r="AW108" s="213"/>
      <c r="AX108" s="214"/>
      <c r="AY108" s="214"/>
      <c r="AZ108" s="214"/>
      <c r="BA108" s="214"/>
      <c r="BB108" s="214"/>
      <c r="BC108" s="214"/>
      <c r="BD108" s="214"/>
      <c r="BE108" s="214"/>
      <c r="BF108" s="214"/>
      <c r="BG108" s="214"/>
      <c r="BH108" s="214"/>
      <c r="BI108" s="214"/>
      <c r="BJ108" s="214"/>
      <c r="BK108" s="214"/>
      <c r="BL108" s="214"/>
      <c r="BM108" s="214"/>
      <c r="BN108" s="214"/>
      <c r="BO108" s="214"/>
      <c r="BP108" s="214"/>
      <c r="BQ108" s="214"/>
      <c r="BR108" s="214"/>
      <c r="BS108" s="214"/>
      <c r="BT108" s="214"/>
      <c r="BU108" s="214"/>
      <c r="BV108" s="214"/>
      <c r="BW108" s="214"/>
      <c r="BX108" s="214"/>
      <c r="BY108" s="214"/>
      <c r="BZ108" s="214"/>
      <c r="CA108" s="214"/>
      <c r="CB108" s="214"/>
      <c r="CC108" s="214"/>
      <c r="CD108" s="214"/>
      <c r="CE108" s="214"/>
      <c r="CF108" s="214"/>
      <c r="CG108" s="214"/>
      <c r="CH108" s="214"/>
      <c r="CI108" s="214"/>
      <c r="CJ108" s="214"/>
      <c r="CK108" s="214"/>
      <c r="CL108" s="214"/>
      <c r="CM108" s="214"/>
      <c r="CN108" s="214"/>
      <c r="CO108" s="214"/>
      <c r="CP108" s="214"/>
      <c r="CQ108" s="214"/>
      <c r="CR108" s="214"/>
      <c r="CS108" s="214"/>
      <c r="CT108" s="214"/>
      <c r="CU108" s="214"/>
      <c r="CV108" s="214"/>
      <c r="CW108" s="214"/>
      <c r="CX108" s="214"/>
      <c r="CY108" s="214"/>
    </row>
    <row r="109" spans="1:117" s="7" customFormat="1" ht="12.75" hidden="1" customHeight="1" outlineLevel="1">
      <c r="B109" s="8"/>
      <c r="C109" s="222" t="s">
        <v>387</v>
      </c>
      <c r="D109" s="213"/>
      <c r="E109" s="214"/>
      <c r="F109" s="214"/>
      <c r="G109" s="214"/>
      <c r="H109" s="214"/>
      <c r="I109" s="214"/>
      <c r="J109" s="214"/>
      <c r="K109" s="214"/>
      <c r="L109" s="214"/>
      <c r="M109" s="214"/>
      <c r="N109" s="214"/>
      <c r="O109" s="214"/>
      <c r="P109" s="214"/>
      <c r="Q109" s="214"/>
      <c r="R109" s="214"/>
      <c r="S109" s="213"/>
      <c r="T109" s="215"/>
      <c r="U109" s="214"/>
      <c r="V109" s="214"/>
      <c r="W109" s="214"/>
      <c r="X109" s="213"/>
      <c r="Y109" s="214"/>
      <c r="Z109" s="214"/>
      <c r="AA109" s="214"/>
      <c r="AB109" s="214"/>
      <c r="AC109" s="213"/>
      <c r="AD109" s="214"/>
      <c r="AE109" s="214"/>
      <c r="AF109" s="214"/>
      <c r="AG109" s="214"/>
      <c r="AH109" s="213"/>
      <c r="AI109" s="214"/>
      <c r="AJ109" s="214"/>
      <c r="AK109" s="214"/>
      <c r="AL109" s="214"/>
      <c r="AM109" s="213"/>
      <c r="AN109" s="214"/>
      <c r="AO109" s="214"/>
      <c r="AP109" s="214"/>
      <c r="AQ109" s="214"/>
      <c r="AR109" s="213"/>
      <c r="AS109" s="214"/>
      <c r="AT109" s="214"/>
      <c r="AU109" s="214"/>
      <c r="AV109" s="214"/>
      <c r="AW109" s="213"/>
      <c r="AX109" s="214"/>
      <c r="AY109" s="214"/>
      <c r="AZ109" s="214"/>
      <c r="BA109" s="214"/>
      <c r="BB109" s="214"/>
      <c r="BC109" s="214"/>
      <c r="BD109" s="214"/>
      <c r="BE109" s="214"/>
      <c r="BF109" s="214"/>
      <c r="BG109" s="214"/>
      <c r="BH109" s="214"/>
      <c r="BI109" s="214"/>
      <c r="BJ109" s="214"/>
      <c r="BK109" s="214"/>
      <c r="BL109" s="214"/>
      <c r="BM109" s="214"/>
      <c r="BN109" s="214"/>
      <c r="BO109" s="214"/>
      <c r="BP109" s="214"/>
      <c r="BQ109" s="214"/>
      <c r="BR109" s="214"/>
      <c r="BS109" s="214"/>
      <c r="BT109" s="214"/>
      <c r="BU109" s="214"/>
      <c r="BV109" s="214"/>
      <c r="BW109" s="214"/>
      <c r="BX109" s="214"/>
      <c r="BY109" s="214"/>
      <c r="BZ109" s="214"/>
      <c r="CA109" s="214"/>
      <c r="CB109" s="214"/>
      <c r="CC109" s="214"/>
      <c r="CD109" s="214"/>
      <c r="CE109" s="214"/>
      <c r="CF109" s="214"/>
      <c r="CG109" s="214"/>
      <c r="CH109" s="214"/>
      <c r="CI109" s="214"/>
      <c r="CJ109" s="214"/>
      <c r="CK109" s="214"/>
      <c r="CL109" s="214"/>
      <c r="CM109" s="214"/>
      <c r="CN109" s="214"/>
      <c r="CO109" s="214"/>
      <c r="CP109" s="214"/>
      <c r="CQ109" s="214"/>
      <c r="CR109" s="214"/>
      <c r="CS109" s="214"/>
      <c r="CT109" s="214"/>
      <c r="CU109" s="214"/>
      <c r="CV109" s="214"/>
      <c r="CW109" s="214"/>
      <c r="CX109" s="214"/>
      <c r="CY109" s="214"/>
    </row>
    <row r="110" spans="1:117" s="7" customFormat="1" ht="12.75" hidden="1" customHeight="1" outlineLevel="1">
      <c r="B110" s="8"/>
      <c r="C110" s="222" t="s">
        <v>376</v>
      </c>
      <c r="D110" s="216">
        <f>D50+D30</f>
        <v>3757</v>
      </c>
      <c r="E110" s="215">
        <f>E50+E30</f>
        <v>1003</v>
      </c>
      <c r="F110" s="215">
        <f>F50+F30</f>
        <v>10097</v>
      </c>
      <c r="G110" s="215">
        <f>G50+G30</f>
        <v>1084</v>
      </c>
      <c r="H110" s="215">
        <f>H50+H30</f>
        <v>1098</v>
      </c>
      <c r="I110" s="215"/>
      <c r="J110" s="215">
        <f>J50+J30</f>
        <v>987</v>
      </c>
      <c r="K110" s="215">
        <f>K50+K30</f>
        <v>1035</v>
      </c>
      <c r="L110" s="215">
        <f>L50+L30</f>
        <v>1054</v>
      </c>
      <c r="M110" s="215">
        <f>M50+M30</f>
        <v>1040</v>
      </c>
      <c r="N110" s="215"/>
      <c r="O110" s="215">
        <f t="shared" ref="O110:AW110" si="264">O50+O30</f>
        <v>1204</v>
      </c>
      <c r="P110" s="215">
        <f t="shared" si="264"/>
        <v>1205</v>
      </c>
      <c r="Q110" s="215">
        <f t="shared" si="264"/>
        <v>1204</v>
      </c>
      <c r="R110" s="215">
        <f t="shared" si="264"/>
        <v>1204</v>
      </c>
      <c r="S110" s="216">
        <f t="shared" si="264"/>
        <v>4817</v>
      </c>
      <c r="T110" s="215">
        <f t="shared" si="264"/>
        <v>0</v>
      </c>
      <c r="U110" s="215">
        <f t="shared" si="264"/>
        <v>0</v>
      </c>
      <c r="V110" s="215">
        <f t="shared" si="264"/>
        <v>0</v>
      </c>
      <c r="W110" s="215">
        <f t="shared" si="264"/>
        <v>0</v>
      </c>
      <c r="X110" s="216">
        <f t="shared" si="264"/>
        <v>0</v>
      </c>
      <c r="Y110" s="215">
        <f t="shared" si="264"/>
        <v>0</v>
      </c>
      <c r="Z110" s="215">
        <f t="shared" si="264"/>
        <v>0</v>
      </c>
      <c r="AA110" s="215">
        <f t="shared" si="264"/>
        <v>0</v>
      </c>
      <c r="AB110" s="215">
        <f t="shared" si="264"/>
        <v>0</v>
      </c>
      <c r="AC110" s="216">
        <f t="shared" si="264"/>
        <v>0</v>
      </c>
      <c r="AD110" s="215">
        <f t="shared" si="264"/>
        <v>0</v>
      </c>
      <c r="AE110" s="215">
        <f t="shared" si="264"/>
        <v>0</v>
      </c>
      <c r="AF110" s="215">
        <f t="shared" si="264"/>
        <v>0</v>
      </c>
      <c r="AG110" s="215">
        <f t="shared" si="264"/>
        <v>0</v>
      </c>
      <c r="AH110" s="216">
        <f t="shared" si="264"/>
        <v>0</v>
      </c>
      <c r="AI110" s="215">
        <f t="shared" si="264"/>
        <v>0</v>
      </c>
      <c r="AJ110" s="215">
        <f t="shared" si="264"/>
        <v>0</v>
      </c>
      <c r="AK110" s="215">
        <f t="shared" si="264"/>
        <v>0</v>
      </c>
      <c r="AL110" s="215">
        <f t="shared" si="264"/>
        <v>0</v>
      </c>
      <c r="AM110" s="216">
        <f t="shared" si="264"/>
        <v>0</v>
      </c>
      <c r="AN110" s="215">
        <f t="shared" si="264"/>
        <v>0</v>
      </c>
      <c r="AO110" s="215">
        <f t="shared" si="264"/>
        <v>0</v>
      </c>
      <c r="AP110" s="215">
        <f t="shared" si="264"/>
        <v>0</v>
      </c>
      <c r="AQ110" s="215">
        <f t="shared" si="264"/>
        <v>0</v>
      </c>
      <c r="AR110" s="216">
        <f t="shared" si="264"/>
        <v>0</v>
      </c>
      <c r="AS110" s="215">
        <f t="shared" si="264"/>
        <v>0</v>
      </c>
      <c r="AT110" s="215">
        <f t="shared" si="264"/>
        <v>0</v>
      </c>
      <c r="AU110" s="215">
        <f t="shared" si="264"/>
        <v>0</v>
      </c>
      <c r="AV110" s="215">
        <f t="shared" si="264"/>
        <v>0</v>
      </c>
      <c r="AW110" s="216">
        <f t="shared" si="264"/>
        <v>0</v>
      </c>
      <c r="AX110" s="215"/>
      <c r="AY110" s="215"/>
      <c r="AZ110" s="215"/>
      <c r="BA110" s="215"/>
      <c r="BB110" s="215"/>
      <c r="BC110" s="215"/>
      <c r="BD110" s="215"/>
      <c r="BE110" s="215"/>
      <c r="BF110" s="215"/>
      <c r="BG110" s="215"/>
      <c r="BH110" s="215"/>
      <c r="BI110" s="215"/>
      <c r="BJ110" s="215"/>
      <c r="BK110" s="215"/>
      <c r="BL110" s="215"/>
      <c r="BM110" s="215"/>
      <c r="BN110" s="215"/>
      <c r="BO110" s="215"/>
      <c r="BP110" s="215"/>
      <c r="BQ110" s="215"/>
      <c r="BR110" s="215"/>
      <c r="BS110" s="215"/>
      <c r="BT110" s="215"/>
      <c r="BU110" s="215"/>
      <c r="BV110" s="215"/>
      <c r="BW110" s="215"/>
      <c r="BX110" s="215"/>
      <c r="BY110" s="215"/>
      <c r="BZ110" s="215"/>
      <c r="CA110" s="215"/>
      <c r="CB110" s="215"/>
      <c r="CC110" s="215"/>
      <c r="CD110" s="215"/>
      <c r="CE110" s="215"/>
      <c r="CF110" s="215"/>
      <c r="CG110" s="215"/>
      <c r="CH110" s="215"/>
      <c r="CI110" s="215"/>
      <c r="CJ110" s="215"/>
      <c r="CK110" s="215"/>
      <c r="CL110" s="215"/>
      <c r="CM110" s="215"/>
      <c r="CN110" s="215"/>
      <c r="CO110" s="215"/>
      <c r="CP110" s="215"/>
      <c r="CQ110" s="215"/>
      <c r="CR110" s="215"/>
      <c r="CS110" s="215"/>
      <c r="CT110" s="215"/>
      <c r="CU110" s="215"/>
      <c r="CV110" s="215"/>
      <c r="CW110" s="215"/>
      <c r="CX110" s="215"/>
      <c r="CY110" s="215"/>
    </row>
    <row r="111" spans="1:117" s="7" customFormat="1" ht="12.75" hidden="1" customHeight="1" outlineLevel="1">
      <c r="B111" s="8"/>
      <c r="C111" s="222" t="s">
        <v>91</v>
      </c>
      <c r="D111" s="216">
        <f>'Cash Flows'!D12</f>
        <v>2365</v>
      </c>
      <c r="E111" s="215">
        <f>'Cash Flows'!E12</f>
        <v>716</v>
      </c>
      <c r="F111" s="215">
        <f>'Cash Flows'!F12</f>
        <v>905</v>
      </c>
      <c r="G111" s="215">
        <f>'Cash Flows'!G12</f>
        <v>1098</v>
      </c>
      <c r="H111" s="215">
        <f>'Cash Flows'!H12</f>
        <v>1101</v>
      </c>
      <c r="I111" s="215"/>
      <c r="J111" s="215">
        <f>'Cash Flows'!J12</f>
        <v>1127</v>
      </c>
      <c r="K111" s="215">
        <f>'Cash Flows'!K12</f>
        <v>1238</v>
      </c>
      <c r="L111" s="215">
        <f>'Cash Flows'!L12</f>
        <v>1288</v>
      </c>
      <c r="M111" s="215">
        <f>'Cash Flows'!M12</f>
        <v>1392</v>
      </c>
      <c r="N111" s="215"/>
      <c r="O111" s="215">
        <f>'Cash Flows'!O12</f>
        <v>1465</v>
      </c>
      <c r="P111" s="215">
        <f>'Cash Flows'!P12</f>
        <v>1608</v>
      </c>
      <c r="Q111" s="215">
        <f>'Cash Flows'!Q12</f>
        <v>1544</v>
      </c>
      <c r="R111" s="215">
        <f>'Cash Flows'!R12</f>
        <v>1515</v>
      </c>
      <c r="S111" s="216">
        <f>'Cash Flows'!S12</f>
        <v>6132</v>
      </c>
      <c r="T111" s="215">
        <f>'Cash Flows'!T12</f>
        <v>1449</v>
      </c>
      <c r="U111" s="215">
        <f>'Cash Flows'!U12</f>
        <v>1520</v>
      </c>
      <c r="V111" s="215">
        <f>'Cash Flows'!V12</f>
        <v>1616</v>
      </c>
      <c r="W111" s="215">
        <f>'Cash Flows'!W12</f>
        <v>1668</v>
      </c>
      <c r="X111" s="216">
        <f>'Cash Flows'!X12</f>
        <v>6253</v>
      </c>
      <c r="Y111" s="215">
        <f>'Cash Flows'!Y12</f>
        <v>1835</v>
      </c>
      <c r="Z111" s="215">
        <f>'Cash Flows'!Z12</f>
        <v>1768</v>
      </c>
      <c r="AA111" s="215">
        <f>'Cash Flows'!AA12</f>
        <v>1903</v>
      </c>
      <c r="AB111" s="215">
        <v>1905</v>
      </c>
      <c r="AC111" s="216">
        <f>'Cash Flows'!AC12</f>
        <v>7411</v>
      </c>
      <c r="AD111" s="215">
        <v>2200</v>
      </c>
      <c r="AE111" s="215">
        <v>2400</v>
      </c>
      <c r="AF111" s="215">
        <v>2600</v>
      </c>
      <c r="AG111" s="215">
        <v>2800</v>
      </c>
      <c r="AH111" s="216">
        <f>SUM(AD111:AG111)</f>
        <v>10000</v>
      </c>
      <c r="AI111" s="215">
        <v>3000</v>
      </c>
      <c r="AJ111" s="215">
        <v>3200</v>
      </c>
      <c r="AK111" s="215">
        <v>3400</v>
      </c>
      <c r="AL111" s="215">
        <v>3600</v>
      </c>
      <c r="AM111" s="216">
        <f>SUM(AI111:AL111)</f>
        <v>13200</v>
      </c>
      <c r="AN111" s="215">
        <v>3800</v>
      </c>
      <c r="AO111" s="215">
        <v>4000</v>
      </c>
      <c r="AP111" s="215">
        <v>4200</v>
      </c>
      <c r="AQ111" s="215">
        <v>4400</v>
      </c>
      <c r="AR111" s="216">
        <f>SUM(AN111:AQ111)</f>
        <v>16400</v>
      </c>
      <c r="AS111" s="215">
        <v>3800</v>
      </c>
      <c r="AT111" s="215">
        <v>4000</v>
      </c>
      <c r="AU111" s="215">
        <v>4200</v>
      </c>
      <c r="AV111" s="215">
        <v>4400</v>
      </c>
      <c r="AW111" s="216">
        <f>SUM(AS111:AV111)</f>
        <v>16400</v>
      </c>
      <c r="AX111" s="215"/>
      <c r="AY111" s="215"/>
      <c r="AZ111" s="215"/>
      <c r="BA111" s="215"/>
      <c r="BB111" s="215"/>
      <c r="BC111" s="215"/>
      <c r="BD111" s="215"/>
      <c r="BE111" s="215"/>
      <c r="BF111" s="215"/>
      <c r="BG111" s="215"/>
      <c r="BH111" s="215"/>
      <c r="BI111" s="215"/>
      <c r="BJ111" s="215"/>
      <c r="BK111" s="215"/>
      <c r="BL111" s="215"/>
      <c r="BM111" s="215"/>
      <c r="BN111" s="215"/>
      <c r="BO111" s="215"/>
      <c r="BP111" s="215"/>
      <c r="BQ111" s="215"/>
      <c r="BR111" s="215"/>
      <c r="BS111" s="215"/>
      <c r="BT111" s="215"/>
      <c r="BU111" s="215"/>
      <c r="BV111" s="215"/>
      <c r="BW111" s="215"/>
      <c r="BX111" s="215"/>
      <c r="BY111" s="215"/>
      <c r="BZ111" s="215"/>
      <c r="CA111" s="215"/>
      <c r="CB111" s="215"/>
      <c r="CC111" s="215"/>
      <c r="CD111" s="215"/>
      <c r="CE111" s="215"/>
      <c r="CF111" s="215"/>
      <c r="CG111" s="215"/>
      <c r="CH111" s="215"/>
      <c r="CI111" s="215"/>
      <c r="CJ111" s="215"/>
      <c r="CK111" s="215"/>
      <c r="CL111" s="215"/>
      <c r="CM111" s="215"/>
      <c r="CN111" s="215"/>
      <c r="CO111" s="215"/>
      <c r="CP111" s="215"/>
      <c r="CQ111" s="215"/>
      <c r="CR111" s="215"/>
      <c r="CS111" s="215"/>
      <c r="CT111" s="215"/>
      <c r="CU111" s="215"/>
      <c r="CV111" s="215"/>
      <c r="CW111" s="215"/>
      <c r="CX111" s="215"/>
      <c r="CY111" s="215"/>
    </row>
    <row r="112" spans="1:117" s="7" customFormat="1" ht="9.1999999999999993" hidden="1" customHeight="1" outlineLevel="1">
      <c r="B112" s="8"/>
      <c r="C112" s="222"/>
      <c r="D112" s="213"/>
      <c r="E112" s="214"/>
      <c r="F112" s="214"/>
      <c r="G112" s="214"/>
      <c r="H112" s="214"/>
      <c r="I112" s="214"/>
      <c r="J112" s="214"/>
      <c r="K112" s="214"/>
      <c r="L112" s="214"/>
      <c r="M112" s="214"/>
      <c r="N112" s="214"/>
      <c r="O112" s="214"/>
      <c r="P112" s="214"/>
      <c r="Q112" s="214"/>
      <c r="R112" s="214"/>
      <c r="S112" s="213"/>
      <c r="T112" s="215"/>
      <c r="U112" s="214"/>
      <c r="V112" s="214"/>
      <c r="W112" s="214"/>
      <c r="X112" s="213"/>
      <c r="Y112" s="214"/>
      <c r="Z112" s="214"/>
      <c r="AA112" s="214"/>
      <c r="AB112" s="214"/>
      <c r="AC112" s="213"/>
      <c r="AD112" s="214"/>
      <c r="AE112" s="214"/>
      <c r="AF112" s="214"/>
      <c r="AG112" s="214"/>
      <c r="AH112" s="213"/>
      <c r="AI112" s="214"/>
      <c r="AJ112" s="214"/>
      <c r="AK112" s="214"/>
      <c r="AL112" s="214"/>
      <c r="AM112" s="213"/>
      <c r="AN112" s="214"/>
      <c r="AO112" s="214"/>
      <c r="AP112" s="214"/>
      <c r="AQ112" s="214"/>
      <c r="AR112" s="213"/>
      <c r="AS112" s="214"/>
      <c r="AT112" s="214"/>
      <c r="AU112" s="214"/>
      <c r="AV112" s="214"/>
      <c r="AW112" s="213"/>
      <c r="AX112" s="214"/>
      <c r="AY112" s="214"/>
      <c r="AZ112" s="214"/>
      <c r="BA112" s="214"/>
      <c r="BB112" s="214"/>
      <c r="BC112" s="214"/>
      <c r="BD112" s="214"/>
      <c r="BE112" s="214"/>
      <c r="BF112" s="214"/>
      <c r="BG112" s="214"/>
      <c r="BH112" s="214"/>
      <c r="BI112" s="214"/>
      <c r="BJ112" s="214"/>
      <c r="BK112" s="214"/>
      <c r="BL112" s="214"/>
      <c r="BM112" s="214"/>
      <c r="BN112" s="214"/>
      <c r="BO112" s="214"/>
      <c r="BP112" s="214"/>
      <c r="BQ112" s="214"/>
      <c r="BR112" s="214"/>
      <c r="BS112" s="214"/>
      <c r="BT112" s="214"/>
      <c r="BU112" s="214"/>
      <c r="BV112" s="214"/>
      <c r="BW112" s="214"/>
      <c r="BX112" s="214"/>
      <c r="BY112" s="214"/>
      <c r="BZ112" s="214"/>
      <c r="CA112" s="214"/>
      <c r="CB112" s="214"/>
      <c r="CC112" s="214"/>
      <c r="CD112" s="214"/>
      <c r="CE112" s="214"/>
      <c r="CF112" s="214"/>
      <c r="CG112" s="214"/>
      <c r="CH112" s="214"/>
      <c r="CI112" s="214"/>
      <c r="CJ112" s="214"/>
      <c r="CK112" s="214"/>
      <c r="CL112" s="214"/>
      <c r="CM112" s="214"/>
      <c r="CN112" s="214"/>
      <c r="CO112" s="214"/>
      <c r="CP112" s="214"/>
      <c r="CQ112" s="214"/>
      <c r="CR112" s="214"/>
      <c r="CS112" s="214"/>
      <c r="CT112" s="214"/>
      <c r="CU112" s="214"/>
      <c r="CV112" s="214"/>
      <c r="CW112" s="214"/>
      <c r="CX112" s="214"/>
      <c r="CY112" s="214"/>
    </row>
    <row r="113" spans="1:117" s="7" customFormat="1" ht="12.75" hidden="1" customHeight="1" outlineLevel="1">
      <c r="B113" s="8"/>
      <c r="C113" s="222" t="s">
        <v>417</v>
      </c>
      <c r="D113" s="211">
        <f>D107+D110+D111</f>
        <v>6122</v>
      </c>
      <c r="E113" s="212">
        <f t="shared" ref="E113:AG113" si="265">E107+E110+E111</f>
        <v>1719</v>
      </c>
      <c r="F113" s="212">
        <f t="shared" si="265"/>
        <v>11002</v>
      </c>
      <c r="G113" s="212">
        <f t="shared" si="265"/>
        <v>2182</v>
      </c>
      <c r="H113" s="212">
        <f t="shared" si="265"/>
        <v>2199</v>
      </c>
      <c r="I113" s="212"/>
      <c r="J113" s="212">
        <f t="shared" si="265"/>
        <v>2114</v>
      </c>
      <c r="K113" s="212">
        <f t="shared" si="265"/>
        <v>2273</v>
      </c>
      <c r="L113" s="212">
        <f t="shared" si="265"/>
        <v>2342</v>
      </c>
      <c r="M113" s="212">
        <f t="shared" si="265"/>
        <v>2432</v>
      </c>
      <c r="N113" s="212"/>
      <c r="O113" s="212">
        <f t="shared" si="265"/>
        <v>2669</v>
      </c>
      <c r="P113" s="212">
        <f t="shared" si="265"/>
        <v>2813</v>
      </c>
      <c r="Q113" s="212">
        <f t="shared" si="265"/>
        <v>2748</v>
      </c>
      <c r="R113" s="212">
        <f t="shared" si="265"/>
        <v>2719</v>
      </c>
      <c r="S113" s="211">
        <f t="shared" si="265"/>
        <v>10949</v>
      </c>
      <c r="T113" s="215">
        <f t="shared" si="265"/>
        <v>13980</v>
      </c>
      <c r="U113" s="212">
        <f t="shared" si="265"/>
        <v>13919</v>
      </c>
      <c r="V113" s="212">
        <f t="shared" si="265"/>
        <v>16656</v>
      </c>
      <c r="W113" s="212">
        <f t="shared" si="265"/>
        <v>18924</v>
      </c>
      <c r="X113" s="211">
        <f t="shared" si="265"/>
        <v>63479</v>
      </c>
      <c r="Y113" s="212">
        <f t="shared" si="265"/>
        <v>15070</v>
      </c>
      <c r="Z113" s="212">
        <f t="shared" si="265"/>
        <v>17610</v>
      </c>
      <c r="AA113" s="212">
        <f t="shared" si="265"/>
        <v>24046</v>
      </c>
      <c r="AB113" s="212">
        <f t="shared" si="265"/>
        <v>20840</v>
      </c>
      <c r="AC113" s="211">
        <f t="shared" si="265"/>
        <v>77566</v>
      </c>
      <c r="AD113" s="212">
        <f t="shared" si="265"/>
        <v>20925</v>
      </c>
      <c r="AE113" s="212">
        <f t="shared" si="265"/>
        <v>22303</v>
      </c>
      <c r="AF113" s="212">
        <f t="shared" si="265"/>
        <v>25670</v>
      </c>
      <c r="AG113" s="212">
        <f t="shared" si="265"/>
        <v>27460</v>
      </c>
      <c r="AH113" s="211">
        <f t="shared" ref="AH113:AW113" si="266">AH107+AH110+AH111</f>
        <v>96358</v>
      </c>
      <c r="AI113" s="212">
        <f t="shared" si="266"/>
        <v>27958</v>
      </c>
      <c r="AJ113" s="212">
        <f t="shared" si="266"/>
        <v>31933</v>
      </c>
      <c r="AK113" s="212">
        <f t="shared" si="266"/>
        <v>35758</v>
      </c>
      <c r="AL113" s="212">
        <f t="shared" si="266"/>
        <v>34109</v>
      </c>
      <c r="AM113" s="211">
        <f t="shared" si="266"/>
        <v>129758</v>
      </c>
      <c r="AN113" s="212">
        <f t="shared" si="266"/>
        <v>36920</v>
      </c>
      <c r="AO113" s="212">
        <f t="shared" si="266"/>
        <v>40003</v>
      </c>
      <c r="AP113" s="212">
        <f t="shared" si="266"/>
        <v>43523</v>
      </c>
      <c r="AQ113" s="212">
        <f t="shared" si="266"/>
        <v>45128</v>
      </c>
      <c r="AR113" s="211">
        <f t="shared" si="266"/>
        <v>165574</v>
      </c>
      <c r="AS113" s="212">
        <f t="shared" si="266"/>
        <v>52855</v>
      </c>
      <c r="AT113" s="212">
        <f t="shared" si="266"/>
        <v>56211</v>
      </c>
      <c r="AU113" s="212">
        <f t="shared" si="266"/>
        <v>61615</v>
      </c>
      <c r="AV113" s="212">
        <f t="shared" si="266"/>
        <v>59245</v>
      </c>
      <c r="AW113" s="211">
        <f t="shared" si="266"/>
        <v>229926</v>
      </c>
      <c r="AX113" s="212"/>
      <c r="AY113" s="212"/>
      <c r="AZ113" s="212"/>
      <c r="BA113" s="212"/>
      <c r="BB113" s="212"/>
      <c r="BC113" s="212"/>
      <c r="BD113" s="212"/>
      <c r="BE113" s="212"/>
      <c r="BF113" s="212"/>
      <c r="BG113" s="212"/>
      <c r="BH113" s="212"/>
      <c r="BI113" s="212"/>
      <c r="BJ113" s="212"/>
      <c r="BK113" s="212"/>
      <c r="BL113" s="212"/>
      <c r="BM113" s="212"/>
      <c r="BN113" s="212"/>
      <c r="BO113" s="212"/>
      <c r="BP113" s="212"/>
      <c r="BQ113" s="212"/>
      <c r="BR113" s="212"/>
      <c r="BS113" s="212"/>
      <c r="BT113" s="212"/>
      <c r="BU113" s="212"/>
      <c r="BV113" s="212"/>
      <c r="BW113" s="212"/>
      <c r="BX113" s="212"/>
      <c r="BY113" s="212"/>
      <c r="BZ113" s="212"/>
      <c r="CA113" s="212"/>
      <c r="CB113" s="212"/>
      <c r="CC113" s="212"/>
      <c r="CD113" s="212"/>
      <c r="CE113" s="212"/>
      <c r="CF113" s="212"/>
      <c r="CG113" s="212"/>
      <c r="CH113" s="212"/>
      <c r="CI113" s="212"/>
      <c r="CJ113" s="212"/>
      <c r="CK113" s="212"/>
      <c r="CL113" s="212"/>
      <c r="CM113" s="212"/>
      <c r="CN113" s="212"/>
      <c r="CO113" s="212"/>
      <c r="CP113" s="212"/>
      <c r="CQ113" s="212"/>
      <c r="CR113" s="212"/>
      <c r="CS113" s="212"/>
      <c r="CT113" s="212"/>
      <c r="CU113" s="212"/>
      <c r="CV113" s="212"/>
      <c r="CW113" s="212"/>
      <c r="CX113" s="212"/>
      <c r="CY113" s="212"/>
    </row>
    <row r="114" spans="1:117" s="7" customFormat="1" ht="12.75" hidden="1" customHeight="1" outlineLevel="1">
      <c r="B114" s="8"/>
      <c r="C114" s="222" t="s">
        <v>36</v>
      </c>
      <c r="D114" s="217"/>
      <c r="E114" s="218"/>
      <c r="F114" s="218"/>
      <c r="G114" s="218"/>
      <c r="H114" s="218"/>
      <c r="I114" s="212"/>
      <c r="J114" s="218"/>
      <c r="K114" s="218"/>
      <c r="L114" s="218"/>
      <c r="M114" s="218"/>
      <c r="N114" s="212"/>
      <c r="O114" s="218"/>
      <c r="P114" s="218"/>
      <c r="Q114" s="218"/>
      <c r="R114" s="218"/>
      <c r="S114" s="217"/>
      <c r="T114" s="244">
        <f>+T79+1101</f>
        <v>5599</v>
      </c>
      <c r="U114" s="218">
        <f>+U79+1101</f>
        <v>5547</v>
      </c>
      <c r="V114" s="218">
        <f>+V79+1101</f>
        <v>6113</v>
      </c>
      <c r="W114" s="218">
        <f>+W79+1101</f>
        <v>6788</v>
      </c>
      <c r="X114" s="217">
        <f>+X79+1101</f>
        <v>20744</v>
      </c>
      <c r="Y114" s="218">
        <f>+Y79+794</f>
        <v>5386</v>
      </c>
      <c r="Z114" s="218">
        <f>+Z79+954</f>
        <v>6546</v>
      </c>
      <c r="AA114" s="218">
        <f>+AA79+1349</f>
        <v>9477</v>
      </c>
      <c r="AB114" s="218">
        <f>+AB79+1101</f>
        <v>7861</v>
      </c>
      <c r="AC114" s="217">
        <f>+AC79+4198</f>
        <v>29270</v>
      </c>
      <c r="AD114" s="218">
        <f>(AD113+AD71)*0.4</f>
        <v>8234.8000000000011</v>
      </c>
      <c r="AE114" s="218">
        <f>(AE113+AE71)*0.4</f>
        <v>8802.8000000000011</v>
      </c>
      <c r="AF114" s="218">
        <f>(AF113+AF71)*0.4</f>
        <v>10154</v>
      </c>
      <c r="AG114" s="218">
        <f>(AG113+AG71)*0.4</f>
        <v>10828</v>
      </c>
      <c r="AH114" s="217">
        <f>SUM(AD114:AG114)</f>
        <v>38019.600000000006</v>
      </c>
      <c r="AI114" s="218">
        <f>(AI113+AI71)*0.4</f>
        <v>11079.6</v>
      </c>
      <c r="AJ114" s="218">
        <f>(AJ113+AJ71)*0.4</f>
        <v>12686.800000000001</v>
      </c>
      <c r="AK114" s="218">
        <f>(AK113+AK71)*0.4</f>
        <v>14284.400000000001</v>
      </c>
      <c r="AL114" s="218">
        <f>(AL113+AL71)*0.4</f>
        <v>13710.400000000001</v>
      </c>
      <c r="AM114" s="217">
        <f>SUM(AI114:AL114)</f>
        <v>51761.200000000004</v>
      </c>
      <c r="AN114" s="218">
        <f>(AN113+AN71)*0.4</f>
        <v>14840.400000000001</v>
      </c>
      <c r="AO114" s="218">
        <f>(AO113+AO71)*0.4</f>
        <v>16075.2</v>
      </c>
      <c r="AP114" s="218">
        <f>(AP113+AP71)*0.4</f>
        <v>17511.2</v>
      </c>
      <c r="AQ114" s="218">
        <f>(AQ113+AQ71)*0.4</f>
        <v>17955.2</v>
      </c>
      <c r="AR114" s="217">
        <f>SUM(AN114:AQ114)</f>
        <v>66382</v>
      </c>
      <c r="AS114" s="218">
        <f>(AS113+AS71)*0.4</f>
        <v>20955.2</v>
      </c>
      <c r="AT114" s="218">
        <f>(AT113+AT71)*0.4</f>
        <v>22196.400000000001</v>
      </c>
      <c r="AU114" s="218">
        <f>(AU113+AU71)*0.4</f>
        <v>24435.600000000002</v>
      </c>
      <c r="AV114" s="218">
        <f>(AV113+AV71)*0.4</f>
        <v>23584</v>
      </c>
      <c r="AW114" s="217">
        <f>SUM(AS114:AV114)</f>
        <v>91171.200000000012</v>
      </c>
      <c r="AX114" s="212"/>
      <c r="AY114" s="212"/>
      <c r="AZ114" s="212"/>
      <c r="BA114" s="212"/>
      <c r="BB114" s="212"/>
      <c r="BC114" s="212"/>
      <c r="BD114" s="212"/>
      <c r="BE114" s="212"/>
      <c r="BF114" s="212"/>
      <c r="BG114" s="212"/>
      <c r="BH114" s="212"/>
      <c r="BI114" s="212"/>
      <c r="BJ114" s="212"/>
      <c r="BK114" s="212"/>
      <c r="BL114" s="212"/>
      <c r="BM114" s="212"/>
      <c r="BN114" s="212"/>
      <c r="BO114" s="212"/>
      <c r="BP114" s="212"/>
      <c r="BQ114" s="212"/>
      <c r="BR114" s="212"/>
      <c r="BS114" s="212"/>
      <c r="BT114" s="212"/>
      <c r="BU114" s="212"/>
      <c r="BV114" s="212"/>
      <c r="BW114" s="212"/>
      <c r="BX114" s="212"/>
      <c r="BY114" s="212"/>
      <c r="BZ114" s="212"/>
      <c r="CA114" s="212"/>
      <c r="CB114" s="212"/>
      <c r="CC114" s="212"/>
      <c r="CD114" s="212"/>
      <c r="CE114" s="212"/>
      <c r="CF114" s="212"/>
      <c r="CG114" s="212"/>
      <c r="CH114" s="212"/>
      <c r="CI114" s="212"/>
      <c r="CJ114" s="212"/>
      <c r="CK114" s="212"/>
      <c r="CL114" s="212"/>
      <c r="CM114" s="212"/>
      <c r="CN114" s="212"/>
      <c r="CO114" s="212"/>
      <c r="CP114" s="212"/>
      <c r="CQ114" s="212"/>
      <c r="CR114" s="212"/>
      <c r="CS114" s="212"/>
      <c r="CT114" s="212"/>
      <c r="CU114" s="212"/>
      <c r="CV114" s="212"/>
      <c r="CW114" s="212"/>
      <c r="CX114" s="212"/>
      <c r="CY114" s="212"/>
      <c r="DA114" s="181"/>
      <c r="DB114" s="181"/>
    </row>
    <row r="115" spans="1:117" s="7" customFormat="1" ht="12.75" hidden="1" customHeight="1" outlineLevel="1">
      <c r="B115" s="239"/>
      <c r="C115" s="240" t="s">
        <v>418</v>
      </c>
      <c r="D115" s="241"/>
      <c r="E115" s="242"/>
      <c r="F115" s="242"/>
      <c r="G115" s="242"/>
      <c r="H115" s="242"/>
      <c r="I115" s="212"/>
      <c r="J115" s="242"/>
      <c r="K115" s="242"/>
      <c r="L115" s="242"/>
      <c r="M115" s="242"/>
      <c r="N115" s="212"/>
      <c r="O115" s="242"/>
      <c r="P115" s="242"/>
      <c r="Q115" s="242"/>
      <c r="R115" s="242"/>
      <c r="S115" s="241"/>
      <c r="T115" s="243">
        <f t="shared" ref="T115:AW115" si="267">T113-T114+T71</f>
        <v>7881</v>
      </c>
      <c r="U115" s="242">
        <f t="shared" si="267"/>
        <v>7848</v>
      </c>
      <c r="V115" s="242">
        <f t="shared" si="267"/>
        <v>9981</v>
      </c>
      <c r="W115" s="242">
        <f t="shared" si="267"/>
        <v>11318</v>
      </c>
      <c r="X115" s="241">
        <f t="shared" si="267"/>
        <v>40331</v>
      </c>
      <c r="Y115" s="242">
        <f t="shared" si="267"/>
        <v>8981</v>
      </c>
      <c r="Z115" s="242">
        <f t="shared" si="267"/>
        <v>10291</v>
      </c>
      <c r="AA115" s="242">
        <f t="shared" si="267"/>
        <v>13720</v>
      </c>
      <c r="AB115" s="242">
        <f t="shared" si="267"/>
        <v>12595</v>
      </c>
      <c r="AC115" s="241">
        <f t="shared" si="267"/>
        <v>45587</v>
      </c>
      <c r="AD115" s="242">
        <f t="shared" si="267"/>
        <v>12352.199999999999</v>
      </c>
      <c r="AE115" s="242">
        <f t="shared" si="267"/>
        <v>13204.199999999999</v>
      </c>
      <c r="AF115" s="242">
        <f t="shared" si="267"/>
        <v>15231</v>
      </c>
      <c r="AG115" s="242">
        <f t="shared" si="267"/>
        <v>16242</v>
      </c>
      <c r="AH115" s="241">
        <f t="shared" si="267"/>
        <v>57029.399999999994</v>
      </c>
      <c r="AI115" s="242">
        <f t="shared" si="267"/>
        <v>16619.400000000001</v>
      </c>
      <c r="AJ115" s="242">
        <f t="shared" si="267"/>
        <v>19030.199999999997</v>
      </c>
      <c r="AK115" s="242">
        <f t="shared" si="267"/>
        <v>21426.6</v>
      </c>
      <c r="AL115" s="242">
        <f t="shared" si="267"/>
        <v>20565.599999999999</v>
      </c>
      <c r="AM115" s="241">
        <f t="shared" si="267"/>
        <v>77641.799999999988</v>
      </c>
      <c r="AN115" s="242">
        <f t="shared" si="267"/>
        <v>22260.6</v>
      </c>
      <c r="AO115" s="242">
        <f t="shared" si="267"/>
        <v>24112.799999999999</v>
      </c>
      <c r="AP115" s="242">
        <f t="shared" si="267"/>
        <v>26266.799999999999</v>
      </c>
      <c r="AQ115" s="242">
        <f t="shared" si="267"/>
        <v>26932.799999999999</v>
      </c>
      <c r="AR115" s="241">
        <f t="shared" si="267"/>
        <v>99573</v>
      </c>
      <c r="AS115" s="242">
        <f t="shared" si="267"/>
        <v>31432.799999999999</v>
      </c>
      <c r="AT115" s="242">
        <f t="shared" si="267"/>
        <v>33294.6</v>
      </c>
      <c r="AU115" s="242">
        <f t="shared" si="267"/>
        <v>36653.399999999994</v>
      </c>
      <c r="AV115" s="242">
        <f t="shared" si="267"/>
        <v>35376</v>
      </c>
      <c r="AW115" s="241">
        <f t="shared" si="267"/>
        <v>136756.79999999999</v>
      </c>
      <c r="AX115" s="212"/>
      <c r="AY115" s="212"/>
      <c r="AZ115" s="212"/>
      <c r="BA115" s="212"/>
      <c r="BB115" s="212"/>
      <c r="BC115" s="212"/>
      <c r="BD115" s="212"/>
      <c r="BE115" s="212"/>
      <c r="BF115" s="212"/>
      <c r="BG115" s="212"/>
      <c r="BH115" s="212"/>
      <c r="BI115" s="212"/>
      <c r="BJ115" s="212"/>
      <c r="BK115" s="212"/>
      <c r="BL115" s="212"/>
      <c r="BM115" s="212"/>
      <c r="BN115" s="212"/>
      <c r="BO115" s="212"/>
      <c r="BP115" s="212"/>
      <c r="BQ115" s="212"/>
      <c r="BR115" s="212"/>
      <c r="BS115" s="212"/>
      <c r="BT115" s="212"/>
      <c r="BU115" s="212"/>
      <c r="BV115" s="212"/>
      <c r="BW115" s="212"/>
      <c r="BX115" s="212"/>
      <c r="BY115" s="212"/>
      <c r="BZ115" s="212"/>
      <c r="CA115" s="212"/>
      <c r="CB115" s="212"/>
      <c r="CC115" s="212"/>
      <c r="CD115" s="212"/>
      <c r="CE115" s="212"/>
      <c r="CF115" s="212"/>
      <c r="CG115" s="212"/>
      <c r="CH115" s="212"/>
      <c r="CI115" s="212"/>
      <c r="CJ115" s="212"/>
      <c r="CK115" s="212"/>
      <c r="CL115" s="212"/>
      <c r="CM115" s="212"/>
      <c r="CN115" s="212"/>
      <c r="CO115" s="212"/>
      <c r="CP115" s="212"/>
      <c r="CQ115" s="212"/>
      <c r="CR115" s="212"/>
      <c r="CS115" s="212"/>
      <c r="CT115" s="212"/>
      <c r="CU115" s="212"/>
      <c r="CV115" s="212"/>
      <c r="CW115" s="212"/>
      <c r="CX115" s="212"/>
      <c r="CY115" s="212"/>
    </row>
    <row r="116" spans="1:117" s="181" customFormat="1" ht="12.75" hidden="1" customHeight="1" outlineLevel="1">
      <c r="B116" s="180"/>
      <c r="C116" s="245" t="s">
        <v>87</v>
      </c>
      <c r="D116" s="246">
        <f>D115/D23</f>
        <v>0</v>
      </c>
      <c r="E116" s="247">
        <f>E115/E23</f>
        <v>0</v>
      </c>
      <c r="F116" s="247">
        <f>F115/F23</f>
        <v>0</v>
      </c>
      <c r="G116" s="247">
        <f>G115/G23</f>
        <v>0</v>
      </c>
      <c r="H116" s="247">
        <f>H115/H23</f>
        <v>0</v>
      </c>
      <c r="I116" s="247"/>
      <c r="J116" s="247">
        <f>J115/J23</f>
        <v>0</v>
      </c>
      <c r="K116" s="247">
        <f>K115/K23</f>
        <v>0</v>
      </c>
      <c r="L116" s="247">
        <f>L115/L23</f>
        <v>0</v>
      </c>
      <c r="M116" s="247">
        <f>M115/M23</f>
        <v>0</v>
      </c>
      <c r="N116" s="247"/>
      <c r="O116" s="247">
        <f t="shared" ref="O116:AW116" si="268">O115/O23</f>
        <v>0</v>
      </c>
      <c r="P116" s="247">
        <f t="shared" si="268"/>
        <v>0</v>
      </c>
      <c r="Q116" s="247">
        <f t="shared" si="268"/>
        <v>0</v>
      </c>
      <c r="R116" s="247">
        <f t="shared" si="268"/>
        <v>0</v>
      </c>
      <c r="S116" s="246">
        <f t="shared" si="268"/>
        <v>0</v>
      </c>
      <c r="T116" s="248">
        <f t="shared" si="268"/>
        <v>0.10738081288406251</v>
      </c>
      <c r="U116" s="247">
        <f t="shared" si="268"/>
        <v>0.102274060076888</v>
      </c>
      <c r="V116" s="247">
        <f t="shared" si="268"/>
        <v>0.12931436567164178</v>
      </c>
      <c r="W116" s="247">
        <f t="shared" si="268"/>
        <v>0.13789154351295702</v>
      </c>
      <c r="X116" s="246">
        <f t="shared" si="268"/>
        <v>0.1303560866347114</v>
      </c>
      <c r="Y116" s="247">
        <f t="shared" si="268"/>
        <v>0.10856714577566094</v>
      </c>
      <c r="Z116" s="247">
        <f t="shared" si="268"/>
        <v>0.11263243148585939</v>
      </c>
      <c r="AA116" s="247">
        <f t="shared" si="268"/>
        <v>0.14619851883424798</v>
      </c>
      <c r="AB116" s="247">
        <f t="shared" si="268"/>
        <v>0.13206736012079523</v>
      </c>
      <c r="AC116" s="246">
        <f t="shared" si="268"/>
        <v>0.12547893774910268</v>
      </c>
      <c r="AD116" s="247">
        <f t="shared" si="268"/>
        <v>0.12893871543544294</v>
      </c>
      <c r="AE116" s="247">
        <f t="shared" si="268"/>
        <v>0.12808668322210148</v>
      </c>
      <c r="AF116" s="247">
        <f t="shared" si="268"/>
        <v>0.14231786284934733</v>
      </c>
      <c r="AG116" s="247">
        <f t="shared" si="268"/>
        <v>0.14667449315934439</v>
      </c>
      <c r="AH116" s="246">
        <f t="shared" si="268"/>
        <v>0.13687833468941035</v>
      </c>
      <c r="AI116" s="247">
        <f t="shared" si="268"/>
        <v>0.14756272974268819</v>
      </c>
      <c r="AJ116" s="247">
        <f t="shared" si="268"/>
        <v>0.15301155414043463</v>
      </c>
      <c r="AK116" s="247">
        <f t="shared" si="268"/>
        <v>0.16653143070322698</v>
      </c>
      <c r="AL116" s="247">
        <f t="shared" si="268"/>
        <v>0.16137476459510355</v>
      </c>
      <c r="AM116" s="249">
        <f t="shared" si="268"/>
        <v>0.15745618037683962</v>
      </c>
      <c r="AN116" s="247">
        <f t="shared" si="268"/>
        <v>0.16493487248640398</v>
      </c>
      <c r="AO116" s="247">
        <f t="shared" si="268"/>
        <v>0.16482313134420179</v>
      </c>
      <c r="AP116" s="247">
        <f t="shared" si="268"/>
        <v>0.17413106168583645</v>
      </c>
      <c r="AQ116" s="247">
        <f t="shared" si="268"/>
        <v>0.16610932594872299</v>
      </c>
      <c r="AR116" s="249">
        <f t="shared" si="268"/>
        <v>0.1675622007757743</v>
      </c>
      <c r="AS116" s="247">
        <f t="shared" si="268"/>
        <v>0.16991804873829652</v>
      </c>
      <c r="AT116" s="247">
        <f t="shared" si="268"/>
        <v>0.17184398371088366</v>
      </c>
      <c r="AU116" s="247">
        <f t="shared" si="268"/>
        <v>0.18534565148136345</v>
      </c>
      <c r="AV116" s="247">
        <f t="shared" si="268"/>
        <v>0.18136330079566892</v>
      </c>
      <c r="AW116" s="249">
        <f t="shared" si="268"/>
        <v>0.17724943295962672</v>
      </c>
      <c r="AX116" s="416"/>
      <c r="AY116" s="416"/>
      <c r="AZ116" s="416"/>
      <c r="BA116" s="416"/>
      <c r="BB116" s="416"/>
      <c r="BC116" s="416"/>
      <c r="BD116" s="416"/>
      <c r="BE116" s="416"/>
      <c r="BF116" s="416"/>
      <c r="BG116" s="416"/>
      <c r="BH116" s="416"/>
      <c r="BI116" s="416"/>
      <c r="BJ116" s="416"/>
      <c r="BK116" s="416"/>
      <c r="BL116" s="416"/>
      <c r="BM116" s="416"/>
      <c r="BN116" s="416"/>
      <c r="BO116" s="416"/>
      <c r="BP116" s="416"/>
      <c r="BQ116" s="416"/>
      <c r="BR116" s="416"/>
      <c r="BS116" s="416"/>
      <c r="BT116" s="416"/>
      <c r="BU116" s="416"/>
      <c r="BV116" s="416"/>
      <c r="BW116" s="416"/>
      <c r="BX116" s="416"/>
      <c r="BY116" s="416"/>
      <c r="BZ116" s="416"/>
      <c r="CA116" s="416"/>
      <c r="CB116" s="416"/>
      <c r="CC116" s="416"/>
      <c r="CD116" s="416"/>
      <c r="CE116" s="416"/>
      <c r="CF116" s="416"/>
      <c r="CG116" s="416"/>
      <c r="CH116" s="416"/>
      <c r="CI116" s="416"/>
      <c r="CJ116" s="416"/>
      <c r="CK116" s="416"/>
      <c r="CL116" s="416"/>
      <c r="CM116" s="416"/>
      <c r="CN116" s="416"/>
      <c r="CO116" s="416"/>
      <c r="CP116" s="416"/>
      <c r="CQ116" s="416"/>
      <c r="CR116" s="416"/>
      <c r="CS116" s="416"/>
      <c r="CT116" s="416"/>
      <c r="CU116" s="416"/>
      <c r="CV116" s="416"/>
      <c r="CW116" s="416"/>
      <c r="CX116" s="416"/>
      <c r="CY116" s="416"/>
      <c r="DA116" s="7"/>
      <c r="DB116" s="7"/>
    </row>
    <row r="117" spans="1:117" s="7" customFormat="1" ht="12.75" hidden="1" customHeight="1" outlineLevel="1" thickBot="1">
      <c r="B117" s="8"/>
      <c r="C117" s="222"/>
      <c r="D117" s="211"/>
      <c r="E117" s="212"/>
      <c r="F117" s="212"/>
      <c r="G117" s="212"/>
      <c r="H117" s="212"/>
      <c r="I117" s="212"/>
      <c r="J117" s="212"/>
      <c r="K117" s="212"/>
      <c r="L117" s="212"/>
      <c r="M117" s="212"/>
      <c r="N117" s="212"/>
      <c r="O117" s="212"/>
      <c r="P117" s="212"/>
      <c r="Q117" s="212"/>
      <c r="R117" s="212"/>
      <c r="S117" s="211"/>
      <c r="T117" s="234"/>
      <c r="U117" s="212"/>
      <c r="V117" s="212"/>
      <c r="W117" s="212"/>
      <c r="X117" s="211"/>
      <c r="Y117" s="212"/>
      <c r="Z117" s="212"/>
      <c r="AA117" s="212"/>
      <c r="AB117" s="212"/>
      <c r="AC117" s="211"/>
      <c r="AD117" s="212"/>
      <c r="AE117" s="212"/>
      <c r="AF117" s="212"/>
      <c r="AG117" s="212"/>
      <c r="AH117" s="211"/>
      <c r="AI117" s="212"/>
      <c r="AJ117" s="212"/>
      <c r="AK117" s="212"/>
      <c r="AL117" s="212"/>
      <c r="AM117" s="211"/>
      <c r="AN117" s="212"/>
      <c r="AO117" s="212"/>
      <c r="AP117" s="212"/>
      <c r="AQ117" s="212"/>
      <c r="AR117" s="211"/>
      <c r="AS117" s="212"/>
      <c r="AT117" s="212"/>
      <c r="AU117" s="212"/>
      <c r="AV117" s="212"/>
      <c r="AW117" s="211"/>
      <c r="AX117" s="212"/>
      <c r="AY117" s="212"/>
      <c r="AZ117" s="212"/>
      <c r="BA117" s="212"/>
      <c r="BB117" s="212"/>
      <c r="BC117" s="212"/>
      <c r="BD117" s="212"/>
      <c r="BE117" s="212"/>
      <c r="BF117" s="212"/>
      <c r="BG117" s="212"/>
      <c r="BH117" s="212"/>
      <c r="BI117" s="212"/>
      <c r="BJ117" s="212"/>
      <c r="BK117" s="212"/>
      <c r="BL117" s="212"/>
      <c r="BM117" s="212"/>
      <c r="BN117" s="212"/>
      <c r="BO117" s="212"/>
      <c r="BP117" s="212"/>
      <c r="BQ117" s="212"/>
      <c r="BR117" s="212"/>
      <c r="BS117" s="212"/>
      <c r="BT117" s="212"/>
      <c r="BU117" s="212"/>
      <c r="BV117" s="212"/>
      <c r="BW117" s="212"/>
      <c r="BX117" s="212"/>
      <c r="BY117" s="212"/>
      <c r="BZ117" s="212"/>
      <c r="CA117" s="212"/>
      <c r="CB117" s="212"/>
      <c r="CC117" s="212"/>
      <c r="CD117" s="212"/>
      <c r="CE117" s="212"/>
      <c r="CF117" s="212"/>
      <c r="CG117" s="212"/>
      <c r="CH117" s="212"/>
      <c r="CI117" s="212"/>
      <c r="CJ117" s="212"/>
      <c r="CK117" s="212"/>
      <c r="CL117" s="212"/>
      <c r="CM117" s="212"/>
      <c r="CN117" s="212"/>
      <c r="CO117" s="212"/>
      <c r="CP117" s="212"/>
      <c r="CQ117" s="212"/>
      <c r="CR117" s="212"/>
      <c r="CS117" s="212"/>
      <c r="CT117" s="212"/>
      <c r="CU117" s="212"/>
      <c r="CV117" s="212"/>
      <c r="CW117" s="212"/>
      <c r="CX117" s="212"/>
      <c r="CY117" s="212"/>
      <c r="DA117" s="210"/>
      <c r="DB117" s="210"/>
    </row>
    <row r="118" spans="1:117" s="7" customFormat="1" ht="13.5" hidden="1" customHeight="1" outlineLevel="1" thickBot="1">
      <c r="B118" s="8"/>
      <c r="C118" s="222" t="s">
        <v>127</v>
      </c>
      <c r="D118" s="237">
        <f t="shared" ref="D118:S118" si="269">D113/D96</f>
        <v>0.14804604372218999</v>
      </c>
      <c r="E118" s="238">
        <f t="shared" si="269"/>
        <v>4.3489260505477266E-2</v>
      </c>
      <c r="F118" s="238">
        <f t="shared" si="269"/>
        <v>0.27759695203492041</v>
      </c>
      <c r="G118" s="238">
        <f t="shared" si="269"/>
        <v>5.4524101052000298E-2</v>
      </c>
      <c r="H118" s="238">
        <f t="shared" si="269"/>
        <v>5.7975217505931979E-2</v>
      </c>
      <c r="I118" s="43"/>
      <c r="J118" s="238">
        <f t="shared" si="269"/>
        <v>5.7528505728358777E-2</v>
      </c>
      <c r="K118" s="238">
        <f t="shared" si="269"/>
        <v>6.1895814612095965E-2</v>
      </c>
      <c r="L118" s="238">
        <f t="shared" si="269"/>
        <v>6.4187244772110616E-2</v>
      </c>
      <c r="M118" s="238">
        <f t="shared" si="269"/>
        <v>6.6404543468763649E-2</v>
      </c>
      <c r="N118" s="43"/>
      <c r="O118" s="238">
        <f t="shared" si="269"/>
        <v>7.2814077206383845E-2</v>
      </c>
      <c r="P118" s="238">
        <f t="shared" si="269"/>
        <v>7.7700743032345379E-2</v>
      </c>
      <c r="Q118" s="238">
        <f t="shared" si="269"/>
        <v>7.7605196272239482E-2</v>
      </c>
      <c r="R118" s="238">
        <f t="shared" si="269"/>
        <v>8.0218321286325417E-2</v>
      </c>
      <c r="S118" s="237">
        <f t="shared" si="269"/>
        <v>0.30817946408466562</v>
      </c>
      <c r="T118" s="238">
        <f t="shared" ref="T118:AM118" si="270">T115/T96</f>
        <v>0.23371886120996441</v>
      </c>
      <c r="U118" s="238">
        <f t="shared" si="270"/>
        <v>0.23186008035925312</v>
      </c>
      <c r="V118" s="238">
        <f t="shared" si="270"/>
        <v>0.30282160194174756</v>
      </c>
      <c r="W118" s="238">
        <f t="shared" si="270"/>
        <v>0.3533451968405607</v>
      </c>
      <c r="X118" s="237">
        <f t="shared" si="270"/>
        <v>1.2164746335283827</v>
      </c>
      <c r="Y118" s="238">
        <f t="shared" si="270"/>
        <v>0.27608361512450047</v>
      </c>
      <c r="Z118" s="238">
        <f t="shared" si="270"/>
        <v>0.31404681253623851</v>
      </c>
      <c r="AA118" s="238">
        <f t="shared" si="270"/>
        <v>0.41593403261989936</v>
      </c>
      <c r="AB118" s="238">
        <f t="shared" si="270"/>
        <v>0.37685886119505702</v>
      </c>
      <c r="AC118" s="237">
        <f t="shared" si="270"/>
        <v>1.3845079191532657</v>
      </c>
      <c r="AD118" s="238">
        <f t="shared" si="270"/>
        <v>0.36385648639095081</v>
      </c>
      <c r="AE118" s="238">
        <f t="shared" si="270"/>
        <v>0.38507436570428694</v>
      </c>
      <c r="AF118" s="238">
        <f t="shared" si="270"/>
        <v>0.4381256472212634</v>
      </c>
      <c r="AG118" s="238">
        <f t="shared" si="270"/>
        <v>0.45948851420165215</v>
      </c>
      <c r="AH118" s="237">
        <f>AH115/AH96</f>
        <v>1.6488442356342607</v>
      </c>
      <c r="AI118" s="238">
        <f t="shared" si="270"/>
        <v>0.46815211267605639</v>
      </c>
      <c r="AJ118" s="238">
        <f t="shared" si="270"/>
        <v>0.54123034043400353</v>
      </c>
      <c r="AK118" s="238">
        <f t="shared" si="270"/>
        <v>0.60726108151003289</v>
      </c>
      <c r="AL118" s="238">
        <f t="shared" si="270"/>
        <v>0.57669723227054759</v>
      </c>
      <c r="AM118" s="237">
        <f t="shared" si="270"/>
        <v>2.1931782551586796</v>
      </c>
      <c r="AN118" s="238">
        <f t="shared" ref="AN118:AW118" si="271">AN115/AN96</f>
        <v>0.6201587964897618</v>
      </c>
      <c r="AO118" s="238">
        <f t="shared" si="271"/>
        <v>0.66800011081253285</v>
      </c>
      <c r="AP118" s="238">
        <f t="shared" si="271"/>
        <v>0.7226278577127293</v>
      </c>
      <c r="AQ118" s="238">
        <f t="shared" si="271"/>
        <v>0.71130361293048805</v>
      </c>
      <c r="AR118" s="237">
        <f t="shared" si="271"/>
        <v>2.7242023186621527</v>
      </c>
      <c r="AS118" s="238">
        <f t="shared" si="271"/>
        <v>0.80450461979473264</v>
      </c>
      <c r="AT118" s="238">
        <f t="shared" si="271"/>
        <v>0.85948164592906184</v>
      </c>
      <c r="AU118" s="238">
        <f t="shared" si="271"/>
        <v>0.93833905073984936</v>
      </c>
      <c r="AV118" s="238">
        <f t="shared" si="271"/>
        <v>0.90765875561257214</v>
      </c>
      <c r="AW118" s="237">
        <f t="shared" si="271"/>
        <v>3.5100496644123043</v>
      </c>
      <c r="AX118" s="43"/>
      <c r="AY118" s="43"/>
      <c r="AZ118" s="43"/>
      <c r="BA118" s="43"/>
      <c r="BB118" s="43"/>
      <c r="BC118" s="43"/>
      <c r="BD118" s="43"/>
      <c r="BE118" s="43"/>
      <c r="BF118" s="43"/>
      <c r="BG118" s="43"/>
      <c r="BH118" s="43"/>
      <c r="BI118" s="43"/>
      <c r="BJ118" s="43"/>
      <c r="BK118" s="43"/>
      <c r="BL118" s="43"/>
      <c r="BM118" s="43"/>
      <c r="BN118" s="43"/>
      <c r="BO118" s="43"/>
      <c r="BP118" s="43"/>
      <c r="BQ118" s="43"/>
      <c r="BR118" s="43"/>
      <c r="BS118" s="43"/>
      <c r="BT118" s="43"/>
      <c r="BU118" s="43"/>
      <c r="BV118" s="43"/>
      <c r="BW118" s="43"/>
      <c r="BX118" s="43"/>
      <c r="BY118" s="43"/>
      <c r="BZ118" s="43"/>
      <c r="CA118" s="43"/>
      <c r="CB118" s="43"/>
      <c r="CC118" s="43"/>
      <c r="CD118" s="43"/>
      <c r="CE118" s="43"/>
      <c r="CF118" s="43"/>
      <c r="CG118" s="43"/>
      <c r="CH118" s="43"/>
      <c r="CI118" s="43"/>
      <c r="CJ118" s="43"/>
      <c r="CK118" s="43"/>
      <c r="CL118" s="43"/>
      <c r="CM118" s="43"/>
      <c r="CN118" s="43"/>
      <c r="CO118" s="43"/>
      <c r="CP118" s="43"/>
      <c r="CQ118" s="43"/>
      <c r="CR118" s="43"/>
      <c r="CS118" s="43"/>
      <c r="CT118" s="43"/>
      <c r="CU118" s="43"/>
      <c r="CV118" s="43"/>
      <c r="CW118" s="43"/>
      <c r="CX118" s="43"/>
      <c r="CY118" s="43"/>
      <c r="DA118" s="67"/>
      <c r="DB118" s="67"/>
    </row>
    <row r="119" spans="1:117" s="164" customFormat="1" ht="13.5" hidden="1" customHeight="1" outlineLevel="1" thickBot="1">
      <c r="B119" s="223"/>
      <c r="C119" s="224" t="s">
        <v>384</v>
      </c>
      <c r="D119" s="219" t="e">
        <f>D118/#REF!-1</f>
        <v>#REF!</v>
      </c>
      <c r="E119" s="220" t="e">
        <f>E118/#REF!-1</f>
        <v>#REF!</v>
      </c>
      <c r="F119" s="220" t="e">
        <f t="shared" ref="F119:AM119" si="272">F118/A118-1</f>
        <v>#DIV/0!</v>
      </c>
      <c r="G119" s="220" t="e">
        <f t="shared" si="272"/>
        <v>#DIV/0!</v>
      </c>
      <c r="H119" s="220" t="e">
        <f t="shared" si="272"/>
        <v>#VALUE!</v>
      </c>
      <c r="I119" s="417"/>
      <c r="J119" s="220">
        <f t="shared" si="272"/>
        <v>0.3228209691243964</v>
      </c>
      <c r="K119" s="220">
        <f t="shared" si="272"/>
        <v>-0.77702991996716964</v>
      </c>
      <c r="L119" s="220">
        <f t="shared" si="272"/>
        <v>0.17722701582726619</v>
      </c>
      <c r="M119" s="220">
        <f t="shared" si="272"/>
        <v>0.14539533140982508</v>
      </c>
      <c r="N119" s="417"/>
      <c r="O119" s="220">
        <f t="shared" si="272"/>
        <v>0.26570430231929376</v>
      </c>
      <c r="P119" s="220">
        <f t="shared" si="272"/>
        <v>0.25534728833120068</v>
      </c>
      <c r="Q119" s="220">
        <f t="shared" si="272"/>
        <v>0.20904389256413403</v>
      </c>
      <c r="R119" s="220">
        <f t="shared" si="272"/>
        <v>0.20802458831841375</v>
      </c>
      <c r="S119" s="445" t="e">
        <f t="shared" si="272"/>
        <v>#DIV/0!</v>
      </c>
      <c r="T119" s="220">
        <f t="shared" si="272"/>
        <v>2.2098032437809088</v>
      </c>
      <c r="U119" s="220">
        <f t="shared" si="272"/>
        <v>1.9840136826327912</v>
      </c>
      <c r="V119" s="220">
        <f t="shared" si="272"/>
        <v>2.9020789391402042</v>
      </c>
      <c r="W119" s="220">
        <f t="shared" si="272"/>
        <v>3.404794206293051</v>
      </c>
      <c r="X119" s="219">
        <f t="shared" si="272"/>
        <v>2.9472929747005554</v>
      </c>
      <c r="Y119" s="220">
        <f t="shared" si="272"/>
        <v>0.18126373582009347</v>
      </c>
      <c r="Z119" s="220">
        <f t="shared" si="272"/>
        <v>0.35446693561755871</v>
      </c>
      <c r="AA119" s="220">
        <f t="shared" si="272"/>
        <v>0.37352827523814081</v>
      </c>
      <c r="AB119" s="220">
        <f t="shared" si="272"/>
        <v>6.6545872321865263E-2</v>
      </c>
      <c r="AC119" s="219">
        <f t="shared" si="272"/>
        <v>0.13813135185359582</v>
      </c>
      <c r="AD119" s="220">
        <f t="shared" si="272"/>
        <v>0.31792133418301183</v>
      </c>
      <c r="AE119" s="220">
        <f t="shared" si="272"/>
        <v>0.22616868037739568</v>
      </c>
      <c r="AF119" s="220">
        <f t="shared" si="272"/>
        <v>5.3353687991297027E-2</v>
      </c>
      <c r="AG119" s="220">
        <f t="shared" si="272"/>
        <v>0.21925888313881825</v>
      </c>
      <c r="AH119" s="219">
        <f t="shared" si="272"/>
        <v>0.19092438029726644</v>
      </c>
      <c r="AI119" s="220">
        <f t="shared" si="272"/>
        <v>0.28663945864920937</v>
      </c>
      <c r="AJ119" s="220">
        <f t="shared" si="272"/>
        <v>0.40552160475318333</v>
      </c>
      <c r="AK119" s="220">
        <f t="shared" si="272"/>
        <v>0.38604321696637012</v>
      </c>
      <c r="AL119" s="220">
        <f t="shared" si="272"/>
        <v>0.25508519679222474</v>
      </c>
      <c r="AM119" s="219">
        <f t="shared" si="272"/>
        <v>0.33013065016115961</v>
      </c>
      <c r="AN119" s="220">
        <f t="shared" ref="AN119:AW119" si="273">AN118/AI118-1</f>
        <v>0.32469507174666612</v>
      </c>
      <c r="AO119" s="220">
        <f t="shared" si="273"/>
        <v>0.23422517347581584</v>
      </c>
      <c r="AP119" s="220">
        <f t="shared" si="273"/>
        <v>0.18997887352804188</v>
      </c>
      <c r="AQ119" s="220">
        <f t="shared" si="273"/>
        <v>0.23340909775130014</v>
      </c>
      <c r="AR119" s="219">
        <f t="shared" si="273"/>
        <v>0.24212535495207743</v>
      </c>
      <c r="AS119" s="220">
        <f t="shared" si="273"/>
        <v>0.29725583890514762</v>
      </c>
      <c r="AT119" s="220">
        <f t="shared" si="273"/>
        <v>0.28664895711411975</v>
      </c>
      <c r="AU119" s="220">
        <f t="shared" si="273"/>
        <v>0.29850937896290319</v>
      </c>
      <c r="AV119" s="220">
        <f t="shared" si="273"/>
        <v>0.27604969117635125</v>
      </c>
      <c r="AW119" s="219">
        <f t="shared" si="273"/>
        <v>0.28846878969550205</v>
      </c>
      <c r="AX119" s="417"/>
      <c r="AY119" s="417"/>
      <c r="AZ119" s="417"/>
      <c r="BA119" s="417"/>
      <c r="BB119" s="417"/>
      <c r="BC119" s="417"/>
      <c r="BD119" s="417"/>
      <c r="BE119" s="417"/>
      <c r="BF119" s="417"/>
      <c r="BG119" s="417"/>
      <c r="BH119" s="417"/>
      <c r="BI119" s="417"/>
      <c r="BJ119" s="417"/>
      <c r="BK119" s="417"/>
      <c r="BL119" s="417"/>
      <c r="BM119" s="417"/>
      <c r="BN119" s="417"/>
      <c r="BO119" s="417"/>
      <c r="BP119" s="417"/>
      <c r="BQ119" s="417"/>
      <c r="BR119" s="417"/>
      <c r="BS119" s="417"/>
      <c r="BT119" s="417"/>
      <c r="BU119" s="417"/>
      <c r="BV119" s="417"/>
      <c r="BW119" s="417"/>
      <c r="BX119" s="417"/>
      <c r="BY119" s="417"/>
      <c r="BZ119" s="417"/>
      <c r="CA119" s="417"/>
      <c r="CB119" s="417"/>
      <c r="CC119" s="417"/>
      <c r="CD119" s="417"/>
      <c r="CE119" s="417"/>
      <c r="CF119" s="417"/>
      <c r="CG119" s="417"/>
      <c r="CH119" s="417"/>
      <c r="CI119" s="417"/>
      <c r="CJ119" s="417"/>
      <c r="CK119" s="417"/>
      <c r="CL119" s="417"/>
      <c r="CM119" s="417"/>
      <c r="CN119" s="417"/>
      <c r="CO119" s="417"/>
      <c r="CP119" s="417"/>
      <c r="CQ119" s="417"/>
      <c r="CR119" s="417"/>
      <c r="CS119" s="417"/>
      <c r="CT119" s="417"/>
      <c r="CU119" s="417"/>
      <c r="CV119" s="417"/>
      <c r="CW119" s="417"/>
      <c r="CX119" s="417"/>
      <c r="CY119" s="417"/>
      <c r="DA119" s="67"/>
      <c r="DB119" s="67"/>
      <c r="DC119" s="210"/>
      <c r="DD119" s="210"/>
      <c r="DE119" s="210"/>
      <c r="DF119" s="210"/>
      <c r="DG119" s="210"/>
      <c r="DH119" s="210"/>
      <c r="DI119" s="210"/>
      <c r="DJ119" s="210"/>
      <c r="DK119" s="210"/>
      <c r="DL119" s="210"/>
      <c r="DM119" s="210"/>
    </row>
    <row r="120" spans="1:117" collapsed="1">
      <c r="A120" s="42"/>
      <c r="B120" s="207"/>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c r="AA120" s="43"/>
      <c r="AB120" s="43"/>
      <c r="AC120" s="43"/>
      <c r="AD120" s="43"/>
      <c r="AE120" s="43"/>
      <c r="AF120" s="43"/>
      <c r="AG120" s="43"/>
      <c r="AH120" s="208"/>
      <c r="AI120" s="43"/>
      <c r="AJ120" s="43"/>
      <c r="AK120" s="43"/>
      <c r="AL120" s="43"/>
      <c r="AM120" s="208"/>
      <c r="AN120" s="208"/>
      <c r="AO120" s="208"/>
      <c r="AP120" s="208"/>
      <c r="AQ120" s="208"/>
      <c r="AR120" s="208"/>
      <c r="AS120" s="208"/>
      <c r="AT120" s="208"/>
      <c r="AU120" s="208"/>
      <c r="AV120" s="208"/>
      <c r="AW120" s="208"/>
      <c r="AX120" s="208"/>
      <c r="AY120" s="208"/>
      <c r="AZ120" s="208"/>
      <c r="BA120" s="208"/>
      <c r="BB120" s="208"/>
      <c r="BC120" s="208"/>
      <c r="BD120" s="208"/>
      <c r="BE120" s="208"/>
      <c r="BF120" s="208"/>
      <c r="BG120" s="208"/>
      <c r="BH120" s="208"/>
      <c r="BI120" s="208"/>
      <c r="BJ120" s="208"/>
      <c r="BK120" s="208"/>
      <c r="BL120" s="208"/>
      <c r="BM120" s="208"/>
      <c r="BN120" s="208"/>
      <c r="BO120" s="208"/>
      <c r="BP120" s="208"/>
      <c r="BQ120" s="208"/>
      <c r="BR120" s="208"/>
      <c r="BS120" s="208"/>
      <c r="BT120" s="208"/>
      <c r="BU120" s="208"/>
      <c r="BV120" s="208"/>
      <c r="BW120" s="208"/>
      <c r="BX120" s="208"/>
      <c r="BY120" s="208"/>
      <c r="BZ120" s="208"/>
      <c r="CA120" s="208"/>
      <c r="CB120" s="208"/>
      <c r="CC120" s="208"/>
      <c r="CD120" s="208"/>
      <c r="CE120" s="208"/>
      <c r="CF120" s="208"/>
      <c r="CG120" s="208"/>
      <c r="CH120" s="208"/>
      <c r="CI120" s="208"/>
      <c r="CJ120" s="208"/>
      <c r="CK120" s="208"/>
      <c r="CL120" s="208"/>
      <c r="CM120" s="208"/>
      <c r="CN120" s="208"/>
      <c r="CO120" s="208"/>
      <c r="CP120" s="208"/>
      <c r="CQ120" s="208"/>
      <c r="CR120" s="208"/>
      <c r="CS120" s="208"/>
      <c r="CT120" s="208"/>
      <c r="CU120" s="1117">
        <f>CU104/CP104-1</f>
        <v>9.2935462635299171E-2</v>
      </c>
      <c r="CV120" s="208"/>
      <c r="CW120" s="208"/>
      <c r="CX120" s="208"/>
      <c r="CY120" s="208"/>
      <c r="DA120" s="7"/>
      <c r="DB120" s="7"/>
    </row>
    <row r="121" spans="1:117" ht="13.5" thickBot="1">
      <c r="A121" s="42"/>
      <c r="B121" s="207"/>
      <c r="C121" s="43"/>
      <c r="D121" s="43"/>
      <c r="E121" s="43"/>
      <c r="F121" s="43"/>
      <c r="G121" s="43"/>
      <c r="H121" s="43"/>
      <c r="I121" s="43"/>
      <c r="J121" s="43"/>
      <c r="K121" s="43"/>
      <c r="L121" s="43"/>
      <c r="M121" s="43"/>
      <c r="N121" s="43"/>
      <c r="O121" s="43"/>
      <c r="P121" s="43"/>
      <c r="Q121" s="43"/>
      <c r="R121" s="43"/>
      <c r="S121" s="43"/>
      <c r="T121" s="43"/>
      <c r="U121" s="43"/>
      <c r="V121" s="43"/>
      <c r="W121" s="43"/>
      <c r="X121" s="43"/>
      <c r="Y121" s="232"/>
      <c r="Z121" s="232"/>
      <c r="AA121" s="232"/>
      <c r="AB121" s="43"/>
      <c r="AC121" s="43"/>
      <c r="AD121" s="43"/>
      <c r="AE121" s="43"/>
      <c r="AF121" s="43"/>
      <c r="AG121" s="43"/>
      <c r="AH121" s="209"/>
      <c r="AI121" s="43"/>
      <c r="AJ121" s="43"/>
      <c r="AK121" s="43"/>
      <c r="AL121" s="43"/>
      <c r="AM121" s="209"/>
      <c r="AN121" s="209"/>
      <c r="AO121" s="209"/>
      <c r="AP121" s="209"/>
      <c r="AQ121" s="209"/>
      <c r="AR121" s="209"/>
      <c r="AS121" s="209"/>
      <c r="AT121" s="209"/>
      <c r="AU121" s="209"/>
      <c r="AV121" s="209"/>
      <c r="AW121" s="209"/>
      <c r="AX121" s="209"/>
      <c r="AY121" s="209"/>
      <c r="AZ121" s="209"/>
      <c r="BA121" s="209"/>
      <c r="BB121" s="209"/>
      <c r="BC121" s="209"/>
      <c r="BD121" s="209"/>
      <c r="BE121" s="209"/>
      <c r="BF121" s="209"/>
      <c r="BG121" s="209"/>
      <c r="BH121" s="209"/>
      <c r="BI121" s="209"/>
      <c r="BJ121" s="209"/>
      <c r="BK121" s="209"/>
      <c r="BL121" s="209"/>
      <c r="BM121" s="209"/>
      <c r="BN121" s="209"/>
      <c r="BO121" s="209"/>
      <c r="BP121" s="209"/>
      <c r="BQ121" s="209"/>
      <c r="BR121" s="209"/>
      <c r="BS121" s="209"/>
      <c r="BT121" s="209"/>
      <c r="BU121" s="209"/>
      <c r="BV121" s="209"/>
      <c r="BW121" s="209"/>
      <c r="BX121" s="209"/>
      <c r="BY121" s="209"/>
      <c r="BZ121" s="209"/>
      <c r="CA121" s="209"/>
      <c r="CB121" s="209"/>
      <c r="CC121" s="209"/>
      <c r="CD121" s="209"/>
      <c r="CE121" s="209"/>
      <c r="CF121" s="209"/>
      <c r="CG121" s="209"/>
      <c r="CH121" s="209"/>
      <c r="CI121" s="209"/>
      <c r="CJ121" s="209"/>
      <c r="CK121" s="209"/>
      <c r="CL121" s="209"/>
      <c r="CM121" s="209"/>
      <c r="CN121" s="209"/>
      <c r="CO121" s="209"/>
      <c r="CP121" s="209"/>
      <c r="CQ121" s="209"/>
      <c r="CR121" s="209"/>
      <c r="CS121" s="209"/>
      <c r="CT121" s="209"/>
      <c r="CU121" s="209"/>
      <c r="CV121" s="209"/>
      <c r="CW121" s="209"/>
      <c r="CX121" s="209"/>
      <c r="CY121" s="209"/>
      <c r="DA121" s="7"/>
      <c r="DB121" s="7"/>
    </row>
    <row r="122" spans="1:117" s="7" customFormat="1" ht="12.75">
      <c r="C122" s="397" t="s">
        <v>603</v>
      </c>
      <c r="D122" s="47"/>
      <c r="E122" s="421">
        <f>E8+E11+E14+E17</f>
        <v>49221</v>
      </c>
      <c r="F122" s="422">
        <f>F8+F11+F14+F17</f>
        <v>53838</v>
      </c>
      <c r="G122" s="422">
        <f>G8+G11+G14+G17</f>
        <v>55768</v>
      </c>
      <c r="H122" s="423">
        <f>H8+H11+H14+H17</f>
        <v>57100</v>
      </c>
      <c r="I122" s="22"/>
      <c r="J122" s="421">
        <f>J8+J11+J14+J17</f>
        <v>57238</v>
      </c>
      <c r="K122" s="422">
        <f>K8+K11+K14+K17</f>
        <v>60768</v>
      </c>
      <c r="L122" s="422">
        <f>L8+L11+L14+L17</f>
        <v>62377</v>
      </c>
      <c r="M122" s="423">
        <f>M8+M11+M14+M17</f>
        <v>60455</v>
      </c>
      <c r="N122" s="22"/>
      <c r="O122" s="421">
        <f>O8+O11+O14+O17</f>
        <v>60000</v>
      </c>
      <c r="P122" s="422">
        <f>P8+P11+P14+P17</f>
        <v>62450</v>
      </c>
      <c r="Q122" s="422">
        <f>Q8+Q11+Q14+Q17</f>
        <v>63079</v>
      </c>
      <c r="R122" s="423">
        <f>R8+R11+R14+R17</f>
        <v>62318</v>
      </c>
      <c r="S122" s="22"/>
      <c r="T122" s="421">
        <f>T8+T11+T14+T17</f>
        <v>65437</v>
      </c>
      <c r="U122" s="422">
        <f>U8+U11+U14+U17</f>
        <v>66312</v>
      </c>
      <c r="V122" s="422">
        <f>V8+V11+V14+V17</f>
        <v>68405</v>
      </c>
      <c r="W122" s="423">
        <f>W8+W11+W14+W17</f>
        <v>70349</v>
      </c>
      <c r="X122" s="22"/>
      <c r="Y122" s="421">
        <f>Y8+Y11+Y14+Y17</f>
        <v>74030</v>
      </c>
      <c r="Z122" s="422">
        <f>Z8+Z11+Z14+Z17</f>
        <v>80121</v>
      </c>
      <c r="AA122" s="422">
        <f>AA8+AA11+AA14+AA17</f>
        <v>83480</v>
      </c>
      <c r="AB122" s="423">
        <f>AB8+AB11+AB14+AB17</f>
        <v>84789</v>
      </c>
      <c r="AC122" s="22"/>
      <c r="AD122" s="421">
        <f>AD8+AD11+AD14+AD17</f>
        <v>85575</v>
      </c>
      <c r="AE122" s="422">
        <f>AE8+AE11+AE14+AE17</f>
        <v>89643</v>
      </c>
      <c r="AF122" s="422">
        <f>AF8+AF11+AF14+AF17</f>
        <v>94572</v>
      </c>
      <c r="AG122" s="423">
        <f>AG8+AG11+AG14+AG17</f>
        <v>97886</v>
      </c>
      <c r="AH122" s="22"/>
      <c r="AI122" s="421">
        <f>AI8+AI11+AI14+AI17</f>
        <v>99905</v>
      </c>
      <c r="AJ122" s="422">
        <f>AJ8+AJ11+AJ14+AJ17</f>
        <v>108457</v>
      </c>
      <c r="AK122" s="422">
        <f>AK8+AK11+AK14+AK17</f>
        <v>114368</v>
      </c>
      <c r="AL122" s="423">
        <f>AL8+AL11+AL14+AL17</f>
        <v>113437</v>
      </c>
      <c r="AM122" s="22"/>
      <c r="AN122" s="421">
        <f>AN8+AN11+AN14+AN17</f>
        <v>119529</v>
      </c>
      <c r="AO122" s="422">
        <f>AO8+AO11+AO14+AO17</f>
        <v>127666</v>
      </c>
      <c r="AP122" s="422">
        <f>AP8+AP11+AP14+AP17</f>
        <v>133009</v>
      </c>
      <c r="AQ122" s="423">
        <f>AQ8+AQ11+AQ14+AQ17</f>
        <v>145406</v>
      </c>
      <c r="AR122" s="22"/>
      <c r="AS122" s="421">
        <f>AS8+AS11+AS14+AS17</f>
        <v>164804</v>
      </c>
      <c r="AT122" s="422">
        <f>AT8+AT11+AT14+AT17</f>
        <v>170512</v>
      </c>
      <c r="AU122" s="422">
        <f>AU8+AU11+AU14+AU17</f>
        <v>174408</v>
      </c>
      <c r="AV122" s="423">
        <f>AV8+AV11+AV14+AV17</f>
        <v>172546</v>
      </c>
      <c r="AX122" s="421">
        <f>AX8+AX11+AX14+AX17</f>
        <v>178906</v>
      </c>
      <c r="AY122" s="422">
        <f>AY8+AY11+AY14+AY17</f>
        <v>184392</v>
      </c>
      <c r="AZ122" s="422">
        <f>AZ8+AZ11+AZ14+AZ17</f>
        <v>191156</v>
      </c>
      <c r="BA122" s="423">
        <f>BA8+BA11+BA14+BA17</f>
        <v>193904</v>
      </c>
      <c r="BC122" s="421">
        <f>BC8+BC11+BC14+BC17</f>
        <v>194469</v>
      </c>
      <c r="BD122" s="422">
        <f>BD8+BD11+BD14+BD17</f>
        <v>206953</v>
      </c>
      <c r="BE122" s="422">
        <f>BE8+BE11+BE14+BE17</f>
        <v>210158</v>
      </c>
      <c r="BF122" s="423">
        <f>BF8+BF11+BF14+BF17</f>
        <v>211029</v>
      </c>
      <c r="BH122" s="421">
        <f>BH8+BH11+BH14+BH17</f>
        <v>222781</v>
      </c>
      <c r="BI122" s="422">
        <f>BI8+BI11+BI14+BI17</f>
        <v>246655</v>
      </c>
      <c r="BJ122" s="422">
        <f>BJ8+BJ11+BJ14+BJ17</f>
        <v>247897</v>
      </c>
      <c r="BK122" s="423">
        <f>BK8+BK11+BK14+BK17</f>
        <v>250806</v>
      </c>
      <c r="BM122" s="421">
        <f>BM8+BM11+BM14+BM17</f>
        <v>254223</v>
      </c>
      <c r="BN122" s="422">
        <f>BN8+BN11+BN14+BN17</f>
        <v>250986</v>
      </c>
      <c r="BO122" s="422">
        <f>BO8+BO11+BO14+BO17</f>
        <v>260800</v>
      </c>
      <c r="BP122" s="423">
        <f>BP8+BP11+BP14+BP17</f>
        <v>260479</v>
      </c>
      <c r="BR122" s="421">
        <f>BR8+BR11+BR14+BR17</f>
        <v>275696</v>
      </c>
      <c r="BS122" s="422">
        <f>BS8+BS11+BS14+BS17</f>
        <v>380069</v>
      </c>
      <c r="BT122" s="422">
        <f>BT8+BT11+BT14+BT17</f>
        <v>433296</v>
      </c>
      <c r="BU122" s="423">
        <f>BU8+BU11+BU14+BU17</f>
        <v>409518</v>
      </c>
      <c r="BW122" s="421">
        <f>BW8+BW11+BW14+BW17</f>
        <v>432487</v>
      </c>
      <c r="BX122" s="422">
        <f>BX8+BX11+BX14+BX17</f>
        <v>444568</v>
      </c>
      <c r="BY122" s="422">
        <f>BY8+BY11+BY14+BY17</f>
        <v>443502</v>
      </c>
      <c r="BZ122" s="423">
        <f>BZ8+BZ11+BZ14+BZ17</f>
        <v>437827</v>
      </c>
      <c r="CB122" s="421">
        <f>CB8+CB11+CB14+CB17</f>
        <v>456524</v>
      </c>
      <c r="CC122" s="422">
        <f>CC8+CC11+CC14+CC17</f>
        <v>480748</v>
      </c>
      <c r="CD122" s="422">
        <f>CD8+CD11+CD14+CD17</f>
        <v>473800</v>
      </c>
      <c r="CE122" s="423">
        <f>CE8+CE11+CE14+CE17</f>
        <v>465077</v>
      </c>
      <c r="CG122" s="421">
        <f>CG8+CG11+CG14+CG17</f>
        <v>495267</v>
      </c>
      <c r="CH122" s="422">
        <f>CH8+CH11+CH14+CH17</f>
        <v>520919</v>
      </c>
      <c r="CI122" s="422">
        <f>CI8+CI11+CI14+CI17</f>
        <v>527219</v>
      </c>
      <c r="CJ122" s="423">
        <f>CJ8+CJ11+CJ14+CJ17</f>
        <v>526649</v>
      </c>
      <c r="CL122" s="421">
        <f>CL8+CL11+CL14+CL17</f>
        <v>551840</v>
      </c>
      <c r="CM122" s="421">
        <f>CM8+CM11+CM14+CM17</f>
        <v>575810</v>
      </c>
    </row>
    <row r="123" spans="1:117" s="7" customFormat="1" ht="12.75">
      <c r="C123" s="398" t="s">
        <v>604</v>
      </c>
      <c r="D123" s="23">
        <f>D8+D11+D14+D17</f>
        <v>177418</v>
      </c>
      <c r="E123" s="8"/>
      <c r="H123" s="424">
        <f>H122+G122+F122+E122</f>
        <v>215927</v>
      </c>
      <c r="I123" s="22"/>
      <c r="J123" s="425">
        <f>J122+H122+G122+F122</f>
        <v>223944</v>
      </c>
      <c r="K123" s="22">
        <f>K122+J122+H122+G122</f>
        <v>230874</v>
      </c>
      <c r="L123" s="22">
        <f>L122+K122+J122+H122</f>
        <v>237483</v>
      </c>
      <c r="M123" s="424">
        <f>M122+L122+K122+J122</f>
        <v>240838</v>
      </c>
      <c r="N123" s="22"/>
      <c r="O123" s="425">
        <f>O122+M122+L122+K122</f>
        <v>243600</v>
      </c>
      <c r="P123" s="22">
        <f>P122+O122+M122+L122</f>
        <v>245282</v>
      </c>
      <c r="Q123" s="22">
        <f>Q122+P122+O122+M122</f>
        <v>245984</v>
      </c>
      <c r="R123" s="424">
        <f>R122+Q122+P122+O122</f>
        <v>247847</v>
      </c>
      <c r="S123" s="22"/>
      <c r="T123" s="425">
        <f>T122+R122+Q122+P122</f>
        <v>253284</v>
      </c>
      <c r="U123" s="22">
        <f>U122+T122+R122+Q122</f>
        <v>257146</v>
      </c>
      <c r="V123" s="22">
        <f>V122+U122+T122+R122</f>
        <v>262472</v>
      </c>
      <c r="W123" s="424">
        <f>W122+V122+U122+T122</f>
        <v>270503</v>
      </c>
      <c r="X123" s="22"/>
      <c r="Y123" s="425">
        <f>Y122+W122+V122+U122</f>
        <v>279096</v>
      </c>
      <c r="Z123" s="22">
        <f>Z122+Y122+W122+V122</f>
        <v>292905</v>
      </c>
      <c r="AA123" s="22">
        <f>AA122+Z122+Y122+W122</f>
        <v>307980</v>
      </c>
      <c r="AB123" s="424">
        <f>AB122+AA122+Z122+Y122</f>
        <v>322420</v>
      </c>
      <c r="AC123" s="22"/>
      <c r="AD123" s="425">
        <f>AD122+AB122+AA122+Z122</f>
        <v>333965</v>
      </c>
      <c r="AE123" s="22">
        <f>AE122+AD122+AB122+AA122</f>
        <v>343487</v>
      </c>
      <c r="AF123" s="22">
        <f>AF122+AE122+AD122+AB122</f>
        <v>354579</v>
      </c>
      <c r="AG123" s="424">
        <f>AG122+AF122+AE122+AD122</f>
        <v>367676</v>
      </c>
      <c r="AH123" s="22"/>
      <c r="AI123" s="425">
        <f>AI122+AG122+AF122+AE122</f>
        <v>382006</v>
      </c>
      <c r="AJ123" s="22">
        <f>AJ122+AI122+AG122+AF122</f>
        <v>400820</v>
      </c>
      <c r="AK123" s="22">
        <f>AK122+AJ122+AI122+AG122</f>
        <v>420616</v>
      </c>
      <c r="AL123" s="424">
        <f>AL122+AK122+AJ122+AI122</f>
        <v>436167</v>
      </c>
      <c r="AM123" s="22"/>
      <c r="AN123" s="425">
        <f>AN122+AL122+AK122+AJ122</f>
        <v>455791</v>
      </c>
      <c r="AO123" s="22">
        <f>AO122+AN122+AL122+AK122</f>
        <v>475000</v>
      </c>
      <c r="AP123" s="22">
        <f>AP122+AO122+AN122+AL122</f>
        <v>493641</v>
      </c>
      <c r="AQ123" s="424">
        <f>AQ122+AP122+AO122+AN122</f>
        <v>525610</v>
      </c>
      <c r="AR123" s="22"/>
      <c r="AS123" s="425">
        <f>AS122+AQ122+AP122+AO122</f>
        <v>570885</v>
      </c>
      <c r="AT123" s="22">
        <f>AT122+AS122+AQ122+AP122</f>
        <v>613731</v>
      </c>
      <c r="AU123" s="22">
        <f>AU122+AT122+AS122+AQ122</f>
        <v>655130</v>
      </c>
      <c r="AV123" s="424">
        <f>AV122+AU122+AT122+AS122</f>
        <v>682270</v>
      </c>
      <c r="AX123" s="425">
        <f>AX122+AV122+AU122+AT122</f>
        <v>696372</v>
      </c>
      <c r="AY123" s="22">
        <f>AY122+AX122+AV122+AU122</f>
        <v>710252</v>
      </c>
      <c r="AZ123" s="22">
        <f>AZ122+AY122+AX122+AV122</f>
        <v>727000</v>
      </c>
      <c r="BA123" s="424">
        <f>BA122+AZ122+AY122+AX122</f>
        <v>748358</v>
      </c>
      <c r="BC123" s="425">
        <f>BC122+BA122+AZ122+AY122</f>
        <v>763921</v>
      </c>
      <c r="BD123" s="22">
        <f>BD122+BC122+BA122+AZ122</f>
        <v>786482</v>
      </c>
      <c r="BE123" s="22">
        <f>BE122+BD122+BC122+BA122</f>
        <v>805484</v>
      </c>
      <c r="BF123" s="424">
        <f>BF122+BE122+BD122+BC122</f>
        <v>822609</v>
      </c>
      <c r="BH123" s="425">
        <f>BH122+BF122+BE122+BD122</f>
        <v>850921</v>
      </c>
      <c r="BI123" s="22">
        <f>BI122+BH122+BF122+BE122</f>
        <v>890623</v>
      </c>
      <c r="BJ123" s="22">
        <f>BJ122+BI122+BH122+BF122</f>
        <v>928362</v>
      </c>
      <c r="BK123" s="424">
        <f>BK122+BJ122+BI122+BH122</f>
        <v>968139</v>
      </c>
      <c r="BM123" s="425">
        <f>BM122+BK122+BJ122+BI122</f>
        <v>999581</v>
      </c>
      <c r="BN123" s="22">
        <f>BN122+BM122+BK122+BJ122</f>
        <v>1003912</v>
      </c>
      <c r="BO123" s="22">
        <f>BO122+BN122+BM122+BK122</f>
        <v>1016815</v>
      </c>
      <c r="BP123" s="424">
        <f>BP122+BO122+BN122+BM122</f>
        <v>1026488</v>
      </c>
      <c r="BR123" s="425">
        <f>BR122+BP122+BO122+BN122</f>
        <v>1047961</v>
      </c>
      <c r="BS123" s="22">
        <f>BS122+BR122+BP122+BO122</f>
        <v>1177044</v>
      </c>
      <c r="BT123" s="22">
        <f>BT122+BS122+BR122+BP122</f>
        <v>1349540</v>
      </c>
      <c r="BU123" s="424">
        <f>BU122+BT122+BS122+BR122</f>
        <v>1498579</v>
      </c>
      <c r="BW123" s="425">
        <f>BW122+BU122+BT122+BS122</f>
        <v>1655370</v>
      </c>
      <c r="BX123" s="22">
        <f>BX122+BW122+BU122+BT122</f>
        <v>1719869</v>
      </c>
      <c r="BY123" s="22">
        <f>BY122+BX122+BW122+BU122</f>
        <v>1730075</v>
      </c>
      <c r="BZ123" s="424">
        <f>BZ122+BY122+BX122+BW122</f>
        <v>1758384</v>
      </c>
      <c r="CB123" s="425">
        <f>CB122+BZ122+BY122+BX122</f>
        <v>1782421</v>
      </c>
      <c r="CC123" s="22">
        <f>CC122+CB122+BZ122+BY122</f>
        <v>1818601</v>
      </c>
      <c r="CD123" s="22">
        <f>CD122+CC122+CB122+BZ122</f>
        <v>1848899</v>
      </c>
      <c r="CE123" s="424">
        <f>CE122+CD122+CC122+CB122</f>
        <v>1876149</v>
      </c>
      <c r="CG123" s="425">
        <f>CG122+CE122+CD122+CC122</f>
        <v>1914892</v>
      </c>
      <c r="CH123" s="22">
        <f>CH122+CG122+CE122+CD122</f>
        <v>1955063</v>
      </c>
      <c r="CI123" s="22">
        <f>CI122+CH122+CF122+CE122</f>
        <v>1513215</v>
      </c>
      <c r="CJ123" s="424">
        <f>CJ122+CI122+CH122+CG122</f>
        <v>2070054</v>
      </c>
      <c r="CL123" s="425">
        <f>CL122+CJ122+CI122+CH122</f>
        <v>2126627</v>
      </c>
      <c r="CM123" s="425">
        <f>CM122+CK122+CJ122+CI122</f>
        <v>1629678</v>
      </c>
    </row>
    <row r="124" spans="1:117" s="7" customFormat="1" ht="12.75">
      <c r="C124" s="398" t="s">
        <v>605</v>
      </c>
      <c r="D124" s="9"/>
      <c r="E124" s="8"/>
      <c r="H124" s="424">
        <f>H123-D123</f>
        <v>38509</v>
      </c>
      <c r="I124" s="22"/>
      <c r="J124" s="8"/>
      <c r="M124" s="424">
        <f>M123-H123</f>
        <v>24911</v>
      </c>
      <c r="N124" s="22"/>
      <c r="O124" s="425">
        <f t="shared" ref="O124:AV124" si="274">O123-J123</f>
        <v>19656</v>
      </c>
      <c r="P124" s="22">
        <f t="shared" si="274"/>
        <v>14408</v>
      </c>
      <c r="Q124" s="22">
        <f t="shared" si="274"/>
        <v>8501</v>
      </c>
      <c r="R124" s="424">
        <f t="shared" si="274"/>
        <v>7009</v>
      </c>
      <c r="S124" s="22"/>
      <c r="T124" s="425">
        <f t="shared" si="274"/>
        <v>9684</v>
      </c>
      <c r="U124" s="22">
        <f t="shared" si="274"/>
        <v>11864</v>
      </c>
      <c r="V124" s="22">
        <f t="shared" si="274"/>
        <v>16488</v>
      </c>
      <c r="W124" s="424">
        <f t="shared" si="274"/>
        <v>22656</v>
      </c>
      <c r="X124" s="22"/>
      <c r="Y124" s="425">
        <f t="shared" si="274"/>
        <v>25812</v>
      </c>
      <c r="Z124" s="22">
        <f t="shared" si="274"/>
        <v>35759</v>
      </c>
      <c r="AA124" s="22">
        <f t="shared" si="274"/>
        <v>45508</v>
      </c>
      <c r="AB124" s="424">
        <f t="shared" si="274"/>
        <v>51917</v>
      </c>
      <c r="AC124" s="22"/>
      <c r="AD124" s="425">
        <f t="shared" si="274"/>
        <v>54869</v>
      </c>
      <c r="AE124" s="22">
        <f t="shared" si="274"/>
        <v>50582</v>
      </c>
      <c r="AF124" s="22">
        <f t="shared" si="274"/>
        <v>46599</v>
      </c>
      <c r="AG124" s="424">
        <f t="shared" si="274"/>
        <v>45256</v>
      </c>
      <c r="AH124" s="22"/>
      <c r="AI124" s="425">
        <f t="shared" si="274"/>
        <v>48041</v>
      </c>
      <c r="AJ124" s="22">
        <f t="shared" si="274"/>
        <v>57333</v>
      </c>
      <c r="AK124" s="22">
        <f t="shared" si="274"/>
        <v>66037</v>
      </c>
      <c r="AL124" s="424">
        <f t="shared" si="274"/>
        <v>68491</v>
      </c>
      <c r="AM124" s="22"/>
      <c r="AN124" s="425">
        <f t="shared" si="274"/>
        <v>73785</v>
      </c>
      <c r="AO124" s="22">
        <f t="shared" si="274"/>
        <v>74180</v>
      </c>
      <c r="AP124" s="22">
        <f t="shared" si="274"/>
        <v>73025</v>
      </c>
      <c r="AQ124" s="424">
        <f t="shared" si="274"/>
        <v>89443</v>
      </c>
      <c r="AR124" s="22"/>
      <c r="AS124" s="425">
        <f t="shared" si="274"/>
        <v>115094</v>
      </c>
      <c r="AT124" s="22">
        <f t="shared" si="274"/>
        <v>138731</v>
      </c>
      <c r="AU124" s="22">
        <f t="shared" si="274"/>
        <v>161489</v>
      </c>
      <c r="AV124" s="424">
        <f t="shared" si="274"/>
        <v>156660</v>
      </c>
      <c r="AX124" s="425">
        <f>AX123-AS123</f>
        <v>125487</v>
      </c>
      <c r="AY124" s="22">
        <f>AY123-AT123</f>
        <v>96521</v>
      </c>
      <c r="AZ124" s="22">
        <f>AZ123-AU123</f>
        <v>71870</v>
      </c>
      <c r="BA124" s="424">
        <f>BA123-AV123</f>
        <v>66088</v>
      </c>
      <c r="BC124" s="425">
        <f>BC123-AX123</f>
        <v>67549</v>
      </c>
      <c r="BD124" s="22">
        <f>BD123-AY123</f>
        <v>76230</v>
      </c>
      <c r="BE124" s="22">
        <f>BE123-AZ123</f>
        <v>78484</v>
      </c>
      <c r="BF124" s="424">
        <f>BF123-BA123</f>
        <v>74251</v>
      </c>
      <c r="BH124" s="425">
        <f>BH123-BC123</f>
        <v>87000</v>
      </c>
      <c r="BI124" s="22">
        <f>BI123-BD123</f>
        <v>104141</v>
      </c>
      <c r="BJ124" s="22">
        <f>BJ123-BE123</f>
        <v>122878</v>
      </c>
      <c r="BK124" s="424">
        <f>BK123-BF123</f>
        <v>145530</v>
      </c>
      <c r="BM124" s="425">
        <f>BM123-BH123</f>
        <v>148660</v>
      </c>
      <c r="BN124" s="22">
        <f>BN123-BI123</f>
        <v>113289</v>
      </c>
      <c r="BO124" s="22">
        <f>BO123-BJ123</f>
        <v>88453</v>
      </c>
      <c r="BP124" s="424">
        <f>BP123-BK123</f>
        <v>58349</v>
      </c>
      <c r="BR124" s="425">
        <f>BR123-BM123</f>
        <v>48380</v>
      </c>
      <c r="BS124" s="22">
        <f>BS123-BN123</f>
        <v>173132</v>
      </c>
      <c r="BT124" s="22">
        <f>BT123-BO123</f>
        <v>332725</v>
      </c>
      <c r="BU124" s="424">
        <f>BU123-BP123</f>
        <v>472091</v>
      </c>
      <c r="BW124" s="425">
        <f>BW123-BR123</f>
        <v>607409</v>
      </c>
      <c r="BX124" s="22">
        <f>BX123-BS123</f>
        <v>542825</v>
      </c>
      <c r="BY124" s="22">
        <f>BY123-BT123</f>
        <v>380535</v>
      </c>
      <c r="BZ124" s="424">
        <f>BZ123-BU123</f>
        <v>259805</v>
      </c>
      <c r="CB124" s="425">
        <f>CB123-BW123</f>
        <v>127051</v>
      </c>
      <c r="CC124" s="22">
        <f>CC123-BX123</f>
        <v>98732</v>
      </c>
      <c r="CD124" s="22">
        <f>CD123-BY123</f>
        <v>118824</v>
      </c>
      <c r="CE124" s="424">
        <f>CE123-BZ123</f>
        <v>117765</v>
      </c>
      <c r="CG124" s="425">
        <f>CG123-CB123</f>
        <v>132471</v>
      </c>
      <c r="CH124" s="22">
        <f>CH123-CC123</f>
        <v>136462</v>
      </c>
      <c r="CI124" s="22">
        <f>CI123-CD123</f>
        <v>-335684</v>
      </c>
      <c r="CJ124" s="424">
        <f>CJ123-CE123</f>
        <v>193905</v>
      </c>
      <c r="CL124" s="425">
        <f>CL123-CG123</f>
        <v>211735</v>
      </c>
      <c r="CM124" s="425">
        <f>CM123-CH123</f>
        <v>-325385</v>
      </c>
      <c r="DA124" s="432"/>
      <c r="DB124" s="432"/>
    </row>
    <row r="125" spans="1:117" s="7" customFormat="1" ht="12.75">
      <c r="C125" s="398" t="s">
        <v>606</v>
      </c>
      <c r="D125" s="426">
        <v>0.95</v>
      </c>
      <c r="E125" s="427">
        <v>0.95</v>
      </c>
      <c r="F125" s="428">
        <v>0.95</v>
      </c>
      <c r="G125" s="428">
        <v>0.95</v>
      </c>
      <c r="H125" s="429">
        <v>0.95</v>
      </c>
      <c r="I125" s="430"/>
      <c r="J125" s="427">
        <v>0.95</v>
      </c>
      <c r="K125" s="428">
        <v>0.95</v>
      </c>
      <c r="L125" s="428">
        <v>0.95</v>
      </c>
      <c r="M125" s="429">
        <v>0.95</v>
      </c>
      <c r="N125" s="430"/>
      <c r="O125" s="427">
        <v>0.95</v>
      </c>
      <c r="P125" s="428">
        <v>0.95</v>
      </c>
      <c r="Q125" s="428">
        <v>0.95</v>
      </c>
      <c r="R125" s="429">
        <v>0.95</v>
      </c>
      <c r="S125" s="428"/>
      <c r="T125" s="427">
        <v>0.95</v>
      </c>
      <c r="U125" s="428">
        <v>0.95</v>
      </c>
      <c r="V125" s="428">
        <v>0.95</v>
      </c>
      <c r="W125" s="429">
        <v>0.95</v>
      </c>
      <c r="X125" s="430"/>
      <c r="Y125" s="444">
        <v>0.95</v>
      </c>
      <c r="Z125" s="430">
        <v>0.95</v>
      </c>
      <c r="AA125" s="430">
        <v>0.95</v>
      </c>
      <c r="AB125" s="431">
        <v>0.95</v>
      </c>
      <c r="AC125" s="430"/>
      <c r="AD125" s="427">
        <v>0.95</v>
      </c>
      <c r="AE125" s="428">
        <v>0.95</v>
      </c>
      <c r="AF125" s="428">
        <v>0.95</v>
      </c>
      <c r="AG125" s="429">
        <v>0.95</v>
      </c>
      <c r="AH125" s="430"/>
      <c r="AI125" s="427">
        <v>0.95</v>
      </c>
      <c r="AJ125" s="428">
        <v>0.95</v>
      </c>
      <c r="AK125" s="428">
        <v>0.95</v>
      </c>
      <c r="AL125" s="429">
        <v>0.95</v>
      </c>
      <c r="AM125" s="430"/>
      <c r="AN125" s="427">
        <v>0.95</v>
      </c>
      <c r="AO125" s="428">
        <v>0.95</v>
      </c>
      <c r="AP125" s="428">
        <v>0.95</v>
      </c>
      <c r="AQ125" s="429">
        <v>0.95</v>
      </c>
      <c r="AR125" s="430"/>
      <c r="AS125" s="427">
        <v>0.95</v>
      </c>
      <c r="AT125" s="428">
        <v>0.95</v>
      </c>
      <c r="AU125" s="428">
        <v>0.95</v>
      </c>
      <c r="AV125" s="429">
        <v>0.95</v>
      </c>
      <c r="AX125" s="427">
        <v>0.95</v>
      </c>
      <c r="AY125" s="428">
        <v>0.95</v>
      </c>
      <c r="AZ125" s="428">
        <v>0.95</v>
      </c>
      <c r="BA125" s="429">
        <v>0.95</v>
      </c>
      <c r="BC125" s="427">
        <v>0.95</v>
      </c>
      <c r="BD125" s="428">
        <v>0.95</v>
      </c>
      <c r="BE125" s="428">
        <v>0.95</v>
      </c>
      <c r="BF125" s="429">
        <v>0.95</v>
      </c>
      <c r="BH125" s="427">
        <v>0.95</v>
      </c>
      <c r="BI125" s="428">
        <v>0.95</v>
      </c>
      <c r="BJ125" s="428">
        <v>0.95</v>
      </c>
      <c r="BK125" s="429">
        <v>0.95</v>
      </c>
      <c r="BM125" s="427">
        <v>0.95</v>
      </c>
      <c r="BN125" s="428">
        <v>0.95</v>
      </c>
      <c r="BO125" s="428">
        <v>0.95</v>
      </c>
      <c r="BP125" s="429">
        <v>0.95</v>
      </c>
      <c r="BR125" s="427">
        <v>0.95</v>
      </c>
      <c r="BS125" s="428">
        <v>0.95</v>
      </c>
      <c r="BT125" s="428">
        <v>0.95</v>
      </c>
      <c r="BU125" s="429">
        <v>0.95</v>
      </c>
      <c r="BW125" s="427">
        <v>0.95</v>
      </c>
      <c r="BX125" s="428">
        <v>0.95</v>
      </c>
      <c r="BY125" s="428">
        <v>0.95</v>
      </c>
      <c r="BZ125" s="429">
        <v>0.95</v>
      </c>
      <c r="CB125" s="427">
        <v>0.95</v>
      </c>
      <c r="CC125" s="428">
        <v>0.95</v>
      </c>
      <c r="CD125" s="428">
        <v>0.95</v>
      </c>
      <c r="CE125" s="429">
        <v>0.95</v>
      </c>
      <c r="CG125" s="427">
        <v>0.95</v>
      </c>
      <c r="CH125" s="428">
        <v>0.95</v>
      </c>
      <c r="CI125" s="428">
        <v>0.95</v>
      </c>
      <c r="CJ125" s="429">
        <v>0.95</v>
      </c>
      <c r="CL125" s="427">
        <v>0.95</v>
      </c>
      <c r="CM125" s="427">
        <v>1.95</v>
      </c>
      <c r="DA125" s="433"/>
      <c r="DB125" s="432"/>
    </row>
    <row r="126" spans="1:117" s="7" customFormat="1" ht="12.75">
      <c r="C126" s="398" t="s">
        <v>607</v>
      </c>
      <c r="D126" s="23">
        <f>D125*D123</f>
        <v>168547.1</v>
      </c>
      <c r="E126" s="8"/>
      <c r="H126" s="424">
        <f>H125*H123</f>
        <v>205130.65</v>
      </c>
      <c r="I126" s="22"/>
      <c r="J126" s="8"/>
      <c r="M126" s="424">
        <f>M125*M123</f>
        <v>228796.09999999998</v>
      </c>
      <c r="N126" s="22"/>
      <c r="O126" s="425">
        <f t="shared" ref="O126:AV126" si="275">O125*O123</f>
        <v>231420</v>
      </c>
      <c r="P126" s="22">
        <f t="shared" si="275"/>
        <v>233017.9</v>
      </c>
      <c r="Q126" s="22">
        <f t="shared" si="275"/>
        <v>233684.8</v>
      </c>
      <c r="R126" s="424">
        <f t="shared" si="275"/>
        <v>235454.65</v>
      </c>
      <c r="S126" s="22"/>
      <c r="T126" s="425">
        <f t="shared" si="275"/>
        <v>240619.8</v>
      </c>
      <c r="U126" s="22">
        <f t="shared" si="275"/>
        <v>244288.69999999998</v>
      </c>
      <c r="V126" s="22">
        <f t="shared" si="275"/>
        <v>249348.4</v>
      </c>
      <c r="W126" s="424">
        <f t="shared" si="275"/>
        <v>256977.84999999998</v>
      </c>
      <c r="X126" s="22"/>
      <c r="Y126" s="425">
        <f t="shared" si="275"/>
        <v>265141.2</v>
      </c>
      <c r="Z126" s="22">
        <f t="shared" si="275"/>
        <v>278259.75</v>
      </c>
      <c r="AA126" s="22">
        <f t="shared" si="275"/>
        <v>292581</v>
      </c>
      <c r="AB126" s="424">
        <f t="shared" si="275"/>
        <v>306299</v>
      </c>
      <c r="AC126" s="22"/>
      <c r="AD126" s="425">
        <f t="shared" si="275"/>
        <v>317266.75</v>
      </c>
      <c r="AE126" s="22">
        <f t="shared" si="275"/>
        <v>326312.64999999997</v>
      </c>
      <c r="AF126" s="22">
        <f t="shared" si="275"/>
        <v>336850.05</v>
      </c>
      <c r="AG126" s="424">
        <f t="shared" si="275"/>
        <v>349292.2</v>
      </c>
      <c r="AH126" s="22"/>
      <c r="AI126" s="425">
        <f t="shared" si="275"/>
        <v>362905.7</v>
      </c>
      <c r="AJ126" s="22">
        <f t="shared" si="275"/>
        <v>380779</v>
      </c>
      <c r="AK126" s="22">
        <f t="shared" si="275"/>
        <v>399585.19999999995</v>
      </c>
      <c r="AL126" s="424">
        <f t="shared" si="275"/>
        <v>414358.64999999997</v>
      </c>
      <c r="AM126" s="22"/>
      <c r="AN126" s="425">
        <f t="shared" si="275"/>
        <v>433001.44999999995</v>
      </c>
      <c r="AO126" s="22">
        <f t="shared" si="275"/>
        <v>451250</v>
      </c>
      <c r="AP126" s="22">
        <f t="shared" si="275"/>
        <v>468958.94999999995</v>
      </c>
      <c r="AQ126" s="424">
        <f t="shared" si="275"/>
        <v>499329.5</v>
      </c>
      <c r="AR126" s="22"/>
      <c r="AS126" s="425">
        <f t="shared" si="275"/>
        <v>542340.75</v>
      </c>
      <c r="AT126" s="22">
        <f t="shared" si="275"/>
        <v>583044.44999999995</v>
      </c>
      <c r="AU126" s="22">
        <f t="shared" si="275"/>
        <v>622373.5</v>
      </c>
      <c r="AV126" s="424">
        <f t="shared" si="275"/>
        <v>648156.5</v>
      </c>
      <c r="AW126" s="432"/>
      <c r="AX126" s="425">
        <f>AX125*AX123</f>
        <v>661553.4</v>
      </c>
      <c r="AY126" s="22">
        <f>AY125*AY123</f>
        <v>674739.4</v>
      </c>
      <c r="AZ126" s="22">
        <f>AZ125*AZ123</f>
        <v>690650</v>
      </c>
      <c r="BA126" s="424">
        <f>BA125*BA123</f>
        <v>710940.1</v>
      </c>
      <c r="BB126" s="432"/>
      <c r="BC126" s="425">
        <f>BC125*BC123</f>
        <v>725724.95</v>
      </c>
      <c r="BD126" s="22">
        <f>BD125*BD123</f>
        <v>747157.89999999991</v>
      </c>
      <c r="BE126" s="22">
        <f>BE125*BE123</f>
        <v>765209.79999999993</v>
      </c>
      <c r="BF126" s="424">
        <f>BF125*BF123</f>
        <v>781478.54999999993</v>
      </c>
      <c r="BG126" s="432"/>
      <c r="BH126" s="425">
        <f>BH125*BH123</f>
        <v>808374.95</v>
      </c>
      <c r="BI126" s="22">
        <f>BI125*BI123</f>
        <v>846091.85</v>
      </c>
      <c r="BJ126" s="22">
        <f>BJ125*BJ123</f>
        <v>881943.89999999991</v>
      </c>
      <c r="BK126" s="424">
        <f>BK125*BK123</f>
        <v>919732.04999999993</v>
      </c>
      <c r="BL126" s="432"/>
      <c r="BM126" s="425">
        <f>BM125*BM123</f>
        <v>949601.95</v>
      </c>
      <c r="BN126" s="22">
        <f>BN125*BN123</f>
        <v>953716.39999999991</v>
      </c>
      <c r="BO126" s="22">
        <f>BO125*BO123</f>
        <v>965974.25</v>
      </c>
      <c r="BP126" s="424">
        <f>BP125*BP123</f>
        <v>975163.6</v>
      </c>
      <c r="BQ126" s="432"/>
      <c r="BR126" s="425">
        <f>BR125*BR123</f>
        <v>995562.95</v>
      </c>
      <c r="BS126" s="22">
        <f>BS125*BS123</f>
        <v>1118191.8</v>
      </c>
      <c r="BT126" s="22">
        <f>BT125*BT123</f>
        <v>1282063</v>
      </c>
      <c r="BU126" s="424">
        <f>BU125*BU123</f>
        <v>1423650.05</v>
      </c>
      <c r="BV126" s="432"/>
      <c r="BW126" s="425">
        <f>BW125*BW123</f>
        <v>1572601.5</v>
      </c>
      <c r="BX126" s="22">
        <f>BX125*BX123</f>
        <v>1633875.5499999998</v>
      </c>
      <c r="BY126" s="22">
        <f>BY125*BY123</f>
        <v>1643571.25</v>
      </c>
      <c r="BZ126" s="424">
        <f>BZ125*BZ123</f>
        <v>1670464.7999999998</v>
      </c>
      <c r="CA126" s="432"/>
      <c r="CB126" s="425">
        <f>CB125*CB123</f>
        <v>1693299.95</v>
      </c>
      <c r="CC126" s="22">
        <f>CC125*CC123</f>
        <v>1727670.95</v>
      </c>
      <c r="CD126" s="22">
        <f>CD125*CD123</f>
        <v>1756454.0499999998</v>
      </c>
      <c r="CE126" s="424">
        <f>CE125*CE123</f>
        <v>1782341.5499999998</v>
      </c>
      <c r="CF126" s="432"/>
      <c r="CG126" s="425">
        <f>CG125*CG123</f>
        <v>1819147.4</v>
      </c>
      <c r="CH126" s="22">
        <f>CH125*CH123</f>
        <v>1857309.8499999999</v>
      </c>
      <c r="CI126" s="22">
        <f>CI125*CI123</f>
        <v>1437554.25</v>
      </c>
      <c r="CJ126" s="424">
        <f>CJ125*CJ123</f>
        <v>1966551.2999999998</v>
      </c>
      <c r="CK126" s="432"/>
      <c r="CL126" s="425">
        <f>CL125*CL123</f>
        <v>2020295.65</v>
      </c>
      <c r="CM126" s="425">
        <f>CM125*CM123</f>
        <v>3177872.1</v>
      </c>
      <c r="CN126" s="432"/>
      <c r="CO126" s="432"/>
      <c r="CP126" s="432"/>
      <c r="CQ126" s="432"/>
      <c r="CR126" s="432"/>
      <c r="CS126" s="432"/>
      <c r="CT126" s="432"/>
      <c r="CU126" s="432"/>
      <c r="CV126" s="432"/>
      <c r="CW126" s="432"/>
      <c r="CX126" s="432"/>
      <c r="CY126" s="432"/>
      <c r="CZ126" s="432"/>
      <c r="DA126" s="433"/>
      <c r="DB126" s="432"/>
    </row>
    <row r="127" spans="1:117" s="7" customFormat="1" ht="12.75">
      <c r="C127" s="398" t="s">
        <v>608</v>
      </c>
      <c r="D127" s="23">
        <f>D123-D126</f>
        <v>8870.8999999999942</v>
      </c>
      <c r="E127" s="8"/>
      <c r="H127" s="424">
        <f>H123-H126</f>
        <v>10796.350000000006</v>
      </c>
      <c r="I127" s="22"/>
      <c r="J127" s="425"/>
      <c r="K127" s="22"/>
      <c r="L127" s="22"/>
      <c r="M127" s="424">
        <f>M123-M126</f>
        <v>12041.900000000023</v>
      </c>
      <c r="N127" s="22"/>
      <c r="O127" s="425">
        <f t="shared" ref="O127:AV127" si="276">O123-O126</f>
        <v>12180</v>
      </c>
      <c r="P127" s="22">
        <f t="shared" si="276"/>
        <v>12264.100000000006</v>
      </c>
      <c r="Q127" s="22">
        <f t="shared" si="276"/>
        <v>12299.200000000012</v>
      </c>
      <c r="R127" s="424">
        <f>R123-R126</f>
        <v>12392.350000000006</v>
      </c>
      <c r="S127" s="22"/>
      <c r="T127" s="425">
        <f t="shared" si="276"/>
        <v>12664.200000000012</v>
      </c>
      <c r="U127" s="22">
        <f t="shared" si="276"/>
        <v>12857.300000000017</v>
      </c>
      <c r="V127" s="22">
        <f t="shared" si="276"/>
        <v>13123.600000000006</v>
      </c>
      <c r="W127" s="424">
        <f t="shared" si="276"/>
        <v>13525.150000000023</v>
      </c>
      <c r="X127" s="22"/>
      <c r="Y127" s="425">
        <f t="shared" si="276"/>
        <v>13954.799999999988</v>
      </c>
      <c r="Z127" s="22">
        <f t="shared" si="276"/>
        <v>14645.25</v>
      </c>
      <c r="AA127" s="22">
        <f t="shared" si="276"/>
        <v>15399</v>
      </c>
      <c r="AB127" s="424">
        <f t="shared" si="276"/>
        <v>16121</v>
      </c>
      <c r="AC127" s="22"/>
      <c r="AD127" s="425">
        <f t="shared" si="276"/>
        <v>16698.25</v>
      </c>
      <c r="AE127" s="22">
        <f t="shared" si="276"/>
        <v>17174.350000000035</v>
      </c>
      <c r="AF127" s="22">
        <f t="shared" si="276"/>
        <v>17728.950000000012</v>
      </c>
      <c r="AG127" s="424">
        <f t="shared" si="276"/>
        <v>18383.799999999988</v>
      </c>
      <c r="AH127" s="22"/>
      <c r="AI127" s="425">
        <f t="shared" si="276"/>
        <v>19100.299999999988</v>
      </c>
      <c r="AJ127" s="22">
        <f t="shared" si="276"/>
        <v>20041</v>
      </c>
      <c r="AK127" s="22">
        <f t="shared" si="276"/>
        <v>21030.800000000047</v>
      </c>
      <c r="AL127" s="424">
        <f t="shared" si="276"/>
        <v>21808.350000000035</v>
      </c>
      <c r="AM127" s="22"/>
      <c r="AN127" s="425">
        <f t="shared" si="276"/>
        <v>22789.550000000047</v>
      </c>
      <c r="AO127" s="22">
        <f t="shared" si="276"/>
        <v>23750</v>
      </c>
      <c r="AP127" s="22">
        <f t="shared" si="276"/>
        <v>24682.050000000047</v>
      </c>
      <c r="AQ127" s="424">
        <f t="shared" si="276"/>
        <v>26280.5</v>
      </c>
      <c r="AR127" s="22"/>
      <c r="AS127" s="425">
        <f t="shared" si="276"/>
        <v>28544.25</v>
      </c>
      <c r="AT127" s="22">
        <f t="shared" si="276"/>
        <v>30686.550000000047</v>
      </c>
      <c r="AU127" s="22">
        <f t="shared" si="276"/>
        <v>32756.5</v>
      </c>
      <c r="AV127" s="424">
        <f t="shared" si="276"/>
        <v>34113.5</v>
      </c>
      <c r="AW127" s="433"/>
      <c r="AX127" s="425">
        <f>AX123-AX126</f>
        <v>34818.599999999977</v>
      </c>
      <c r="AY127" s="22">
        <f>AY123-AY126</f>
        <v>35512.599999999977</v>
      </c>
      <c r="AZ127" s="22">
        <f>AZ123-AZ126</f>
        <v>36350</v>
      </c>
      <c r="BA127" s="424">
        <f>BA123-BA126</f>
        <v>37417.900000000023</v>
      </c>
      <c r="BB127" s="433"/>
      <c r="BC127" s="425">
        <f>BC123-BC126</f>
        <v>38196.050000000047</v>
      </c>
      <c r="BD127" s="22">
        <f>BD123-BD126</f>
        <v>39324.100000000093</v>
      </c>
      <c r="BE127" s="22">
        <f>BE123-BE126</f>
        <v>40274.20000000007</v>
      </c>
      <c r="BF127" s="424">
        <f>BF123-BF126</f>
        <v>41130.45000000007</v>
      </c>
      <c r="BG127" s="433"/>
      <c r="BH127" s="425">
        <f>BH123-BH126</f>
        <v>42546.050000000047</v>
      </c>
      <c r="BI127" s="22">
        <f>BI123-BI126</f>
        <v>44531.150000000023</v>
      </c>
      <c r="BJ127" s="22">
        <f>BJ123-BJ126</f>
        <v>46418.100000000093</v>
      </c>
      <c r="BK127" s="424">
        <f>BK123-BK126</f>
        <v>48406.95000000007</v>
      </c>
      <c r="BL127" s="433"/>
      <c r="BM127" s="425">
        <f>BM123-BM126</f>
        <v>49979.050000000047</v>
      </c>
      <c r="BN127" s="22">
        <f>BN123-BN126</f>
        <v>50195.600000000093</v>
      </c>
      <c r="BO127" s="22">
        <f>BO123-BO126</f>
        <v>50840.75</v>
      </c>
      <c r="BP127" s="424">
        <f>BP123-BP126</f>
        <v>51324.400000000023</v>
      </c>
      <c r="BQ127" s="433"/>
      <c r="BR127" s="425">
        <f>BR123-BR126</f>
        <v>52398.050000000047</v>
      </c>
      <c r="BS127" s="22">
        <f>BS123-BS126</f>
        <v>58852.199999999953</v>
      </c>
      <c r="BT127" s="22">
        <f>BT123-BT126</f>
        <v>67477</v>
      </c>
      <c r="BU127" s="424">
        <f>BU123-BU126</f>
        <v>74928.949999999953</v>
      </c>
      <c r="BV127" s="433"/>
      <c r="BW127" s="425">
        <f>BW123-BW126</f>
        <v>82768.5</v>
      </c>
      <c r="BX127" s="22">
        <f>BX123-BX126</f>
        <v>85993.450000000186</v>
      </c>
      <c r="BY127" s="22">
        <f>BY123-BY126</f>
        <v>86503.75</v>
      </c>
      <c r="BZ127" s="424">
        <f>BZ123-BZ126</f>
        <v>87919.200000000186</v>
      </c>
      <c r="CA127" s="433"/>
      <c r="CB127" s="425">
        <f>CB123-CB126</f>
        <v>89121.050000000047</v>
      </c>
      <c r="CC127" s="22">
        <f>CC123-CC126</f>
        <v>90930.050000000047</v>
      </c>
      <c r="CD127" s="22">
        <f>CD123-CD126</f>
        <v>92444.950000000186</v>
      </c>
      <c r="CE127" s="424">
        <f>CE123-CE126</f>
        <v>93807.450000000186</v>
      </c>
      <c r="CF127" s="433"/>
      <c r="CG127" s="425">
        <f>CG123-CG126</f>
        <v>95744.600000000093</v>
      </c>
      <c r="CH127" s="22">
        <f>CH123-CH126</f>
        <v>97753.15000000014</v>
      </c>
      <c r="CI127" s="22">
        <f>CI123-CI126</f>
        <v>75660.75</v>
      </c>
      <c r="CJ127" s="424">
        <f>CJ123-CJ126</f>
        <v>103502.70000000019</v>
      </c>
      <c r="CK127" s="433"/>
      <c r="CL127" s="425">
        <f>CL123-CL126</f>
        <v>106331.35000000009</v>
      </c>
      <c r="CM127" s="425">
        <f>CM123-CM126</f>
        <v>-1548194.1</v>
      </c>
      <c r="CN127" s="433"/>
      <c r="CO127" s="433"/>
      <c r="CP127" s="433"/>
      <c r="CQ127" s="433"/>
      <c r="CR127" s="433"/>
      <c r="CS127" s="433"/>
      <c r="CT127" s="433"/>
      <c r="CU127" s="433"/>
      <c r="CV127" s="433"/>
      <c r="CW127" s="433"/>
      <c r="CX127" s="433"/>
      <c r="CY127" s="433"/>
      <c r="CZ127" s="434"/>
      <c r="DA127" s="433"/>
      <c r="DB127" s="432"/>
    </row>
    <row r="128" spans="1:117" s="7" customFormat="1" ht="12.75">
      <c r="C128" s="398" t="s">
        <v>614</v>
      </c>
      <c r="D128" s="9"/>
      <c r="E128" s="8"/>
      <c r="H128" s="424">
        <f>H124+D127</f>
        <v>47379.899999999994</v>
      </c>
      <c r="I128" s="22"/>
      <c r="J128" s="8"/>
      <c r="M128" s="424">
        <f>M124+H127</f>
        <v>35707.350000000006</v>
      </c>
      <c r="N128" s="22"/>
      <c r="O128" s="425">
        <f t="shared" ref="O128:AV128" si="277">O124+J127</f>
        <v>19656</v>
      </c>
      <c r="P128" s="22">
        <f t="shared" si="277"/>
        <v>14408</v>
      </c>
      <c r="Q128" s="22">
        <f t="shared" si="277"/>
        <v>8501</v>
      </c>
      <c r="R128" s="424">
        <f t="shared" si="277"/>
        <v>19050.900000000023</v>
      </c>
      <c r="S128" s="22"/>
      <c r="T128" s="425">
        <f t="shared" si="277"/>
        <v>21864</v>
      </c>
      <c r="U128" s="22">
        <f t="shared" si="277"/>
        <v>24128.100000000006</v>
      </c>
      <c r="V128" s="22">
        <f t="shared" si="277"/>
        <v>28787.200000000012</v>
      </c>
      <c r="W128" s="424">
        <f t="shared" si="277"/>
        <v>35048.350000000006</v>
      </c>
      <c r="X128" s="22"/>
      <c r="Y128" s="425">
        <f t="shared" si="277"/>
        <v>38476.200000000012</v>
      </c>
      <c r="Z128" s="22">
        <f t="shared" si="277"/>
        <v>48616.300000000017</v>
      </c>
      <c r="AA128" s="22">
        <f t="shared" si="277"/>
        <v>58631.600000000006</v>
      </c>
      <c r="AB128" s="424">
        <f t="shared" si="277"/>
        <v>65442.150000000023</v>
      </c>
      <c r="AC128" s="22"/>
      <c r="AD128" s="425">
        <f t="shared" si="277"/>
        <v>68823.799999999988</v>
      </c>
      <c r="AE128" s="22">
        <f t="shared" si="277"/>
        <v>65227.25</v>
      </c>
      <c r="AF128" s="22">
        <f t="shared" si="277"/>
        <v>61998</v>
      </c>
      <c r="AG128" s="424">
        <f t="shared" si="277"/>
        <v>61377</v>
      </c>
      <c r="AH128" s="22"/>
      <c r="AI128" s="425">
        <f t="shared" si="277"/>
        <v>64739.25</v>
      </c>
      <c r="AJ128" s="22">
        <f t="shared" si="277"/>
        <v>74507.350000000035</v>
      </c>
      <c r="AK128" s="22">
        <f t="shared" si="277"/>
        <v>83765.950000000012</v>
      </c>
      <c r="AL128" s="424">
        <f t="shared" si="277"/>
        <v>86874.799999999988</v>
      </c>
      <c r="AM128" s="22"/>
      <c r="AN128" s="425">
        <f t="shared" si="277"/>
        <v>92885.299999999988</v>
      </c>
      <c r="AO128" s="22">
        <f t="shared" si="277"/>
        <v>94221</v>
      </c>
      <c r="AP128" s="22">
        <f t="shared" si="277"/>
        <v>94055.800000000047</v>
      </c>
      <c r="AQ128" s="424">
        <f t="shared" si="277"/>
        <v>111251.35000000003</v>
      </c>
      <c r="AR128" s="22"/>
      <c r="AS128" s="425">
        <f t="shared" si="277"/>
        <v>137883.55000000005</v>
      </c>
      <c r="AT128" s="22">
        <f t="shared" si="277"/>
        <v>162481</v>
      </c>
      <c r="AU128" s="22">
        <f t="shared" si="277"/>
        <v>186171.05000000005</v>
      </c>
      <c r="AV128" s="424">
        <f t="shared" si="277"/>
        <v>182940.5</v>
      </c>
      <c r="AW128" s="433"/>
      <c r="AX128" s="425">
        <f>AX124+AS127</f>
        <v>154031.25</v>
      </c>
      <c r="AY128" s="22">
        <f>AY124+AT127</f>
        <v>127207.55000000005</v>
      </c>
      <c r="AZ128" s="22">
        <f>AZ124+AU127</f>
        <v>104626.5</v>
      </c>
      <c r="BA128" s="424">
        <f>BA124+AV127</f>
        <v>100201.5</v>
      </c>
      <c r="BB128" s="433"/>
      <c r="BC128" s="425">
        <f>BC124+AX127</f>
        <v>102367.59999999998</v>
      </c>
      <c r="BD128" s="22">
        <f>BD124+AY127</f>
        <v>111742.59999999998</v>
      </c>
      <c r="BE128" s="22">
        <f>BE124+AZ127</f>
        <v>114834</v>
      </c>
      <c r="BF128" s="424">
        <f>BF124+BA127</f>
        <v>111668.90000000002</v>
      </c>
      <c r="BG128" s="433"/>
      <c r="BH128" s="425">
        <f>BH124+BC127</f>
        <v>125196.05000000005</v>
      </c>
      <c r="BI128" s="22">
        <f>BI124+BD127</f>
        <v>143465.10000000009</v>
      </c>
      <c r="BJ128" s="22">
        <f>BJ124+BE127</f>
        <v>163152.20000000007</v>
      </c>
      <c r="BK128" s="424">
        <f>BK124+BF127</f>
        <v>186660.45000000007</v>
      </c>
      <c r="BL128" s="433"/>
      <c r="BM128" s="425">
        <f>BM124+BH127</f>
        <v>191206.05000000005</v>
      </c>
      <c r="BN128" s="22">
        <f>BN124+BI127</f>
        <v>157820.15000000002</v>
      </c>
      <c r="BO128" s="22">
        <f>BO124+BJ127</f>
        <v>134871.10000000009</v>
      </c>
      <c r="BP128" s="424">
        <f>BP124+BK127</f>
        <v>106755.95000000007</v>
      </c>
      <c r="BQ128" s="433"/>
      <c r="BR128" s="425">
        <f>BR124+BM127</f>
        <v>98359.050000000047</v>
      </c>
      <c r="BS128" s="22">
        <f>BS124+BN127</f>
        <v>223327.60000000009</v>
      </c>
      <c r="BT128" s="22">
        <f>BT124+BO127</f>
        <v>383565.75</v>
      </c>
      <c r="BU128" s="424">
        <f>BU124+BP127</f>
        <v>523415.4</v>
      </c>
      <c r="BV128" s="433"/>
      <c r="BW128" s="425">
        <f>BW124+BR127</f>
        <v>659807.05000000005</v>
      </c>
      <c r="BX128" s="22">
        <f>BX124+BS127</f>
        <v>601677.19999999995</v>
      </c>
      <c r="BY128" s="22">
        <f>BY124+BT127</f>
        <v>448012</v>
      </c>
      <c r="BZ128" s="424">
        <f>BZ124+BU127</f>
        <v>334733.94999999995</v>
      </c>
      <c r="CA128" s="433"/>
      <c r="CB128" s="425">
        <f>CB124+BW127</f>
        <v>209819.5</v>
      </c>
      <c r="CC128" s="22">
        <f>CC124+BX127</f>
        <v>184725.45000000019</v>
      </c>
      <c r="CD128" s="22">
        <f>CD124+BY127</f>
        <v>205327.75</v>
      </c>
      <c r="CE128" s="424">
        <f>CE124+BZ127</f>
        <v>205684.20000000019</v>
      </c>
      <c r="CF128" s="433"/>
      <c r="CG128" s="425">
        <f>CG124+CB127</f>
        <v>221592.05000000005</v>
      </c>
      <c r="CH128" s="22">
        <f>CH124+CC127</f>
        <v>227392.05000000005</v>
      </c>
      <c r="CI128" s="22">
        <f>CI124+CD127</f>
        <v>-243239.04999999981</v>
      </c>
      <c r="CJ128" s="424">
        <f>CJ124+CE127</f>
        <v>287712.45000000019</v>
      </c>
      <c r="CK128" s="433"/>
      <c r="CL128" s="425">
        <f>CL124+CG127</f>
        <v>307479.60000000009</v>
      </c>
      <c r="CM128" s="425">
        <f>CM124+CH127</f>
        <v>-227631.84999999986</v>
      </c>
      <c r="CN128" s="433"/>
      <c r="CO128" s="433"/>
      <c r="CP128" s="433"/>
      <c r="CQ128" s="433"/>
      <c r="CR128" s="433"/>
      <c r="CS128" s="433"/>
      <c r="CT128" s="433"/>
      <c r="CU128" s="433"/>
      <c r="CV128" s="433"/>
      <c r="CW128" s="433"/>
      <c r="CX128" s="433"/>
      <c r="CY128" s="433"/>
      <c r="CZ128" s="434"/>
    </row>
    <row r="129" spans="3:106" s="7" customFormat="1" thickBot="1">
      <c r="C129" s="399" t="s">
        <v>615</v>
      </c>
      <c r="D129" s="9"/>
      <c r="E129" s="8"/>
      <c r="H129" s="424">
        <f>H128-D127</f>
        <v>38509</v>
      </c>
      <c r="I129" s="22"/>
      <c r="J129" s="48"/>
      <c r="K129" s="49"/>
      <c r="L129" s="49"/>
      <c r="M129" s="435">
        <f>M128-H127</f>
        <v>24911</v>
      </c>
      <c r="N129" s="22"/>
      <c r="O129" s="425">
        <f t="shared" ref="O129:AV129" si="278">O128-J127</f>
        <v>19656</v>
      </c>
      <c r="P129" s="22">
        <f t="shared" si="278"/>
        <v>14408</v>
      </c>
      <c r="Q129" s="22">
        <f t="shared" si="278"/>
        <v>8501</v>
      </c>
      <c r="R129" s="424">
        <f t="shared" si="278"/>
        <v>7009</v>
      </c>
      <c r="S129" s="22"/>
      <c r="T129" s="436">
        <f t="shared" si="278"/>
        <v>9684</v>
      </c>
      <c r="U129" s="93">
        <f t="shared" si="278"/>
        <v>11864</v>
      </c>
      <c r="V129" s="93">
        <f t="shared" si="278"/>
        <v>16488</v>
      </c>
      <c r="W129" s="435">
        <f t="shared" si="278"/>
        <v>22656</v>
      </c>
      <c r="X129" s="22"/>
      <c r="Y129" s="436">
        <f t="shared" si="278"/>
        <v>25812</v>
      </c>
      <c r="Z129" s="93">
        <f t="shared" si="278"/>
        <v>35759</v>
      </c>
      <c r="AA129" s="93">
        <f t="shared" si="278"/>
        <v>45508</v>
      </c>
      <c r="AB129" s="435">
        <f t="shared" si="278"/>
        <v>51917</v>
      </c>
      <c r="AC129" s="22"/>
      <c r="AD129" s="425">
        <f t="shared" si="278"/>
        <v>54869</v>
      </c>
      <c r="AE129" s="22">
        <f t="shared" si="278"/>
        <v>50582</v>
      </c>
      <c r="AF129" s="22">
        <f t="shared" si="278"/>
        <v>46599</v>
      </c>
      <c r="AG129" s="424">
        <f t="shared" si="278"/>
        <v>45256</v>
      </c>
      <c r="AH129" s="22"/>
      <c r="AI129" s="425">
        <f t="shared" si="278"/>
        <v>48041</v>
      </c>
      <c r="AJ129" s="22">
        <f t="shared" si="278"/>
        <v>57333</v>
      </c>
      <c r="AK129" s="22">
        <f t="shared" si="278"/>
        <v>66037</v>
      </c>
      <c r="AL129" s="424">
        <f t="shared" si="278"/>
        <v>68491</v>
      </c>
      <c r="AM129" s="22"/>
      <c r="AN129" s="425">
        <f t="shared" si="278"/>
        <v>73785</v>
      </c>
      <c r="AO129" s="22">
        <f t="shared" si="278"/>
        <v>74180</v>
      </c>
      <c r="AP129" s="22">
        <f t="shared" si="278"/>
        <v>73025</v>
      </c>
      <c r="AQ129" s="424">
        <f t="shared" si="278"/>
        <v>89443</v>
      </c>
      <c r="AR129" s="22"/>
      <c r="AS129" s="425">
        <f t="shared" si="278"/>
        <v>115094</v>
      </c>
      <c r="AT129" s="22">
        <f t="shared" si="278"/>
        <v>138731</v>
      </c>
      <c r="AU129" s="22">
        <f t="shared" si="278"/>
        <v>161489</v>
      </c>
      <c r="AV129" s="424">
        <f t="shared" si="278"/>
        <v>156660</v>
      </c>
      <c r="AW129" s="433"/>
      <c r="AX129" s="425">
        <f>AX128-AS127</f>
        <v>125487</v>
      </c>
      <c r="AY129" s="22">
        <f>AY128-AT127</f>
        <v>96521</v>
      </c>
      <c r="AZ129" s="22">
        <f>AZ128-AU127</f>
        <v>71870</v>
      </c>
      <c r="BA129" s="424">
        <f>BA128-AV127</f>
        <v>66088</v>
      </c>
      <c r="BB129" s="433"/>
      <c r="BC129" s="425">
        <f>BC128-AX127</f>
        <v>67549</v>
      </c>
      <c r="BD129" s="22">
        <f>BD128-AY127</f>
        <v>76230</v>
      </c>
      <c r="BE129" s="22">
        <f>BE128-AZ127</f>
        <v>78484</v>
      </c>
      <c r="BF129" s="424">
        <f>BF128-BA127</f>
        <v>74251</v>
      </c>
      <c r="BG129" s="433"/>
      <c r="BH129" s="425">
        <f>BH128-BC127</f>
        <v>87000</v>
      </c>
      <c r="BI129" s="22">
        <f>BI128-BD127</f>
        <v>104141</v>
      </c>
      <c r="BJ129" s="22">
        <f>BJ128-BE127</f>
        <v>122878</v>
      </c>
      <c r="BK129" s="424">
        <f>BK128-BF127</f>
        <v>145530</v>
      </c>
      <c r="BL129" s="433"/>
      <c r="BM129" s="425">
        <f>BM128-BH127</f>
        <v>148660</v>
      </c>
      <c r="BN129" s="22">
        <f>BN128-BI127</f>
        <v>113289</v>
      </c>
      <c r="BO129" s="22">
        <f>BO128-BJ127</f>
        <v>88453</v>
      </c>
      <c r="BP129" s="424">
        <f>BP128-BK127</f>
        <v>58349</v>
      </c>
      <c r="BQ129" s="433"/>
      <c r="BR129" s="425">
        <f>BR128-BM127</f>
        <v>48380</v>
      </c>
      <c r="BS129" s="22">
        <f>BS128-BN127</f>
        <v>173132</v>
      </c>
      <c r="BT129" s="22">
        <f>BT128-BO127</f>
        <v>332725</v>
      </c>
      <c r="BU129" s="424">
        <f>BU128-BP127</f>
        <v>472091</v>
      </c>
      <c r="BV129" s="433"/>
      <c r="BW129" s="425">
        <f>BW128-BR127</f>
        <v>607409</v>
      </c>
      <c r="BX129" s="22">
        <f>BX128-BS127</f>
        <v>542825</v>
      </c>
      <c r="BY129" s="22">
        <f>BY128-BT127</f>
        <v>380535</v>
      </c>
      <c r="BZ129" s="424">
        <f>BZ128-BU127</f>
        <v>259805</v>
      </c>
      <c r="CA129" s="433"/>
      <c r="CB129" s="425">
        <f>CB128-BW127</f>
        <v>127051</v>
      </c>
      <c r="CC129" s="22">
        <f>CC128-BX127</f>
        <v>98732</v>
      </c>
      <c r="CD129" s="22">
        <f>CD128-BY127</f>
        <v>118824</v>
      </c>
      <c r="CE129" s="424">
        <f>CE128-BZ127</f>
        <v>117765</v>
      </c>
      <c r="CF129" s="433"/>
      <c r="CG129" s="425">
        <f>CG128-CB127</f>
        <v>132471</v>
      </c>
      <c r="CH129" s="22">
        <f>CH128-CC127</f>
        <v>136462</v>
      </c>
      <c r="CI129" s="22">
        <f>CI128-CD127</f>
        <v>-335684</v>
      </c>
      <c r="CJ129" s="424">
        <f>CJ128-CE127</f>
        <v>193905</v>
      </c>
      <c r="CK129" s="433"/>
      <c r="CL129" s="425">
        <f>CL128-CG127</f>
        <v>211735</v>
      </c>
      <c r="CM129" s="425">
        <f>CM128-CH127</f>
        <v>-325385</v>
      </c>
      <c r="CN129" s="433"/>
      <c r="CO129" s="433"/>
      <c r="CP129" s="433"/>
      <c r="CQ129" s="433"/>
      <c r="CR129" s="433"/>
      <c r="CS129" s="433"/>
      <c r="CT129" s="433"/>
      <c r="CU129" s="433"/>
      <c r="CV129" s="433"/>
      <c r="CW129" s="433"/>
      <c r="CX129" s="433"/>
      <c r="CY129" s="433"/>
      <c r="CZ129" s="434"/>
    </row>
    <row r="130" spans="3:106" s="7" customFormat="1" ht="12.75">
      <c r="C130" s="398"/>
      <c r="D130" s="47"/>
      <c r="E130" s="45"/>
      <c r="F130" s="46"/>
      <c r="G130" s="46"/>
      <c r="H130" s="437"/>
      <c r="I130" s="22"/>
      <c r="J130" s="45"/>
      <c r="K130" s="46"/>
      <c r="L130" s="46"/>
      <c r="M130" s="437"/>
      <c r="N130" s="22"/>
      <c r="O130" s="45" t="s">
        <v>611</v>
      </c>
      <c r="P130" s="46"/>
      <c r="Q130" s="46"/>
      <c r="R130" s="437"/>
      <c r="S130" s="22"/>
      <c r="T130" s="88"/>
      <c r="U130" s="46"/>
      <c r="V130" s="46"/>
      <c r="W130" s="437"/>
      <c r="X130" s="22"/>
      <c r="Y130" s="45"/>
      <c r="Z130" s="46"/>
      <c r="AA130" s="46"/>
      <c r="AB130" s="437"/>
      <c r="AC130" s="22"/>
      <c r="AD130" s="45"/>
      <c r="AE130" s="46"/>
      <c r="AF130" s="46"/>
      <c r="AG130" s="437"/>
      <c r="AH130" s="22"/>
      <c r="AI130" s="45"/>
      <c r="AJ130" s="46"/>
      <c r="AK130" s="46"/>
      <c r="AL130" s="437"/>
      <c r="AM130" s="22"/>
      <c r="AN130" s="45"/>
      <c r="AO130" s="46"/>
      <c r="AP130" s="46"/>
      <c r="AQ130" s="437"/>
      <c r="AR130" s="22"/>
      <c r="AS130" s="45"/>
      <c r="AT130" s="46"/>
      <c r="AU130" s="46"/>
      <c r="AV130" s="437"/>
      <c r="AX130" s="45"/>
      <c r="AY130" s="46"/>
      <c r="AZ130" s="46"/>
      <c r="BA130" s="437"/>
      <c r="BC130" s="45"/>
      <c r="BD130" s="46"/>
      <c r="BE130" s="46"/>
      <c r="BF130" s="437"/>
      <c r="BH130" s="45"/>
      <c r="BI130" s="46"/>
      <c r="BJ130" s="46"/>
      <c r="BK130" s="437"/>
      <c r="BM130" s="45"/>
      <c r="BN130" s="46"/>
      <c r="BO130" s="46"/>
      <c r="BP130" s="437"/>
      <c r="BR130" s="45"/>
      <c r="BS130" s="46"/>
      <c r="BT130" s="46"/>
      <c r="BU130" s="437"/>
      <c r="BW130" s="45"/>
      <c r="BX130" s="46"/>
      <c r="BY130" s="46"/>
      <c r="BZ130" s="437"/>
      <c r="CB130" s="45"/>
      <c r="CC130" s="46"/>
      <c r="CD130" s="46"/>
      <c r="CE130" s="437"/>
      <c r="CG130" s="45"/>
      <c r="CH130" s="46"/>
      <c r="CI130" s="46"/>
      <c r="CJ130" s="437"/>
      <c r="CL130" s="45"/>
      <c r="CM130" s="45"/>
    </row>
    <row r="131" spans="3:106" s="7" customFormat="1" ht="12.75">
      <c r="C131" s="398" t="s">
        <v>609</v>
      </c>
      <c r="D131" s="23">
        <f>D46</f>
        <v>51724</v>
      </c>
      <c r="E131" s="8"/>
      <c r="H131" s="424">
        <f>H46+G46+F46+E46</f>
        <v>62923</v>
      </c>
      <c r="I131" s="22"/>
      <c r="J131" s="425">
        <f>J46+H46+G46+F46</f>
        <v>65581</v>
      </c>
      <c r="K131" s="22">
        <f>K46+J46+H46+G46</f>
        <v>67247</v>
      </c>
      <c r="L131" s="22">
        <f>L46+K46+J46+H46</f>
        <v>68376</v>
      </c>
      <c r="M131" s="424">
        <f>M46+L46+K46+J46</f>
        <v>70115</v>
      </c>
      <c r="N131" s="22"/>
      <c r="O131" s="425">
        <f>O46+M46+L46+K46</f>
        <v>70266</v>
      </c>
      <c r="P131" s="22">
        <f>P46+O46+M46+L46</f>
        <v>70621</v>
      </c>
      <c r="Q131" s="22">
        <f>Q46+P46+O46+M46</f>
        <v>70844</v>
      </c>
      <c r="R131" s="424">
        <f>R46+Q46+P46+O46</f>
        <v>69480</v>
      </c>
      <c r="S131" s="22"/>
      <c r="T131" s="425">
        <f>T46+R46+Q46+P46</f>
        <v>67953</v>
      </c>
      <c r="U131" s="22">
        <f>U46+T46+R46+Q46</f>
        <v>67675</v>
      </c>
      <c r="V131" s="22">
        <f>V46+U46+T46+R46</f>
        <v>67716</v>
      </c>
      <c r="W131" s="424">
        <f>W46+V46+U46+T46</f>
        <v>70268</v>
      </c>
      <c r="X131" s="22"/>
      <c r="Y131" s="425">
        <f>Y46+W46+V46+U46</f>
        <v>73982</v>
      </c>
      <c r="Z131" s="22">
        <f>Z46+Y46+W46+V46</f>
        <v>77009</v>
      </c>
      <c r="AA131" s="22">
        <f>AA46+Z46+Y46+W46</f>
        <v>78923</v>
      </c>
      <c r="AB131" s="424">
        <f>AB46+AA46+Z46+Y46</f>
        <v>80379</v>
      </c>
      <c r="AC131" s="22"/>
      <c r="AD131" s="425">
        <f>AD46+AB46+AA46+Z46</f>
        <v>81038</v>
      </c>
      <c r="AE131" s="22">
        <f>AE46+AD46+AB46+AA46</f>
        <v>83261</v>
      </c>
      <c r="AF131" s="22">
        <f>AF46+AE46+AD46+AB46</f>
        <v>85387</v>
      </c>
      <c r="AG131" s="424">
        <f>AG46+AF46+AE46+AD46</f>
        <v>87163</v>
      </c>
      <c r="AH131" s="22"/>
      <c r="AI131" s="425">
        <f>AI46+AG46+AF46+AE46</f>
        <v>89150</v>
      </c>
      <c r="AJ131" s="22">
        <f>AJ46+AI46+AG46+AF46</f>
        <v>91132</v>
      </c>
      <c r="AK131" s="22">
        <f>AK46+AJ46+AI46+AG46</f>
        <v>93598</v>
      </c>
      <c r="AL131" s="424">
        <f>AL46+AK46+AJ46+AI46</f>
        <v>95105</v>
      </c>
      <c r="AM131" s="22"/>
      <c r="AN131" s="425">
        <f>AN46+AL46+AK46+AJ46</f>
        <v>97623</v>
      </c>
      <c r="AO131" s="22">
        <f>AO46+AN46+AL46+AK46</f>
        <v>99572</v>
      </c>
      <c r="AP131" s="22">
        <f>AP46+AO46+AN46+AL46</f>
        <v>102459</v>
      </c>
      <c r="AQ131" s="424">
        <f>AQ46+AP46+AO46+AN46</f>
        <v>109134</v>
      </c>
      <c r="AR131" s="22"/>
      <c r="AS131" s="425">
        <f>AS46+AQ46+AP46+AO46</f>
        <v>119800</v>
      </c>
      <c r="AT131" s="22">
        <f>AT46+AS46+AQ46+AP46</f>
        <v>129875</v>
      </c>
      <c r="AU131" s="22">
        <f>AU46+AT46+AS46+AQ46</f>
        <v>138736</v>
      </c>
      <c r="AV131" s="424">
        <f>AV46+AU46+AT46+AS46</f>
        <v>142960</v>
      </c>
      <c r="AX131" s="425">
        <f>AX46+AV46+AU46+AT46</f>
        <v>143562</v>
      </c>
      <c r="AY131" s="22">
        <f>AY46+AX46+AV46+AU46</f>
        <v>143820</v>
      </c>
      <c r="AZ131" s="22">
        <f>AZ46+AY46+AX46+AV46</f>
        <v>145404</v>
      </c>
      <c r="BA131" s="424">
        <f>BA46+AZ46+AY46+AX46</f>
        <v>147939</v>
      </c>
      <c r="BC131" s="425">
        <f>BC46+BA46+AZ46+AY46</f>
        <v>151262</v>
      </c>
      <c r="BD131" s="22">
        <f>BD46+BC46+BA46+AZ46</f>
        <v>156267</v>
      </c>
      <c r="BE131" s="22">
        <f>BE46+BD46+BC46+BA46</f>
        <v>160605</v>
      </c>
      <c r="BF131" s="424">
        <f>BF46+BE46+BD46+BC46</f>
        <v>167041</v>
      </c>
      <c r="BH131" s="425">
        <f>BH46+BF46+BE46+BD46</f>
        <v>173868</v>
      </c>
      <c r="BI131" s="22">
        <f>BI46+BH46+BF46+BE46</f>
        <v>186152</v>
      </c>
      <c r="BJ131" s="22">
        <f>BJ46+BI46+BH46+BF46</f>
        <v>196585</v>
      </c>
      <c r="BK131" s="424">
        <f>BK46+BJ46+BI46+BH46</f>
        <v>209894</v>
      </c>
      <c r="BM131" s="425">
        <f>BM46+BK46+BJ46+BI46</f>
        <v>189709</v>
      </c>
      <c r="BN131" s="22">
        <f>BN46+BM46+BK46+BJ46</f>
        <v>161508</v>
      </c>
      <c r="BO131" s="22">
        <f>BO46+BN46+BM46+BK46</f>
        <v>139627</v>
      </c>
      <c r="BP131" s="424">
        <f>BP46+BO46+BN46+BM46</f>
        <v>110018</v>
      </c>
      <c r="BR131" s="425">
        <f>BR46+BP46+BO46+BN46</f>
        <v>114862</v>
      </c>
      <c r="BS131" s="22">
        <f>BS46+BR46+BP46+BO46</f>
        <v>129638</v>
      </c>
      <c r="BT131" s="22">
        <f>BT46+BS46+BR46+BP46</f>
        <v>144671</v>
      </c>
      <c r="BU131" s="424">
        <f>BU46+BT46+BS46+BR46</f>
        <v>164001</v>
      </c>
      <c r="BW131" s="425">
        <f>BW46+BU46+BT46+BS46</f>
        <v>177591</v>
      </c>
      <c r="BX131" s="22">
        <f>BX46+BW46+BU46+BT46</f>
        <v>183401</v>
      </c>
      <c r="BY131" s="22">
        <f>BY46+BX46+BW46+BU46</f>
        <v>187034</v>
      </c>
      <c r="BZ131" s="424">
        <f>BZ46+BY46+BX46+BW46</f>
        <v>187727</v>
      </c>
      <c r="CB131" s="425">
        <f>CB46+BZ46+BY46+BX46</f>
        <v>194301</v>
      </c>
      <c r="CC131" s="22">
        <f>CC46+CB46+BZ46+BY46</f>
        <v>207690</v>
      </c>
      <c r="CD131" s="22">
        <f>CD46+CC46+CB46+BZ46</f>
        <v>215893</v>
      </c>
      <c r="CE131" s="424">
        <f>CE46+CD46+CC46+CB46</f>
        <v>226460</v>
      </c>
      <c r="CG131" s="425">
        <f>CG46+CE46+CD46+CC46</f>
        <v>231018</v>
      </c>
      <c r="CH131" s="22">
        <f>CH46+CG46+CE46+CD46</f>
        <v>226012</v>
      </c>
      <c r="CI131" s="22">
        <f>CI46+CH46+CF46+CE46</f>
        <v>391630</v>
      </c>
      <c r="CJ131" s="424">
        <f>CJ46+CI46+CH46+CG46</f>
        <v>217402</v>
      </c>
      <c r="CL131" s="425">
        <f>CL46+CJ46+CI46+CH46</f>
        <v>218326</v>
      </c>
      <c r="CM131" s="425">
        <f>CM46+CK46+CJ46+CI46</f>
        <v>377722</v>
      </c>
    </row>
    <row r="132" spans="3:106" s="7" customFormat="1" thickBot="1">
      <c r="C132" s="398"/>
      <c r="D132" s="26"/>
      <c r="E132" s="48"/>
      <c r="F132" s="49"/>
      <c r="G132" s="49"/>
      <c r="H132" s="438"/>
      <c r="I132" s="22"/>
      <c r="J132" s="8"/>
      <c r="M132" s="222"/>
      <c r="N132" s="22"/>
      <c r="O132" s="8"/>
      <c r="R132" s="222"/>
      <c r="S132" s="22"/>
      <c r="T132" s="11"/>
      <c r="W132" s="222"/>
      <c r="X132" s="22"/>
      <c r="Y132" s="8"/>
      <c r="AB132" s="222"/>
      <c r="AC132" s="22"/>
      <c r="AD132" s="8"/>
      <c r="AG132" s="222"/>
      <c r="AH132" s="22"/>
      <c r="AI132" s="8"/>
      <c r="AL132" s="222"/>
      <c r="AM132" s="22"/>
      <c r="AN132" s="8"/>
      <c r="AQ132" s="222"/>
      <c r="AR132" s="22"/>
      <c r="AS132" s="8"/>
      <c r="AV132" s="222"/>
      <c r="AX132" s="8"/>
      <c r="BA132" s="222"/>
      <c r="BC132" s="8"/>
      <c r="BF132" s="222"/>
      <c r="BH132" s="8"/>
      <c r="BK132" s="222"/>
      <c r="BM132" s="8"/>
      <c r="BP132" s="222"/>
      <c r="BR132" s="8"/>
      <c r="BU132" s="222"/>
      <c r="BW132" s="8"/>
      <c r="BZ132" s="222"/>
      <c r="CB132" s="8"/>
      <c r="CE132" s="222"/>
      <c r="CG132" s="8"/>
      <c r="CJ132" s="222"/>
      <c r="CL132" s="8"/>
      <c r="CM132" s="8"/>
    </row>
    <row r="133" spans="3:106" s="7" customFormat="1" ht="13.5" thickBot="1">
      <c r="C133" s="396" t="s">
        <v>610</v>
      </c>
      <c r="D133" s="26"/>
      <c r="E133" s="48"/>
      <c r="F133" s="49"/>
      <c r="G133" s="49"/>
      <c r="H133" s="442">
        <f>H128/H131</f>
        <v>0.75298221635967766</v>
      </c>
      <c r="I133" s="443"/>
      <c r="J133" s="39"/>
      <c r="K133" s="15"/>
      <c r="L133" s="15"/>
      <c r="M133" s="439">
        <f>M128/M131</f>
        <v>0.50926834486201245</v>
      </c>
      <c r="N133" s="443"/>
      <c r="O133" s="440">
        <f>O128/O131</f>
        <v>0.27973699940227137</v>
      </c>
      <c r="P133" s="441">
        <f>P128/P131</f>
        <v>0.2040186346837343</v>
      </c>
      <c r="Q133" s="441">
        <f>Q128/Q131</f>
        <v>0.11999604765400033</v>
      </c>
      <c r="R133" s="439">
        <f>R128/R131</f>
        <v>0.27419257340241832</v>
      </c>
      <c r="S133" s="443"/>
      <c r="T133" s="116">
        <f>T131/T128</f>
        <v>3.1079857299670692</v>
      </c>
      <c r="U133" s="116">
        <f t="shared" ref="U133:BA133" si="279">U131/U128</f>
        <v>2.8048209349264956</v>
      </c>
      <c r="V133" s="116">
        <f t="shared" si="279"/>
        <v>2.3522954646509548</v>
      </c>
      <c r="W133" s="116">
        <f t="shared" si="279"/>
        <v>2.0048875339352632</v>
      </c>
      <c r="X133" s="116"/>
      <c r="Y133" s="440">
        <f t="shared" si="279"/>
        <v>1.9227990290101407</v>
      </c>
      <c r="Z133" s="441">
        <f t="shared" si="279"/>
        <v>1.584016060457089</v>
      </c>
      <c r="AA133" s="441">
        <f t="shared" si="279"/>
        <v>1.346082999611131</v>
      </c>
      <c r="AB133" s="439">
        <f t="shared" si="279"/>
        <v>1.2282450989156066</v>
      </c>
      <c r="AC133" s="116"/>
      <c r="AD133" s="440">
        <f t="shared" si="279"/>
        <v>1.1774705843036859</v>
      </c>
      <c r="AE133" s="441">
        <f t="shared" si="279"/>
        <v>1.2764757060890961</v>
      </c>
      <c r="AF133" s="441">
        <f t="shared" si="279"/>
        <v>1.377254104971128</v>
      </c>
      <c r="AG133" s="439">
        <f t="shared" si="279"/>
        <v>1.4201248024504294</v>
      </c>
      <c r="AH133" s="116"/>
      <c r="AI133" s="440">
        <f t="shared" si="279"/>
        <v>1.3770626011268281</v>
      </c>
      <c r="AJ133" s="441">
        <f t="shared" si="279"/>
        <v>1.2231276511646161</v>
      </c>
      <c r="AK133" s="441">
        <f t="shared" si="279"/>
        <v>1.1173752580851763</v>
      </c>
      <c r="AL133" s="439">
        <f t="shared" si="279"/>
        <v>1.094736333205947</v>
      </c>
      <c r="AM133" s="116"/>
      <c r="AN133" s="440">
        <f t="shared" si="279"/>
        <v>1.0510059180516187</v>
      </c>
      <c r="AO133" s="441">
        <f t="shared" si="279"/>
        <v>1.0567920102737183</v>
      </c>
      <c r="AP133" s="441">
        <f t="shared" si="279"/>
        <v>1.0893427093278665</v>
      </c>
      <c r="AQ133" s="439">
        <f t="shared" si="279"/>
        <v>0.98096787140111075</v>
      </c>
      <c r="AR133" s="116"/>
      <c r="AS133" s="440">
        <f t="shared" si="279"/>
        <v>0.86884911216747729</v>
      </c>
      <c r="AT133" s="441">
        <f t="shared" si="279"/>
        <v>0.79932422867904551</v>
      </c>
      <c r="AU133" s="441">
        <f t="shared" si="279"/>
        <v>0.745207162982644</v>
      </c>
      <c r="AV133" s="439">
        <f t="shared" si="279"/>
        <v>0.78145626583506655</v>
      </c>
      <c r="AW133" s="116"/>
      <c r="AX133" s="440">
        <f t="shared" si="279"/>
        <v>0.9320316494217894</v>
      </c>
      <c r="AY133" s="441">
        <f t="shared" si="279"/>
        <v>1.1305932706038277</v>
      </c>
      <c r="AZ133" s="441">
        <f t="shared" si="279"/>
        <v>1.3897435162219895</v>
      </c>
      <c r="BA133" s="439">
        <f t="shared" si="279"/>
        <v>1.4764150237271898</v>
      </c>
      <c r="BC133" s="440">
        <f>BC131/BC128</f>
        <v>1.4776355018580101</v>
      </c>
      <c r="BD133" s="441">
        <f>BD131/BD128</f>
        <v>1.398455020735154</v>
      </c>
      <c r="BE133" s="441">
        <f>BE131/BE128</f>
        <v>1.3985840430534511</v>
      </c>
      <c r="BF133" s="439">
        <f>BF131/BF128</f>
        <v>1.4958596350461046</v>
      </c>
      <c r="BH133" s="440">
        <f>BH131/BH128</f>
        <v>1.3887658596257624</v>
      </c>
      <c r="BI133" s="441">
        <f>BI131/BI128</f>
        <v>1.297542050296552</v>
      </c>
      <c r="BJ133" s="441">
        <f>BJ131/BJ128</f>
        <v>1.204917861971827</v>
      </c>
      <c r="BK133" s="439">
        <f>BK131/BK128</f>
        <v>1.1244695917105092</v>
      </c>
      <c r="BM133" s="440">
        <f>BM131/BM128</f>
        <v>0.99217048832921317</v>
      </c>
      <c r="BN133" s="441">
        <f>BN131/BN128</f>
        <v>1.0233674217138937</v>
      </c>
      <c r="BO133" s="441">
        <f>BO131/BO128</f>
        <v>1.035262558101772</v>
      </c>
      <c r="BP133" s="439">
        <f>BP131/BP128</f>
        <v>1.0305561423040115</v>
      </c>
      <c r="BR133" s="440">
        <f>BR131/BR128</f>
        <v>1.167782730719745</v>
      </c>
      <c r="BS133" s="441">
        <f>BS131/BS128</f>
        <v>0.58048355868240176</v>
      </c>
      <c r="BT133" s="441">
        <f>BT131/BT128</f>
        <v>0.37717392650412607</v>
      </c>
      <c r="BU133" s="439">
        <f>BU131/BU128</f>
        <v>0.31332857229649719</v>
      </c>
      <c r="BW133" s="440">
        <f>BW131/BW128</f>
        <v>0.26915596006438547</v>
      </c>
      <c r="BX133" s="441">
        <f>BX131/BX128</f>
        <v>0.30481627025255403</v>
      </c>
      <c r="BY133" s="441">
        <f>BY131/BY128</f>
        <v>0.41747542476540805</v>
      </c>
      <c r="BZ133" s="439">
        <f>BZ131/BZ128</f>
        <v>0.56082449957645475</v>
      </c>
      <c r="CB133" s="440">
        <f>CB131/CB128</f>
        <v>0.92603880954820694</v>
      </c>
      <c r="CC133" s="441">
        <f>CC131/CC128</f>
        <v>1.1243171961416243</v>
      </c>
      <c r="CD133" s="441">
        <f>CD131/CD128</f>
        <v>1.0514555387666791</v>
      </c>
      <c r="CE133" s="439">
        <f>CE131/CE128</f>
        <v>1.1010082446780054</v>
      </c>
      <c r="CG133" s="440">
        <f>CG131/CG128</f>
        <v>1.0425374014997377</v>
      </c>
      <c r="CH133" s="441">
        <f>CH131/CH128</f>
        <v>0.99393096636403933</v>
      </c>
      <c r="CI133" s="441">
        <f>CI131/CI128</f>
        <v>-1.610062200127818</v>
      </c>
      <c r="CJ133" s="439">
        <f>CJ131/CJ128</f>
        <v>0.75562249739279563</v>
      </c>
      <c r="CL133" s="440">
        <f>CL131/CL128</f>
        <v>0.71005035781235548</v>
      </c>
      <c r="CM133" s="440">
        <f>CM131/CM128</f>
        <v>-1.6593547871266707</v>
      </c>
    </row>
    <row r="134" spans="3:106" s="7" customFormat="1" ht="12.75">
      <c r="T134" s="10"/>
    </row>
    <row r="135" spans="3:106" s="7" customFormat="1" thickBot="1">
      <c r="C135" s="7" t="s">
        <v>662</v>
      </c>
      <c r="T135" s="10"/>
      <c r="AS135" s="116">
        <f>AS131/AS124</f>
        <v>1.0408883173753627</v>
      </c>
      <c r="AT135" s="116">
        <f t="shared" ref="AT135:BK135" si="280">AT131/AT124</f>
        <v>0.93616423149836736</v>
      </c>
      <c r="AU135" s="116">
        <f t="shared" si="280"/>
        <v>0.85910495451702595</v>
      </c>
      <c r="AV135" s="116">
        <f t="shared" si="280"/>
        <v>0.91254947019022081</v>
      </c>
      <c r="AW135" s="116"/>
      <c r="AX135" s="116">
        <f t="shared" si="280"/>
        <v>1.1440388247388176</v>
      </c>
      <c r="AY135" s="116">
        <f t="shared" si="280"/>
        <v>1.490038437231276</v>
      </c>
      <c r="AZ135" s="116">
        <f t="shared" si="280"/>
        <v>2.0231529149853902</v>
      </c>
      <c r="BA135" s="116">
        <f t="shared" si="280"/>
        <v>2.2385153129161117</v>
      </c>
      <c r="BB135" s="116"/>
      <c r="BC135" s="116">
        <f t="shared" si="280"/>
        <v>2.2392929577047771</v>
      </c>
      <c r="BD135" s="116">
        <f t="shared" si="280"/>
        <v>2.0499409681227863</v>
      </c>
      <c r="BE135" s="116">
        <f t="shared" si="280"/>
        <v>2.046340655420213</v>
      </c>
      <c r="BF135" s="116">
        <f t="shared" si="280"/>
        <v>2.249680138988027</v>
      </c>
      <c r="BG135" s="116"/>
      <c r="BH135" s="116">
        <f t="shared" si="280"/>
        <v>1.9984827586206897</v>
      </c>
      <c r="BI135" s="116">
        <f t="shared" si="280"/>
        <v>1.7874996399112741</v>
      </c>
      <c r="BJ135" s="116">
        <f t="shared" si="280"/>
        <v>1.5998388645648529</v>
      </c>
      <c r="BK135" s="116">
        <f t="shared" si="280"/>
        <v>1.4422730708444995</v>
      </c>
      <c r="BM135" s="116">
        <f>BM131/BM124</f>
        <v>1.2761267321404548</v>
      </c>
      <c r="BN135" s="116">
        <f>BN131/BN124</f>
        <v>1.4256282604665942</v>
      </c>
      <c r="BO135" s="116">
        <f>BO131/BO124</f>
        <v>1.5785445377771246</v>
      </c>
      <c r="BP135" s="116">
        <f>BP131/BP124</f>
        <v>1.8855164612932527</v>
      </c>
      <c r="BR135" s="116">
        <f>BR131/BR124</f>
        <v>2.3741628772219925</v>
      </c>
      <c r="BS135" s="116">
        <f>BS131/BS124</f>
        <v>0.7487812767137213</v>
      </c>
      <c r="BT135" s="116">
        <f>BT131/BT124</f>
        <v>0.43480652190247199</v>
      </c>
      <c r="BU135" s="116">
        <f>BU131/BU124</f>
        <v>0.34739276961433285</v>
      </c>
      <c r="BW135" s="116">
        <f>BW131/BW124</f>
        <v>0.29237466023717135</v>
      </c>
      <c r="BX135" s="116">
        <f>BX131/BX124</f>
        <v>0.33786395247086998</v>
      </c>
      <c r="BY135" s="116">
        <f>BY131/BY124</f>
        <v>0.49150275270343069</v>
      </c>
      <c r="BZ135" s="116">
        <f>BZ131/BZ124</f>
        <v>0.72256884971420876</v>
      </c>
      <c r="CB135" s="116">
        <f>CB131/CB124</f>
        <v>1.5293149994883943</v>
      </c>
      <c r="CC135" s="116">
        <f>CC131/CC124</f>
        <v>2.103573309565288</v>
      </c>
      <c r="CD135" s="116">
        <f>CD131/CD124</f>
        <v>1.8169140914293409</v>
      </c>
      <c r="CE135" s="116">
        <f>CE131/CE124</f>
        <v>1.9229822103341401</v>
      </c>
      <c r="CG135" s="116">
        <f>CG131/CG124</f>
        <v>1.7439137622573997</v>
      </c>
      <c r="CH135" s="116">
        <f>CH131/CH124</f>
        <v>1.6562266418490128</v>
      </c>
      <c r="CI135" s="116">
        <f>CI131/CI124</f>
        <v>-1.1666626946771368</v>
      </c>
      <c r="CJ135" s="116">
        <f>CJ131/CJ124</f>
        <v>1.1211778963925634</v>
      </c>
      <c r="CL135" s="116">
        <f>CL131/CL124</f>
        <v>1.0311285333081446</v>
      </c>
      <c r="CM135" s="116">
        <f>CM131/CM124</f>
        <v>-1.1608463819782719</v>
      </c>
    </row>
    <row r="136" spans="3:106" s="7" customFormat="1" ht="13.5" thickBot="1">
      <c r="C136" s="500"/>
      <c r="T136" s="10"/>
      <c r="AD136" s="1165" t="s">
        <v>680</v>
      </c>
      <c r="AE136" s="1166"/>
      <c r="AF136" s="1166"/>
      <c r="AG136" s="1167"/>
      <c r="AH136" s="532"/>
      <c r="AI136" s="1165" t="s">
        <v>679</v>
      </c>
      <c r="AJ136" s="1166"/>
      <c r="AK136" s="1166"/>
      <c r="AL136" s="1167"/>
      <c r="AM136" s="532"/>
      <c r="AN136" s="1165" t="s">
        <v>678</v>
      </c>
      <c r="AO136" s="1166"/>
      <c r="AP136" s="1166"/>
      <c r="AQ136" s="1167"/>
      <c r="AR136" s="532"/>
      <c r="AS136" s="1165" t="s">
        <v>661</v>
      </c>
      <c r="AT136" s="1166"/>
      <c r="AU136" s="1166"/>
      <c r="AV136" s="1167"/>
      <c r="AW136" s="532"/>
      <c r="AX136" s="1165" t="s">
        <v>660</v>
      </c>
      <c r="AY136" s="1166"/>
      <c r="AZ136" s="1166"/>
      <c r="BA136" s="1167"/>
      <c r="BB136" s="532"/>
      <c r="BC136" s="1165" t="s">
        <v>659</v>
      </c>
      <c r="BD136" s="1166"/>
      <c r="BE136" s="1166"/>
      <c r="BF136" s="1167"/>
      <c r="BG136" s="532"/>
      <c r="BH136" s="1165" t="s">
        <v>658</v>
      </c>
      <c r="BI136" s="1166"/>
      <c r="BJ136" s="1166"/>
      <c r="BK136" s="1167"/>
      <c r="BL136" s="532"/>
      <c r="BM136" s="1165" t="s">
        <v>676</v>
      </c>
      <c r="BN136" s="1166"/>
      <c r="BO136" s="1166"/>
      <c r="BP136" s="1167"/>
      <c r="BQ136" s="532"/>
      <c r="BR136" s="1165" t="s">
        <v>692</v>
      </c>
      <c r="BS136" s="1166"/>
      <c r="BT136" s="1166"/>
      <c r="BU136" s="1167"/>
      <c r="BV136" s="532"/>
      <c r="BW136" s="1165" t="s">
        <v>976</v>
      </c>
      <c r="BX136" s="1166"/>
      <c r="BY136" s="1166"/>
      <c r="BZ136" s="1167"/>
      <c r="CA136" s="532"/>
      <c r="CB136" s="1165" t="s">
        <v>977</v>
      </c>
      <c r="CC136" s="1166"/>
      <c r="CD136" s="1166"/>
      <c r="CE136" s="1167"/>
      <c r="CF136" s="532"/>
      <c r="CG136" s="1165" t="s">
        <v>978</v>
      </c>
      <c r="CH136" s="1166"/>
      <c r="CI136" s="1166"/>
      <c r="CJ136" s="1167"/>
      <c r="CK136" s="532"/>
      <c r="CL136" s="532"/>
      <c r="CM136" s="532"/>
      <c r="CN136" s="532"/>
      <c r="CO136" s="532"/>
      <c r="CP136" s="532"/>
      <c r="CQ136" s="532"/>
      <c r="CR136" s="532"/>
      <c r="CS136" s="532"/>
      <c r="CT136" s="532"/>
      <c r="CU136" s="532"/>
      <c r="DA136" s="67"/>
      <c r="DB136" s="67"/>
    </row>
    <row r="137" spans="3:106" s="7" customFormat="1" ht="13.5" thickBot="1">
      <c r="C137" s="500"/>
      <c r="T137" s="10"/>
      <c r="AD137" s="531" t="str">
        <f t="shared" ref="AD137:BI137" si="281">AD4</f>
        <v>1Q13</v>
      </c>
      <c r="AE137" s="531" t="str">
        <f t="shared" si="281"/>
        <v>2Q13</v>
      </c>
      <c r="AF137" s="531" t="str">
        <f t="shared" si="281"/>
        <v>3Q13</v>
      </c>
      <c r="AG137" s="531" t="str">
        <f t="shared" si="281"/>
        <v>4Q13</v>
      </c>
      <c r="AH137" s="530">
        <f t="shared" si="281"/>
        <v>2013</v>
      </c>
      <c r="AI137" s="531" t="str">
        <f t="shared" si="281"/>
        <v>1Q14</v>
      </c>
      <c r="AJ137" s="531" t="str">
        <f t="shared" si="281"/>
        <v>2Q14</v>
      </c>
      <c r="AK137" s="531" t="str">
        <f t="shared" si="281"/>
        <v>3Q14</v>
      </c>
      <c r="AL137" s="531" t="str">
        <f t="shared" si="281"/>
        <v>4Q14</v>
      </c>
      <c r="AM137" s="530">
        <f t="shared" si="281"/>
        <v>2014</v>
      </c>
      <c r="AN137" s="531" t="str">
        <f t="shared" si="281"/>
        <v>1Q15</v>
      </c>
      <c r="AO137" s="531" t="str">
        <f t="shared" si="281"/>
        <v>2Q15</v>
      </c>
      <c r="AP137" s="531" t="str">
        <f t="shared" si="281"/>
        <v>3Q15</v>
      </c>
      <c r="AQ137" s="531" t="str">
        <f t="shared" si="281"/>
        <v>4Q15</v>
      </c>
      <c r="AR137" s="530">
        <f t="shared" si="281"/>
        <v>2015</v>
      </c>
      <c r="AS137" s="531" t="str">
        <f t="shared" si="281"/>
        <v>1Q16</v>
      </c>
      <c r="AT137" s="531" t="str">
        <f t="shared" si="281"/>
        <v>2Q16</v>
      </c>
      <c r="AU137" s="531" t="str">
        <f t="shared" si="281"/>
        <v>3Q16</v>
      </c>
      <c r="AV137" s="531" t="str">
        <f t="shared" si="281"/>
        <v>4Q16</v>
      </c>
      <c r="AW137" s="530">
        <f t="shared" si="281"/>
        <v>2016</v>
      </c>
      <c r="AX137" s="531" t="str">
        <f t="shared" si="281"/>
        <v>1Q17</v>
      </c>
      <c r="AY137" s="531" t="str">
        <f t="shared" si="281"/>
        <v>2Q17</v>
      </c>
      <c r="AZ137" s="531" t="str">
        <f t="shared" si="281"/>
        <v>3Q17</v>
      </c>
      <c r="BA137" s="531" t="str">
        <f t="shared" si="281"/>
        <v>4Q17</v>
      </c>
      <c r="BB137" s="530">
        <f t="shared" si="281"/>
        <v>2017</v>
      </c>
      <c r="BC137" s="531" t="str">
        <f t="shared" si="281"/>
        <v>1Q18</v>
      </c>
      <c r="BD137" s="531" t="str">
        <f t="shared" si="281"/>
        <v>2Q18</v>
      </c>
      <c r="BE137" s="531" t="str">
        <f t="shared" si="281"/>
        <v>3Q18</v>
      </c>
      <c r="BF137" s="531" t="str">
        <f t="shared" si="281"/>
        <v>4Q18</v>
      </c>
      <c r="BG137" s="530">
        <f t="shared" si="281"/>
        <v>2018</v>
      </c>
      <c r="BH137" s="531" t="str">
        <f t="shared" si="281"/>
        <v>1Q19</v>
      </c>
      <c r="BI137" s="531" t="str">
        <f t="shared" si="281"/>
        <v>2Q19</v>
      </c>
      <c r="BJ137" s="531" t="str">
        <f t="shared" ref="BJ137:CF137" si="282">BJ4</f>
        <v>3Q19</v>
      </c>
      <c r="BK137" s="531" t="str">
        <f t="shared" si="282"/>
        <v>4Q19</v>
      </c>
      <c r="BL137" s="530">
        <f t="shared" si="282"/>
        <v>2019</v>
      </c>
      <c r="BM137" s="531" t="str">
        <f t="shared" si="282"/>
        <v>1Q20</v>
      </c>
      <c r="BN137" s="531" t="str">
        <f t="shared" si="282"/>
        <v>2Q20</v>
      </c>
      <c r="BO137" s="531" t="str">
        <f t="shared" si="282"/>
        <v>3Q20</v>
      </c>
      <c r="BP137" s="531" t="str">
        <f t="shared" si="282"/>
        <v>4Q20</v>
      </c>
      <c r="BQ137" s="530">
        <f t="shared" si="282"/>
        <v>2020</v>
      </c>
      <c r="BR137" s="531" t="str">
        <f t="shared" si="282"/>
        <v>1Q21</v>
      </c>
      <c r="BS137" s="531" t="str">
        <f t="shared" si="282"/>
        <v>2Q21</v>
      </c>
      <c r="BT137" s="531" t="str">
        <f t="shared" si="282"/>
        <v>3Q21</v>
      </c>
      <c r="BU137" s="531" t="str">
        <f t="shared" si="282"/>
        <v>4Q21</v>
      </c>
      <c r="BV137" s="530">
        <f t="shared" si="282"/>
        <v>2021</v>
      </c>
      <c r="BW137" s="531" t="str">
        <f t="shared" si="282"/>
        <v>1Q22</v>
      </c>
      <c r="BX137" s="531" t="str">
        <f t="shared" si="282"/>
        <v>2Q22</v>
      </c>
      <c r="BY137" s="531" t="str">
        <f t="shared" si="282"/>
        <v>3Q22</v>
      </c>
      <c r="BZ137" s="531" t="str">
        <f t="shared" si="282"/>
        <v>4Q22</v>
      </c>
      <c r="CA137" s="530">
        <f t="shared" si="282"/>
        <v>2022</v>
      </c>
      <c r="CB137" s="531" t="str">
        <f t="shared" si="282"/>
        <v>1Q23</v>
      </c>
      <c r="CC137" s="531" t="str">
        <f t="shared" si="282"/>
        <v>2Q23</v>
      </c>
      <c r="CD137" s="531" t="str">
        <f t="shared" si="282"/>
        <v>3Q23</v>
      </c>
      <c r="CE137" s="531" t="str">
        <f t="shared" si="282"/>
        <v>4Q23</v>
      </c>
      <c r="CF137" s="530">
        <f t="shared" si="282"/>
        <v>2023</v>
      </c>
      <c r="CG137" s="531" t="str">
        <f>CG4</f>
        <v>1Q24</v>
      </c>
      <c r="CH137" s="531" t="str">
        <f>CH4</f>
        <v>2Q24</v>
      </c>
      <c r="CI137" s="531" t="str">
        <f>CI4</f>
        <v>3Q24</v>
      </c>
      <c r="CJ137" s="531" t="str">
        <f t="shared" ref="CJ137" si="283">CJ4</f>
        <v>4Q24</v>
      </c>
      <c r="CK137" s="530">
        <f>CK4</f>
        <v>2024</v>
      </c>
      <c r="CL137" s="531" t="str">
        <f>CL4</f>
        <v>1Q25</v>
      </c>
      <c r="CM137" s="531" t="str">
        <f>CM4</f>
        <v>2Q25</v>
      </c>
      <c r="CN137" s="1018"/>
      <c r="CO137" s="1018"/>
      <c r="CP137" s="1018"/>
      <c r="CQ137" s="1018"/>
      <c r="CR137" s="1018"/>
      <c r="CS137" s="1018"/>
      <c r="CT137" s="1018"/>
      <c r="CU137" s="1018"/>
      <c r="DA137" s="67"/>
      <c r="DB137" s="67"/>
    </row>
    <row r="138" spans="3:106">
      <c r="C138" s="501" t="s">
        <v>390</v>
      </c>
      <c r="AD138" s="528">
        <f t="shared" ref="AD138:BI138" si="284">AD23</f>
        <v>95799</v>
      </c>
      <c r="AE138" s="528">
        <f t="shared" si="284"/>
        <v>103088</v>
      </c>
      <c r="AF138" s="528">
        <f t="shared" si="284"/>
        <v>107021</v>
      </c>
      <c r="AG138" s="528">
        <f t="shared" si="284"/>
        <v>110735</v>
      </c>
      <c r="AH138" s="529">
        <f t="shared" si="284"/>
        <v>416643</v>
      </c>
      <c r="AI138" s="528">
        <f t="shared" si="284"/>
        <v>112626</v>
      </c>
      <c r="AJ138" s="528">
        <f t="shared" si="284"/>
        <v>124371</v>
      </c>
      <c r="AK138" s="528">
        <f t="shared" si="284"/>
        <v>128664</v>
      </c>
      <c r="AL138" s="528">
        <f t="shared" si="284"/>
        <v>127440</v>
      </c>
      <c r="AM138" s="529">
        <f t="shared" si="284"/>
        <v>493101</v>
      </c>
      <c r="AN138" s="528">
        <f t="shared" si="284"/>
        <v>134966</v>
      </c>
      <c r="AO138" s="528">
        <f t="shared" si="284"/>
        <v>146295</v>
      </c>
      <c r="AP138" s="528">
        <f t="shared" si="284"/>
        <v>150845</v>
      </c>
      <c r="AQ138" s="528">
        <f t="shared" si="284"/>
        <v>162139</v>
      </c>
      <c r="AR138" s="529">
        <f t="shared" si="284"/>
        <v>594245</v>
      </c>
      <c r="AS138" s="528">
        <f t="shared" si="284"/>
        <v>184988</v>
      </c>
      <c r="AT138" s="528">
        <f t="shared" si="284"/>
        <v>193749</v>
      </c>
      <c r="AU138" s="528">
        <f t="shared" si="284"/>
        <v>197757</v>
      </c>
      <c r="AV138" s="528">
        <f t="shared" si="284"/>
        <v>195056</v>
      </c>
      <c r="AW138" s="529">
        <f t="shared" si="284"/>
        <v>771550</v>
      </c>
      <c r="AX138" s="528">
        <f t="shared" si="284"/>
        <v>199857</v>
      </c>
      <c r="AY138" s="528">
        <f t="shared" si="284"/>
        <v>209418</v>
      </c>
      <c r="AZ138" s="528">
        <f t="shared" si="284"/>
        <v>214408</v>
      </c>
      <c r="BA138" s="528">
        <f t="shared" si="284"/>
        <v>218086</v>
      </c>
      <c r="BB138" s="529">
        <f t="shared" si="284"/>
        <v>841769</v>
      </c>
      <c r="BC138" s="528">
        <f t="shared" si="284"/>
        <v>221385</v>
      </c>
      <c r="BD138" s="528">
        <f t="shared" si="284"/>
        <v>237722</v>
      </c>
      <c r="BE138" s="528">
        <f t="shared" si="284"/>
        <v>237568</v>
      </c>
      <c r="BF138" s="528">
        <f t="shared" si="284"/>
        <v>243033</v>
      </c>
      <c r="BG138" s="529">
        <f t="shared" si="284"/>
        <v>939708</v>
      </c>
      <c r="BH138" s="528">
        <f t="shared" si="284"/>
        <v>248763</v>
      </c>
      <c r="BI138" s="528">
        <f t="shared" si="284"/>
        <v>277981</v>
      </c>
      <c r="BJ138" s="528">
        <f t="shared" ref="BJ138:CF138" si="285">BJ23</f>
        <v>277187</v>
      </c>
      <c r="BK138" s="528">
        <f t="shared" si="285"/>
        <v>287425</v>
      </c>
      <c r="BL138" s="529">
        <f t="shared" si="285"/>
        <v>1091356</v>
      </c>
      <c r="BM138" s="528">
        <f t="shared" si="285"/>
        <v>276780</v>
      </c>
      <c r="BN138" s="528">
        <f t="shared" si="285"/>
        <v>271329</v>
      </c>
      <c r="BO138" s="528">
        <f t="shared" si="285"/>
        <v>285937</v>
      </c>
      <c r="BP138" s="528">
        <f t="shared" si="285"/>
        <v>283408</v>
      </c>
      <c r="BQ138" s="529">
        <f t="shared" si="285"/>
        <v>1117454</v>
      </c>
      <c r="BR138" s="528">
        <f t="shared" si="285"/>
        <v>294802</v>
      </c>
      <c r="BS138" s="528">
        <f t="shared" si="285"/>
        <v>405363</v>
      </c>
      <c r="BT138" s="528">
        <f t="shared" si="285"/>
        <v>460624</v>
      </c>
      <c r="BU138" s="528">
        <f t="shared" si="285"/>
        <v>434176</v>
      </c>
      <c r="BV138" s="529">
        <f t="shared" si="285"/>
        <v>1594965</v>
      </c>
      <c r="BW138" s="528">
        <f t="shared" si="285"/>
        <v>456108</v>
      </c>
      <c r="BX138" s="528">
        <f t="shared" si="285"/>
        <v>468685</v>
      </c>
      <c r="BY138" s="528">
        <f t="shared" si="285"/>
        <v>473191</v>
      </c>
      <c r="BZ138" s="528">
        <f t="shared" si="285"/>
        <v>452220</v>
      </c>
      <c r="CA138" s="529">
        <f t="shared" si="285"/>
        <v>1850204</v>
      </c>
      <c r="CB138" s="528">
        <f t="shared" si="285"/>
        <v>471853</v>
      </c>
      <c r="CC138" s="528">
        <f t="shared" si="285"/>
        <v>504279</v>
      </c>
      <c r="CD138" s="528">
        <f t="shared" si="285"/>
        <v>494684</v>
      </c>
      <c r="CE138" s="528">
        <f t="shared" si="285"/>
        <v>480935</v>
      </c>
      <c r="CF138" s="529">
        <f t="shared" si="285"/>
        <v>1951751</v>
      </c>
      <c r="CG138" s="528">
        <f>CG23</f>
        <v>512359</v>
      </c>
      <c r="CH138" s="528">
        <f>CH23</f>
        <v>540976</v>
      </c>
      <c r="CI138" s="528">
        <f>CI23</f>
        <v>543337</v>
      </c>
      <c r="CJ138" s="528">
        <f t="shared" ref="CJ138" si="286">CJ23</f>
        <v>541131</v>
      </c>
      <c r="CK138" s="529">
        <f>CK23</f>
        <v>2137803</v>
      </c>
      <c r="CL138" s="528">
        <f>CL23</f>
        <v>565165</v>
      </c>
      <c r="CM138" s="528">
        <f>CM23</f>
        <v>596117</v>
      </c>
      <c r="CN138" s="528"/>
      <c r="CO138" s="528"/>
      <c r="CP138" s="528"/>
      <c r="CQ138" s="528"/>
      <c r="CR138" s="528"/>
      <c r="CS138" s="528"/>
      <c r="CT138" s="528"/>
      <c r="CU138" s="528"/>
    </row>
    <row r="139" spans="3:106" ht="13.5" thickBot="1">
      <c r="C139" s="502" t="s">
        <v>653</v>
      </c>
      <c r="AD139" s="528">
        <f>'Balance Sheet'!AD51-'Balance Sheet'!AB51</f>
        <v>125385</v>
      </c>
      <c r="AE139" s="528">
        <f>'Balance Sheet'!AE51-'Balance Sheet'!AD51</f>
        <v>30518</v>
      </c>
      <c r="AF139" s="528">
        <f>'Balance Sheet'!AF51-'Balance Sheet'!AE51</f>
        <v>-4393</v>
      </c>
      <c r="AG139" s="528">
        <f>'Balance Sheet'!AG51-'Balance Sheet'!AF51</f>
        <v>5228</v>
      </c>
      <c r="AH139" s="527"/>
      <c r="AI139" s="528">
        <f>'Balance Sheet'!AI51-'Balance Sheet'!AG51</f>
        <v>-17440</v>
      </c>
      <c r="AJ139" s="528">
        <f>'Balance Sheet'!AJ51-'Balance Sheet'!AI51</f>
        <v>45280</v>
      </c>
      <c r="AK139" s="528">
        <f>'Balance Sheet'!AK51-'Balance Sheet'!AJ51</f>
        <v>1266</v>
      </c>
      <c r="AL139" s="528">
        <f>'Balance Sheet'!AL51-'Balance Sheet'!AK51</f>
        <v>3368</v>
      </c>
      <c r="AM139" s="527"/>
      <c r="AN139" s="528">
        <f>'Balance Sheet'!AN51-'Balance Sheet'!AL51</f>
        <v>-24506</v>
      </c>
      <c r="AO139" s="528">
        <f>'Balance Sheet'!AO51-'Balance Sheet'!AN51</f>
        <v>36843</v>
      </c>
      <c r="AP139" s="528">
        <f>'Balance Sheet'!AP51-'Balance Sheet'!AO51</f>
        <v>-659</v>
      </c>
      <c r="AQ139" s="528">
        <f>'Balance Sheet'!AQ51-'Balance Sheet'!AP51</f>
        <v>83852</v>
      </c>
      <c r="AR139" s="527"/>
      <c r="AS139" s="528">
        <f>'Cash Flows'!AS24</f>
        <v>-30451</v>
      </c>
      <c r="AT139" s="528">
        <f>'Cash Flows'!AT24</f>
        <v>44910</v>
      </c>
      <c r="AU139" s="528">
        <f>'Cash Flows'!AU24</f>
        <v>3459</v>
      </c>
      <c r="AV139" s="528">
        <f>'Cash Flows'!AV24</f>
        <v>7200</v>
      </c>
      <c r="AW139" s="527"/>
      <c r="AX139" s="528">
        <f>'Balance Sheet'!AX51-'Balance Sheet'!AV51</f>
        <v>-28241</v>
      </c>
      <c r="AY139" s="528">
        <f>'Balance Sheet'!AY51-'Balance Sheet'!AX51</f>
        <v>33655</v>
      </c>
      <c r="AZ139" s="528">
        <f>'Balance Sheet'!AZ51-'Balance Sheet'!AY51</f>
        <v>-7140</v>
      </c>
      <c r="BA139" s="528">
        <f>'Balance Sheet'!BA51-'Balance Sheet'!AZ51</f>
        <v>12104</v>
      </c>
      <c r="BB139" s="527"/>
      <c r="BC139" s="528">
        <f>'Balance Sheet'!BC51-'Balance Sheet'!BA51</f>
        <v>-41962</v>
      </c>
      <c r="BD139" s="528">
        <f>'Balance Sheet'!BD51-'Balance Sheet'!BC51</f>
        <v>48096</v>
      </c>
      <c r="BE139" s="528">
        <f>'Balance Sheet'!BE51-'Balance Sheet'!BD51</f>
        <v>10045</v>
      </c>
      <c r="BF139" s="528">
        <f>'Balance Sheet'!BF51-'Balance Sheet'!BE51</f>
        <v>24022</v>
      </c>
      <c r="BG139" s="527"/>
      <c r="BH139" s="528">
        <f>'Balance Sheet'!BH51-'Balance Sheet'!BF51</f>
        <v>-30594</v>
      </c>
      <c r="BI139" s="528">
        <f>'Balance Sheet'!BI51-'Balance Sheet'!BH51</f>
        <v>48697</v>
      </c>
      <c r="BJ139" s="528">
        <f>'Balance Sheet'!BJ51-'Balance Sheet'!BI51</f>
        <v>22762</v>
      </c>
      <c r="BK139" s="528">
        <f>'Balance Sheet'!BK51-'Balance Sheet'!BJ51</f>
        <v>20893</v>
      </c>
      <c r="BL139" s="527"/>
      <c r="BM139" s="528">
        <f>'Balance Sheet'!BM51-'Balance Sheet'!BK51</f>
        <v>-46568</v>
      </c>
      <c r="BN139" s="528">
        <f>'Balance Sheet'!BN51-'Balance Sheet'!BM51</f>
        <v>57078</v>
      </c>
      <c r="BO139" s="528">
        <f>'Balance Sheet'!BO51-'Balance Sheet'!BN51</f>
        <v>13418</v>
      </c>
      <c r="BP139" s="528">
        <f>'Balance Sheet'!BP51-'Balance Sheet'!BO51</f>
        <v>24756</v>
      </c>
      <c r="BQ139" s="527"/>
      <c r="BR139" s="528">
        <f>'Balance Sheet'!BR51-'Balance Sheet'!BP51</f>
        <v>-40760</v>
      </c>
      <c r="BS139" s="528">
        <f>'Balance Sheet'!BS51-'Balance Sheet'!BR51</f>
        <v>63932</v>
      </c>
      <c r="BT139" s="528">
        <f>'Balance Sheet'!BT51-'Balance Sheet'!BS51</f>
        <v>10753</v>
      </c>
      <c r="BU139" s="528">
        <f>'Balance Sheet'!BU51-'Balance Sheet'!BT51</f>
        <v>15264</v>
      </c>
      <c r="BV139" s="527"/>
      <c r="BW139" s="528">
        <f>'Balance Sheet'!BW51-'Balance Sheet'!BU51</f>
        <v>-55889</v>
      </c>
      <c r="BX139" s="528">
        <f>'Balance Sheet'!BX51-'Balance Sheet'!BW51</f>
        <v>73910</v>
      </c>
      <c r="BY139" s="528">
        <f>'Balance Sheet'!BY51-'Balance Sheet'!BX51</f>
        <v>3118</v>
      </c>
      <c r="BZ139" s="528">
        <f>'Balance Sheet'!BZ51-'Balance Sheet'!BY51</f>
        <v>38869</v>
      </c>
      <c r="CA139" s="527"/>
      <c r="CB139" s="528">
        <f>'Balance Sheet'!CB51-'Balance Sheet'!BZ51</f>
        <v>-71580</v>
      </c>
      <c r="CC139" s="528">
        <f>'Balance Sheet'!CC51-'Balance Sheet'!CB51</f>
        <v>68009</v>
      </c>
      <c r="CD139" s="528">
        <f>'Balance Sheet'!CD51-'Balance Sheet'!CC51</f>
        <v>34162</v>
      </c>
      <c r="CE139" s="528">
        <f>'Balance Sheet'!CE51-'Balance Sheet'!CD51</f>
        <v>32044</v>
      </c>
      <c r="CF139" s="527"/>
      <c r="CG139" s="528">
        <f>'Balance Sheet'!CG51-'Balance Sheet'!CE51</f>
        <v>-61339</v>
      </c>
      <c r="CH139" s="528">
        <f>'Balance Sheet'!CH51-'Balance Sheet'!CG51</f>
        <v>80431</v>
      </c>
      <c r="CI139" s="528">
        <f>'Balance Sheet'!CI51-'Balance Sheet'!CH51</f>
        <v>30120</v>
      </c>
      <c r="CJ139" s="528">
        <f>'Balance Sheet'!CJ51-'Balance Sheet'!CI51</f>
        <v>41392</v>
      </c>
      <c r="CK139" s="527"/>
      <c r="CL139" s="528">
        <f>'Balance Sheet'!CL51-'Balance Sheet'!CJ51</f>
        <v>-59059</v>
      </c>
      <c r="CM139" s="528">
        <f>'Balance Sheet'!CM51-'Balance Sheet'!CK51</f>
        <v>743375</v>
      </c>
      <c r="CN139" s="1019"/>
      <c r="CO139" s="1019"/>
      <c r="CP139" s="1019"/>
      <c r="CQ139" s="1019"/>
      <c r="CR139" s="1019"/>
      <c r="CS139" s="1019"/>
      <c r="CT139" s="1019"/>
      <c r="CU139" s="1019"/>
    </row>
    <row r="140" spans="3:106" ht="13.5" thickBot="1">
      <c r="C140" s="503" t="s">
        <v>654</v>
      </c>
      <c r="AD140" s="526">
        <f>AD139+AD138</f>
        <v>221184</v>
      </c>
      <c r="AE140" s="526">
        <f>AE139+AE138</f>
        <v>133606</v>
      </c>
      <c r="AF140" s="526">
        <f>AF139+AF138</f>
        <v>102628</v>
      </c>
      <c r="AG140" s="526">
        <f>AG139+AG138</f>
        <v>115963</v>
      </c>
      <c r="AH140" s="525">
        <f>SUM(AD140:AG140)</f>
        <v>573381</v>
      </c>
      <c r="AI140" s="526">
        <f>AI139+AI138</f>
        <v>95186</v>
      </c>
      <c r="AJ140" s="526">
        <f>AJ139+AJ138</f>
        <v>169651</v>
      </c>
      <c r="AK140" s="526">
        <f>AK139+AK138</f>
        <v>129930</v>
      </c>
      <c r="AL140" s="526">
        <f>AL139+AL138</f>
        <v>130808</v>
      </c>
      <c r="AM140" s="525">
        <f>SUM(AI140:AL140)</f>
        <v>525575</v>
      </c>
      <c r="AN140" s="526">
        <f>AN139+AN138</f>
        <v>110460</v>
      </c>
      <c r="AO140" s="526">
        <f>AO139+AO138</f>
        <v>183138</v>
      </c>
      <c r="AP140" s="526">
        <f>AP139+AP138</f>
        <v>150186</v>
      </c>
      <c r="AQ140" s="526">
        <f>AQ139+AQ138</f>
        <v>245991</v>
      </c>
      <c r="AR140" s="525">
        <f>SUM(AN140:AQ140)</f>
        <v>689775</v>
      </c>
      <c r="AS140" s="526">
        <f>AS138+AS139</f>
        <v>154537</v>
      </c>
      <c r="AT140" s="526">
        <f>AT138+AT139</f>
        <v>238659</v>
      </c>
      <c r="AU140" s="526">
        <f>AU138+AU139</f>
        <v>201216</v>
      </c>
      <c r="AV140" s="526">
        <f>AV138+AV139</f>
        <v>202256</v>
      </c>
      <c r="AW140" s="525">
        <f>SUM(AS140:AV140)</f>
        <v>796668</v>
      </c>
      <c r="AX140" s="526">
        <f>AX139+AX138</f>
        <v>171616</v>
      </c>
      <c r="AY140" s="526">
        <f>AY139+AY138</f>
        <v>243073</v>
      </c>
      <c r="AZ140" s="526">
        <f>AZ139+AZ138</f>
        <v>207268</v>
      </c>
      <c r="BA140" s="526">
        <f>BA139+BA138</f>
        <v>230190</v>
      </c>
      <c r="BB140" s="525">
        <f>SUM(AX140:BA140)</f>
        <v>852147</v>
      </c>
      <c r="BC140" s="526">
        <f>BC139+BC138</f>
        <v>179423</v>
      </c>
      <c r="BD140" s="526">
        <f>BD139+BD138</f>
        <v>285818</v>
      </c>
      <c r="BE140" s="526">
        <f>BE139+BE138</f>
        <v>247613</v>
      </c>
      <c r="BF140" s="526">
        <f>BF139+BF138</f>
        <v>267055</v>
      </c>
      <c r="BG140" s="525">
        <f>SUM(BC140:BF140)</f>
        <v>979909</v>
      </c>
      <c r="BH140" s="526">
        <f>BH139+BH138</f>
        <v>218169</v>
      </c>
      <c r="BI140" s="526">
        <f>BI139+BI138</f>
        <v>326678</v>
      </c>
      <c r="BJ140" s="526">
        <f>BJ139+BJ138</f>
        <v>299949</v>
      </c>
      <c r="BK140" s="526">
        <f>BK139+BK138</f>
        <v>308318</v>
      </c>
      <c r="BL140" s="525">
        <f>SUM(BH140:BK140)</f>
        <v>1153114</v>
      </c>
      <c r="BM140" s="526">
        <f>BM139+BM138</f>
        <v>230212</v>
      </c>
      <c r="BN140" s="526">
        <f>BN139+BN138</f>
        <v>328407</v>
      </c>
      <c r="BO140" s="526">
        <f>BO139+BO138</f>
        <v>299355</v>
      </c>
      <c r="BP140" s="526">
        <f>BP139+BP138</f>
        <v>308164</v>
      </c>
      <c r="BQ140" s="525">
        <f>SUM(BM140:BP140)</f>
        <v>1166138</v>
      </c>
      <c r="BR140" s="526">
        <f>BR139+BR138</f>
        <v>254042</v>
      </c>
      <c r="BS140" s="526">
        <f>BS139+BS138</f>
        <v>469295</v>
      </c>
      <c r="BT140" s="526">
        <f>BT139+BT138</f>
        <v>471377</v>
      </c>
      <c r="BU140" s="526">
        <f>BU139+BU138</f>
        <v>449440</v>
      </c>
      <c r="BV140" s="525">
        <f>SUM(BR140:BU140)</f>
        <v>1644154</v>
      </c>
      <c r="BW140" s="526">
        <f>BW139+BW138</f>
        <v>400219</v>
      </c>
      <c r="BX140" s="526">
        <f>BX139+BX138</f>
        <v>542595</v>
      </c>
      <c r="BY140" s="526">
        <f>BY139+BY138</f>
        <v>476309</v>
      </c>
      <c r="BZ140" s="526">
        <f>BZ139+BZ138</f>
        <v>491089</v>
      </c>
      <c r="CA140" s="525">
        <f>SUM(BW140:BZ140)</f>
        <v>1910212</v>
      </c>
      <c r="CB140" s="526">
        <f>CB139+CB138</f>
        <v>400273</v>
      </c>
      <c r="CC140" s="526">
        <f>CC139+CC138</f>
        <v>572288</v>
      </c>
      <c r="CD140" s="526">
        <f>CD139+CD138</f>
        <v>528846</v>
      </c>
      <c r="CE140" s="526">
        <f>CE139+CE138</f>
        <v>512979</v>
      </c>
      <c r="CF140" s="525">
        <f>SUM(CB140:CE140)</f>
        <v>2014386</v>
      </c>
      <c r="CG140" s="526">
        <f>CG139+CG138</f>
        <v>451020</v>
      </c>
      <c r="CH140" s="526">
        <f>CH139+CH138</f>
        <v>621407</v>
      </c>
      <c r="CI140" s="526">
        <f>CI139+CI138</f>
        <v>573457</v>
      </c>
      <c r="CJ140" s="526">
        <f>CJ139+CJ138</f>
        <v>582523</v>
      </c>
      <c r="CK140" s="525">
        <f>SUM(CG140:CJ140)</f>
        <v>2228407</v>
      </c>
      <c r="CL140" s="526">
        <f>CL139+CL138</f>
        <v>506106</v>
      </c>
      <c r="CM140" s="526">
        <f>CM139+CM138</f>
        <v>1339492</v>
      </c>
      <c r="CN140" s="1020"/>
      <c r="CO140" s="1020"/>
      <c r="CP140" s="1020"/>
      <c r="CQ140" s="1020"/>
      <c r="CR140" s="1020"/>
      <c r="CS140" s="1020"/>
      <c r="CT140" s="1020"/>
      <c r="CU140" s="1020"/>
    </row>
    <row r="141" spans="3:106">
      <c r="C141" s="504" t="s">
        <v>655</v>
      </c>
      <c r="AD141" s="518" t="e">
        <f t="shared" ref="AD141:AV141" si="287">AD140/Y140-1</f>
        <v>#DIV/0!</v>
      </c>
      <c r="AE141" s="518" t="e">
        <f t="shared" si="287"/>
        <v>#DIV/0!</v>
      </c>
      <c r="AF141" s="518" t="e">
        <f t="shared" si="287"/>
        <v>#DIV/0!</v>
      </c>
      <c r="AG141" s="518" t="e">
        <f t="shared" si="287"/>
        <v>#DIV/0!</v>
      </c>
      <c r="AH141" s="524" t="e">
        <f t="shared" si="287"/>
        <v>#DIV/0!</v>
      </c>
      <c r="AI141" s="518">
        <f t="shared" si="287"/>
        <v>-0.56965241608796302</v>
      </c>
      <c r="AJ141" s="518">
        <f t="shared" si="287"/>
        <v>0.26978578806341025</v>
      </c>
      <c r="AK141" s="518">
        <f t="shared" si="287"/>
        <v>0.26602876407997811</v>
      </c>
      <c r="AL141" s="518">
        <f t="shared" si="287"/>
        <v>0.1280149702922484</v>
      </c>
      <c r="AM141" s="524">
        <f t="shared" si="287"/>
        <v>-8.3375626328741292E-2</v>
      </c>
      <c r="AN141" s="518">
        <f t="shared" si="287"/>
        <v>0.16046477423150463</v>
      </c>
      <c r="AO141" s="518">
        <f t="shared" si="287"/>
        <v>7.9498499861480276E-2</v>
      </c>
      <c r="AP141" s="518">
        <f t="shared" si="287"/>
        <v>0.15589933040868154</v>
      </c>
      <c r="AQ141" s="518">
        <f t="shared" si="287"/>
        <v>0.88055011925876103</v>
      </c>
      <c r="AR141" s="524">
        <f t="shared" si="287"/>
        <v>0.31241973077106033</v>
      </c>
      <c r="AS141" s="518">
        <f t="shared" si="287"/>
        <v>0.39903132355603832</v>
      </c>
      <c r="AT141" s="518">
        <f t="shared" si="287"/>
        <v>0.30316482652426036</v>
      </c>
      <c r="AU141" s="518">
        <f t="shared" si="287"/>
        <v>0.33977867444368992</v>
      </c>
      <c r="AV141" s="518">
        <f t="shared" si="287"/>
        <v>-0.17779105739640877</v>
      </c>
      <c r="AW141" s="524">
        <f t="shared" ref="AW141:BL141" si="288">AW140/AR140-1</f>
        <v>0.15496792432314876</v>
      </c>
      <c r="AX141" s="518">
        <f t="shared" si="288"/>
        <v>0.11051722241275552</v>
      </c>
      <c r="AY141" s="518">
        <f t="shared" si="288"/>
        <v>1.8495007521191376E-2</v>
      </c>
      <c r="AZ141" s="518">
        <f t="shared" si="288"/>
        <v>3.0077131043257044E-2</v>
      </c>
      <c r="BA141" s="518">
        <f t="shared" si="288"/>
        <v>0.13811209556206006</v>
      </c>
      <c r="BB141" s="524">
        <f t="shared" si="288"/>
        <v>6.963879558360575E-2</v>
      </c>
      <c r="BC141" s="518">
        <f t="shared" si="288"/>
        <v>4.5491096401268027E-2</v>
      </c>
      <c r="BD141" s="518">
        <f t="shared" si="288"/>
        <v>0.17585252167044474</v>
      </c>
      <c r="BE141" s="518">
        <f t="shared" si="288"/>
        <v>0.19465136924175463</v>
      </c>
      <c r="BF141" s="518">
        <f t="shared" si="288"/>
        <v>0.1601503106129718</v>
      </c>
      <c r="BG141" s="524">
        <f t="shared" si="288"/>
        <v>0.14992953093773731</v>
      </c>
      <c r="BH141" s="518">
        <f t="shared" si="288"/>
        <v>0.21594778818769056</v>
      </c>
      <c r="BI141" s="518">
        <f t="shared" si="288"/>
        <v>0.14295810620744676</v>
      </c>
      <c r="BJ141" s="518">
        <f t="shared" si="288"/>
        <v>0.21136208518938826</v>
      </c>
      <c r="BK141" s="518">
        <f t="shared" si="288"/>
        <v>0.15451124300237784</v>
      </c>
      <c r="BL141" s="524">
        <f t="shared" si="288"/>
        <v>0.17675620899491684</v>
      </c>
      <c r="BM141" s="518">
        <f t="shared" ref="BM141:CF141" si="289">BM140/BH140-1</f>
        <v>5.520032635250649E-2</v>
      </c>
      <c r="BN141" s="518">
        <f t="shared" si="289"/>
        <v>5.2926735194900321E-3</v>
      </c>
      <c r="BO141" s="518">
        <f t="shared" si="289"/>
        <v>-1.9803366572317405E-3</v>
      </c>
      <c r="BP141" s="518">
        <f t="shared" si="289"/>
        <v>-4.9948429867863187E-4</v>
      </c>
      <c r="BQ141" s="524">
        <f t="shared" si="289"/>
        <v>1.1294633488102557E-2</v>
      </c>
      <c r="BR141" s="518">
        <f t="shared" si="289"/>
        <v>0.10351328340833676</v>
      </c>
      <c r="BS141" s="518">
        <f t="shared" si="289"/>
        <v>0.42900425386791396</v>
      </c>
      <c r="BT141" s="518">
        <f t="shared" si="289"/>
        <v>0.57464214728332585</v>
      </c>
      <c r="BU141" s="518">
        <f t="shared" si="289"/>
        <v>0.45844420503368344</v>
      </c>
      <c r="BV141" s="524">
        <f t="shared" si="289"/>
        <v>0.40991374948762505</v>
      </c>
      <c r="BW141" s="518">
        <f t="shared" si="289"/>
        <v>0.5754048543154282</v>
      </c>
      <c r="BX141" s="518">
        <f t="shared" si="289"/>
        <v>0.15619173441012579</v>
      </c>
      <c r="BY141" s="518">
        <f t="shared" si="289"/>
        <v>1.0462962766532913E-2</v>
      </c>
      <c r="BZ141" s="518">
        <f t="shared" si="289"/>
        <v>9.2668654325382738E-2</v>
      </c>
      <c r="CA141" s="524">
        <f t="shared" si="289"/>
        <v>0.1618206080452318</v>
      </c>
      <c r="CB141" s="518">
        <f t="shared" si="289"/>
        <v>1.3492612794485659E-4</v>
      </c>
      <c r="CC141" s="518">
        <f t="shared" si="289"/>
        <v>5.4724057538311222E-2</v>
      </c>
      <c r="CD141" s="518">
        <f t="shared" si="289"/>
        <v>0.11030024626870372</v>
      </c>
      <c r="CE141" s="518">
        <f t="shared" si="289"/>
        <v>4.4574405046743149E-2</v>
      </c>
      <c r="CF141" s="524">
        <f t="shared" si="289"/>
        <v>5.4535308122868109E-2</v>
      </c>
      <c r="CG141" s="518">
        <f>CG140/CB140-1</f>
        <v>0.12678097198661908</v>
      </c>
      <c r="CH141" s="518">
        <f>CH140/CC140-1</f>
        <v>8.5829162938939829E-2</v>
      </c>
      <c r="CI141" s="518">
        <f>CI140/CD140-1</f>
        <v>8.4355369994289386E-2</v>
      </c>
      <c r="CJ141" s="518">
        <f t="shared" ref="CJ141" si="290">CJ140/CE140-1</f>
        <v>0.13556890243070385</v>
      </c>
      <c r="CK141" s="524">
        <f>CK140/CF140-1</f>
        <v>0.10624627057574854</v>
      </c>
      <c r="CL141" s="518">
        <f>CL140/CG140-1</f>
        <v>0.12213649062125853</v>
      </c>
      <c r="CM141" s="518">
        <f>CM140/CH140-1</f>
        <v>1.155579193668562</v>
      </c>
      <c r="CN141" s="1021"/>
      <c r="CO141" s="1021"/>
      <c r="CP141" s="1021"/>
      <c r="CQ141" s="1021"/>
      <c r="CR141" s="1021"/>
      <c r="CS141" s="1021"/>
      <c r="CT141" s="1021"/>
      <c r="CU141" s="1021"/>
    </row>
    <row r="142" spans="3:106" ht="13.5" thickBot="1">
      <c r="C142" s="505" t="s">
        <v>656</v>
      </c>
      <c r="AD142" s="523" t="e">
        <f>AD140/AB140-1</f>
        <v>#DIV/0!</v>
      </c>
      <c r="AE142" s="509">
        <f>AE140/AD140-1</f>
        <v>-0.39595088252314814</v>
      </c>
      <c r="AF142" s="509">
        <f>AF140/AE140-1</f>
        <v>-0.2318608445728485</v>
      </c>
      <c r="AG142" s="509">
        <f>AG140/AF140-1</f>
        <v>0.12993530030790823</v>
      </c>
      <c r="AH142" s="522"/>
      <c r="AI142" s="523">
        <f>AI140/AG140-1</f>
        <v>-0.17916921776773631</v>
      </c>
      <c r="AJ142" s="509">
        <f>AJ140/AI140-1</f>
        <v>0.7823104238018197</v>
      </c>
      <c r="AK142" s="509">
        <f>AK140/AJ140-1</f>
        <v>-0.23413360369228597</v>
      </c>
      <c r="AL142" s="509">
        <f>AL140/AK140-1</f>
        <v>6.7574847995073295E-3</v>
      </c>
      <c r="AM142" s="522"/>
      <c r="AN142" s="523">
        <f>AN140/AL140-1</f>
        <v>-0.15555623509265493</v>
      </c>
      <c r="AO142" s="509">
        <f>AO140/AN140-1</f>
        <v>0.65795763172189026</v>
      </c>
      <c r="AP142" s="509">
        <f>AP140/AO140-1</f>
        <v>-0.17992988893621209</v>
      </c>
      <c r="AQ142" s="509">
        <f>AQ140/AP140-1</f>
        <v>0.63790899284886748</v>
      </c>
      <c r="AR142" s="522"/>
      <c r="AS142" s="523">
        <f>AS140/AQ140-1</f>
        <v>-0.37177782927017655</v>
      </c>
      <c r="AT142" s="509">
        <f>AT140/AS140-1</f>
        <v>0.5443486026000246</v>
      </c>
      <c r="AU142" s="509">
        <f>AU140/AT140-1</f>
        <v>-0.15688911794652627</v>
      </c>
      <c r="AV142" s="509">
        <f>AV140/AU140-1</f>
        <v>5.1685750636132344E-3</v>
      </c>
      <c r="AW142" s="522"/>
      <c r="AX142" s="523">
        <f>AX140/AV140-1</f>
        <v>-0.15149117949529312</v>
      </c>
      <c r="AY142" s="509">
        <f>AY140/AX140-1</f>
        <v>0.41637726086145821</v>
      </c>
      <c r="AZ142" s="509">
        <f>AZ140/AY140-1</f>
        <v>-0.14730142796608425</v>
      </c>
      <c r="BA142" s="509">
        <f>BA140/AZ140-1</f>
        <v>0.11059111874481342</v>
      </c>
      <c r="BB142" s="522"/>
      <c r="BC142" s="523">
        <f>BC140/BA140-1</f>
        <v>-0.22054389851861511</v>
      </c>
      <c r="BD142" s="509">
        <f>BD140/BC140-1</f>
        <v>0.59298417705645323</v>
      </c>
      <c r="BE142" s="509">
        <f>BE140/BD140-1</f>
        <v>-0.1336689781609276</v>
      </c>
      <c r="BF142" s="509">
        <f>BF140/BE140-1</f>
        <v>7.8517686874275627E-2</v>
      </c>
      <c r="BG142" s="522"/>
      <c r="BH142" s="523">
        <f>BH140/BF140-1</f>
        <v>-0.18305592480949617</v>
      </c>
      <c r="BI142" s="509">
        <f>BI140/BH140-1</f>
        <v>0.49736213669219742</v>
      </c>
      <c r="BJ142" s="509">
        <f>BJ140/BI140-1</f>
        <v>-8.1820630712811981E-2</v>
      </c>
      <c r="BK142" s="509">
        <f>BK140/BJ140-1</f>
        <v>2.7901409906350816E-2</v>
      </c>
      <c r="BL142" s="522"/>
      <c r="BM142" s="523">
        <f>BM140/BK140-1</f>
        <v>-0.25332935475710139</v>
      </c>
      <c r="BN142" s="509">
        <f>BN140/BM140-1</f>
        <v>0.42654162250447403</v>
      </c>
      <c r="BO142" s="509">
        <f>BO140/BN140-1</f>
        <v>-8.8463400597429409E-2</v>
      </c>
      <c r="BP142" s="509">
        <f>BP140/BO140-1</f>
        <v>2.9426600524461E-2</v>
      </c>
      <c r="BQ142" s="522"/>
      <c r="BR142" s="523">
        <f>BR140/BP140-1</f>
        <v>-0.17562726340519985</v>
      </c>
      <c r="BS142" s="509">
        <f>BS140/BR140-1</f>
        <v>0.84731264908952064</v>
      </c>
      <c r="BT142" s="509">
        <f>BT140/BS140-1</f>
        <v>4.436441896887855E-3</v>
      </c>
      <c r="BU142" s="509">
        <f>BU140/BT140-1</f>
        <v>-4.6538121291450407E-2</v>
      </c>
      <c r="BV142" s="522"/>
      <c r="BW142" s="523">
        <f>BW140/BU140-1</f>
        <v>-0.10951628693485227</v>
      </c>
      <c r="BX142" s="509">
        <f>BX140/BW140-1</f>
        <v>0.35574522948685594</v>
      </c>
      <c r="BY142" s="509">
        <f>BY140/BX140-1</f>
        <v>-0.12216478220403804</v>
      </c>
      <c r="BZ142" s="509">
        <f>BZ140/BY140-1</f>
        <v>3.1030276564163239E-2</v>
      </c>
      <c r="CA142" s="522"/>
      <c r="CB142" s="523">
        <f>CB140/BZ140-1</f>
        <v>-0.18492778294769385</v>
      </c>
      <c r="CC142" s="509">
        <f>CC140/CB140-1</f>
        <v>0.42974419958378407</v>
      </c>
      <c r="CD142" s="509">
        <f>CD140/CC140-1</f>
        <v>-7.5909332364124338E-2</v>
      </c>
      <c r="CE142" s="509">
        <f>CE140/CD140-1</f>
        <v>-3.0003063273618458E-2</v>
      </c>
      <c r="CF142" s="522"/>
      <c r="CG142" s="523">
        <f>CG140/CE140-1</f>
        <v>-0.12078272209973506</v>
      </c>
      <c r="CH142" s="509">
        <f>CH140/CG140-1</f>
        <v>0.37778147310540544</v>
      </c>
      <c r="CI142" s="509">
        <f>CI140/CH140-1</f>
        <v>-7.7163598092715446E-2</v>
      </c>
      <c r="CJ142" s="509">
        <f>CJ140/CI140-1</f>
        <v>1.5809380651033988E-2</v>
      </c>
      <c r="CK142" s="522"/>
      <c r="CL142" s="523">
        <f>CL140/CJ140-1</f>
        <v>-0.13118280308245345</v>
      </c>
      <c r="CM142" s="523">
        <f>CM140/CK140-1</f>
        <v>-0.39890154715902437</v>
      </c>
      <c r="CN142" s="516"/>
      <c r="CO142" s="516"/>
      <c r="CP142" s="516"/>
      <c r="CQ142" s="516"/>
      <c r="CR142" s="516"/>
      <c r="CS142" s="516"/>
      <c r="CT142" s="516"/>
      <c r="CU142" s="516"/>
    </row>
    <row r="143" spans="3:106" ht="13.5" thickBot="1">
      <c r="C143" s="506" t="s">
        <v>657</v>
      </c>
      <c r="AD143" s="521">
        <f>AD140+AB140+AA140+Z140</f>
        <v>221184</v>
      </c>
      <c r="AE143" s="520">
        <f>AE140+AD140+AB140+AA140</f>
        <v>354790</v>
      </c>
      <c r="AF143" s="520">
        <f>AF140+AE140+AD140+AB140</f>
        <v>457418</v>
      </c>
      <c r="AG143" s="519">
        <f>AG140+AF140+AE140+AD140</f>
        <v>573381</v>
      </c>
      <c r="AH143" s="520"/>
      <c r="AI143" s="521">
        <f>AI140+AG140+AF140+AE140</f>
        <v>447383</v>
      </c>
      <c r="AJ143" s="520">
        <f>AJ140+AI140+AG140+AF140</f>
        <v>483428</v>
      </c>
      <c r="AK143" s="520">
        <f>AK140+AJ140+AI140+AG140</f>
        <v>510730</v>
      </c>
      <c r="AL143" s="519">
        <f>AL140+AK140+AJ140+AI140</f>
        <v>525575</v>
      </c>
      <c r="AM143" s="520"/>
      <c r="AN143" s="521">
        <f>AN140+AL140+AK140+AJ140</f>
        <v>540849</v>
      </c>
      <c r="AO143" s="520">
        <f>AO140+AN140+AL140+AK140</f>
        <v>554336</v>
      </c>
      <c r="AP143" s="520">
        <f>AP140+AO140+AN140+AL140</f>
        <v>574592</v>
      </c>
      <c r="AQ143" s="519">
        <f>AQ140+AP140+AO140+AN140</f>
        <v>689775</v>
      </c>
      <c r="AR143" s="520"/>
      <c r="AS143" s="521">
        <f>AS140+AQ140+AP140+AO140</f>
        <v>733852</v>
      </c>
      <c r="AT143" s="520">
        <f>AT140+AS140+AQ140+AP140</f>
        <v>789373</v>
      </c>
      <c r="AU143" s="520">
        <f>AU140+AT140+AS140+AQ140</f>
        <v>840403</v>
      </c>
      <c r="AV143" s="519">
        <f>AV140+AU140+AT140+AS140</f>
        <v>796668</v>
      </c>
      <c r="AW143" s="520"/>
      <c r="AX143" s="521">
        <f>AX140+AV140+AU140+AT140</f>
        <v>813747</v>
      </c>
      <c r="AY143" s="520">
        <f>AY140+AX140+AV140+AU140</f>
        <v>818161</v>
      </c>
      <c r="AZ143" s="520">
        <f>AZ140+AY140+AX140+AV140</f>
        <v>824213</v>
      </c>
      <c r="BA143" s="519">
        <f>BA140+AZ140+AY140+AX140</f>
        <v>852147</v>
      </c>
      <c r="BB143" s="520"/>
      <c r="BC143" s="521">
        <f>BC140+BA140+AZ140+AY140</f>
        <v>859954</v>
      </c>
      <c r="BD143" s="520">
        <f>BD140+BC140+BA140+AZ140</f>
        <v>902699</v>
      </c>
      <c r="BE143" s="520">
        <f>BE140+BD140+BC140+BA140</f>
        <v>943044</v>
      </c>
      <c r="BF143" s="519">
        <f>BF140+BE140+BD140+BC140</f>
        <v>979909</v>
      </c>
      <c r="BG143" s="520"/>
      <c r="BH143" s="521">
        <f>BH140+BF140+BE140+BD140</f>
        <v>1018655</v>
      </c>
      <c r="BI143" s="520">
        <f>BI140+BH140+BF140+BE140</f>
        <v>1059515</v>
      </c>
      <c r="BJ143" s="520">
        <f>BJ140+BI140+BH140+BF140</f>
        <v>1111851</v>
      </c>
      <c r="BK143" s="519">
        <f>BK140+BJ140+BI140+BH140</f>
        <v>1153114</v>
      </c>
      <c r="BL143" s="519"/>
      <c r="BM143" s="521">
        <f>BM140+BK140+BJ140+BI140</f>
        <v>1165157</v>
      </c>
      <c r="BN143" s="520">
        <f>BN140+BM140+BK140+BJ140</f>
        <v>1166886</v>
      </c>
      <c r="BO143" s="520">
        <f>BO140+BN140+BM140+BK140</f>
        <v>1166292</v>
      </c>
      <c r="BP143" s="519">
        <f>BP140+BO140+BN140+BM140</f>
        <v>1166138</v>
      </c>
      <c r="BQ143" s="519"/>
      <c r="BR143" s="521">
        <f>BR140+BP140+BO140+BN140</f>
        <v>1189968</v>
      </c>
      <c r="BS143" s="520">
        <f>BS140+BR140+BP140+BO140</f>
        <v>1330856</v>
      </c>
      <c r="BT143" s="520">
        <f>BT140+BS140+BR140+BP140</f>
        <v>1502878</v>
      </c>
      <c r="BU143" s="519">
        <f>BU140+BT140+BS140+BR140</f>
        <v>1644154</v>
      </c>
      <c r="BV143" s="519"/>
      <c r="BW143" s="521">
        <f>BW140+BU140+BT140+BS140</f>
        <v>1790331</v>
      </c>
      <c r="BX143" s="520">
        <f>BX140+BW140+BU140+BT140</f>
        <v>1863631</v>
      </c>
      <c r="BY143" s="520">
        <f>BY140+BX140+BW140+BU140</f>
        <v>1868563</v>
      </c>
      <c r="BZ143" s="519">
        <f>BZ140+BY140+BX140+BW140</f>
        <v>1910212</v>
      </c>
      <c r="CA143" s="519"/>
      <c r="CB143" s="521">
        <f>CB140+BZ140+BY140+BX140</f>
        <v>1910266</v>
      </c>
      <c r="CC143" s="520">
        <f>CC140+CB140+BZ140+BY140</f>
        <v>1939959</v>
      </c>
      <c r="CD143" s="520">
        <f>CD140+CC140+CB140+BZ140</f>
        <v>1992496</v>
      </c>
      <c r="CE143" s="519">
        <f>CE140+CD140+CC140+CB140</f>
        <v>2014386</v>
      </c>
      <c r="CF143" s="519"/>
      <c r="CG143" s="521">
        <f>CG140+CE140+CD140+CC140</f>
        <v>2065133</v>
      </c>
      <c r="CH143" s="520">
        <f>CH140+CG140+CE140+CD140</f>
        <v>2114252</v>
      </c>
      <c r="CI143" s="520">
        <f>CI140+CH140+CF140+CE140</f>
        <v>3722229</v>
      </c>
      <c r="CJ143" s="519">
        <f>CJ140+CI140+CH140+CG140</f>
        <v>2228407</v>
      </c>
      <c r="CK143" s="519"/>
      <c r="CL143" s="521">
        <f>CL140+CJ140+CI140+CH140</f>
        <v>2283493</v>
      </c>
      <c r="CM143" s="521">
        <f>CM140+CK140+CJ140+CI140</f>
        <v>4723879</v>
      </c>
      <c r="CN143" s="1022"/>
      <c r="CO143" s="1022"/>
      <c r="CP143" s="1022"/>
      <c r="CQ143" s="1022"/>
      <c r="CR143" s="1022"/>
      <c r="CS143" s="1022"/>
      <c r="CT143" s="1022"/>
      <c r="CU143" s="1022"/>
    </row>
    <row r="144" spans="3:106">
      <c r="C144" s="504" t="s">
        <v>655</v>
      </c>
      <c r="AD144" s="515" t="e">
        <f>AD143/Y143-1</f>
        <v>#DIV/0!</v>
      </c>
      <c r="AE144" s="514" t="e">
        <f>AE143/Z143-1</f>
        <v>#DIV/0!</v>
      </c>
      <c r="AF144" s="514" t="e">
        <f>AF143/AA143-1</f>
        <v>#DIV/0!</v>
      </c>
      <c r="AG144" s="517" t="e">
        <f>AG143/AB143-1</f>
        <v>#DIV/0!</v>
      </c>
      <c r="AH144" s="516"/>
      <c r="AI144" s="515">
        <f>AI143/AD143-1</f>
        <v>1.0226734302662037</v>
      </c>
      <c r="AJ144" s="514">
        <f>AJ143/AE143-1</f>
        <v>0.36257504439245758</v>
      </c>
      <c r="AK144" s="514">
        <f>AK143/AF143-1</f>
        <v>0.11654985155809339</v>
      </c>
      <c r="AL144" s="517">
        <f>AL143/AG143-1</f>
        <v>-8.3375626328741292E-2</v>
      </c>
      <c r="AM144" s="516"/>
      <c r="AN144" s="515">
        <f>AN143/AI143-1</f>
        <v>0.20891719175739798</v>
      </c>
      <c r="AO144" s="514">
        <f>AO143/AJ143-1</f>
        <v>0.14667747834217293</v>
      </c>
      <c r="AP144" s="514">
        <f>AP143/AK143-1</f>
        <v>0.1250406281205334</v>
      </c>
      <c r="AQ144" s="517">
        <f>AQ143/AL143-1</f>
        <v>0.31241973077106033</v>
      </c>
      <c r="AR144" s="516"/>
      <c r="AS144" s="515">
        <f>AS143/AN143-1</f>
        <v>0.35685191245615688</v>
      </c>
      <c r="AT144" s="514">
        <f>AT143/AO143-1</f>
        <v>0.42399735900248214</v>
      </c>
      <c r="AU144" s="514">
        <f>AU143/AP143-1</f>
        <v>0.46260825072399192</v>
      </c>
      <c r="AV144" s="513">
        <f>AV143/AQ143-1</f>
        <v>0.15496792432314876</v>
      </c>
      <c r="AW144" s="516"/>
      <c r="AX144" s="515">
        <f>AX143/AS143-1</f>
        <v>0.10887072597744507</v>
      </c>
      <c r="AY144" s="514">
        <f>AY143/AT143-1</f>
        <v>3.6469451070659797E-2</v>
      </c>
      <c r="AZ144" s="514">
        <f>AZ143/AU143-1</f>
        <v>-1.9264567118394416E-2</v>
      </c>
      <c r="BA144" s="513">
        <f>BA143/AV143-1</f>
        <v>6.963879558360575E-2</v>
      </c>
      <c r="BB144" s="516"/>
      <c r="BC144" s="515">
        <f>BC143/AX143-1</f>
        <v>5.6783005037192247E-2</v>
      </c>
      <c r="BD144" s="514">
        <f>BD143/AY143-1</f>
        <v>0.10332685131655017</v>
      </c>
      <c r="BE144" s="514">
        <f>BE143/AZ143-1</f>
        <v>0.14417511007470152</v>
      </c>
      <c r="BF144" s="513">
        <f>BF143/BA143-1</f>
        <v>0.14992953093773731</v>
      </c>
      <c r="BG144" s="516"/>
      <c r="BH144" s="515">
        <f>BH143/BC143-1</f>
        <v>0.18454591757233518</v>
      </c>
      <c r="BI144" s="514">
        <f>BI143/BD143-1</f>
        <v>0.17371903591341087</v>
      </c>
      <c r="BJ144" s="514">
        <f>BJ143/BE143-1</f>
        <v>0.1790022522809116</v>
      </c>
      <c r="BK144" s="513">
        <f>BK143/BF143-1</f>
        <v>0.17675620899491684</v>
      </c>
      <c r="BL144" s="512"/>
      <c r="BM144" s="515">
        <f>BM143/BH143-1</f>
        <v>0.14381905551928775</v>
      </c>
      <c r="BN144" s="514">
        <f>BN143/BI143-1</f>
        <v>0.10133976394859912</v>
      </c>
      <c r="BO144" s="514">
        <f>BO143/BJ143-1</f>
        <v>4.8964294676175024E-2</v>
      </c>
      <c r="BP144" s="513">
        <f>BP143/BK143-1</f>
        <v>1.1294633488102557E-2</v>
      </c>
      <c r="BQ144" s="512"/>
      <c r="BR144" s="515">
        <f>BR143/BM143-1</f>
        <v>2.1294126027651128E-2</v>
      </c>
      <c r="BS144" s="514">
        <f>BS143/BN143-1</f>
        <v>0.14051929665794249</v>
      </c>
      <c r="BT144" s="514">
        <f>BT143/BO143-1</f>
        <v>0.28859496592620038</v>
      </c>
      <c r="BU144" s="513">
        <f>BU143/BP143-1</f>
        <v>0.40991374948762505</v>
      </c>
      <c r="BV144" s="512"/>
      <c r="BW144" s="515">
        <f>BW143/BR143-1</f>
        <v>0.50452028962123352</v>
      </c>
      <c r="BX144" s="514">
        <f>BX143/BS143-1</f>
        <v>0.40032505395023965</v>
      </c>
      <c r="BY144" s="514">
        <f>BY143/BT143-1</f>
        <v>0.24332314399438948</v>
      </c>
      <c r="BZ144" s="513">
        <f>BZ143/BU143-1</f>
        <v>0.1618206080452318</v>
      </c>
      <c r="CA144" s="512"/>
      <c r="CB144" s="515">
        <f>CB143/BW143-1</f>
        <v>6.699040568475878E-2</v>
      </c>
      <c r="CC144" s="514">
        <f>CC143/BX143-1</f>
        <v>4.0956605679987046E-2</v>
      </c>
      <c r="CD144" s="514">
        <f>CD143/BY143-1</f>
        <v>6.6325299173750185E-2</v>
      </c>
      <c r="CE144" s="513">
        <f>CE143/BZ143-1</f>
        <v>5.4535308122868109E-2</v>
      </c>
      <c r="CF144" s="512"/>
      <c r="CG144" s="515">
        <f>CG143/CB143-1</f>
        <v>8.1070908449399237E-2</v>
      </c>
      <c r="CH144" s="514">
        <f>CH143/CC143-1</f>
        <v>8.9843651334899244E-2</v>
      </c>
      <c r="CI144" s="514">
        <f>CI143/CD143-1</f>
        <v>0.868123700122861</v>
      </c>
      <c r="CJ144" s="513">
        <f>CJ143/CE143-1</f>
        <v>0.10624627057574854</v>
      </c>
      <c r="CK144" s="512"/>
      <c r="CL144" s="515">
        <f>CL143/CG143-1</f>
        <v>0.10573653125488769</v>
      </c>
      <c r="CM144" s="515">
        <f>CM143/CH143-1</f>
        <v>1.2343027226650372</v>
      </c>
      <c r="CN144" s="516"/>
      <c r="CO144" s="516"/>
      <c r="CP144" s="516"/>
      <c r="CQ144" s="516"/>
      <c r="CR144" s="516"/>
      <c r="CS144" s="516"/>
      <c r="CT144" s="516"/>
      <c r="CU144" s="516"/>
    </row>
    <row r="145" spans="3:113" ht="13.5" thickBot="1">
      <c r="C145" s="505" t="s">
        <v>656</v>
      </c>
      <c r="AD145" s="510" t="e">
        <f>AD143/AB143-1</f>
        <v>#DIV/0!</v>
      </c>
      <c r="AE145" s="509">
        <f>AE143/AD143-1</f>
        <v>0.60404911747685186</v>
      </c>
      <c r="AF145" s="509">
        <f>AF143/AE143-1</f>
        <v>0.28926407170438861</v>
      </c>
      <c r="AG145" s="508">
        <f>AG143/AF143-1</f>
        <v>0.25351647727024296</v>
      </c>
      <c r="AH145" s="511"/>
      <c r="AI145" s="510">
        <f>AI143/AG143-1</f>
        <v>-0.21974568393441707</v>
      </c>
      <c r="AJ145" s="509">
        <f>AJ143/AI143-1</f>
        <v>8.0568550883694634E-2</v>
      </c>
      <c r="AK145" s="509">
        <f>AK143/AJ143-1</f>
        <v>5.647583507781917E-2</v>
      </c>
      <c r="AL145" s="508">
        <f>AL143/AK143-1</f>
        <v>2.9066238521332277E-2</v>
      </c>
      <c r="AM145" s="511"/>
      <c r="AN145" s="510">
        <f>AN143/AL143-1</f>
        <v>2.9061504066974164E-2</v>
      </c>
      <c r="AO145" s="509">
        <f>AO143/AN143-1</f>
        <v>2.4936719860811474E-2</v>
      </c>
      <c r="AP145" s="509">
        <f>AP143/AO143-1</f>
        <v>3.6541014835767438E-2</v>
      </c>
      <c r="AQ145" s="508">
        <f>AQ143/AP143-1</f>
        <v>0.20046050066830023</v>
      </c>
      <c r="AR145" s="511"/>
      <c r="AS145" s="510">
        <f>AS143/AQ143-1</f>
        <v>6.3900547279910125E-2</v>
      </c>
      <c r="AT145" s="509">
        <f>AT143/AS143-1</f>
        <v>7.5656944452014763E-2</v>
      </c>
      <c r="AU145" s="509">
        <f>AU143/AT143-1</f>
        <v>6.4646244551055165E-2</v>
      </c>
      <c r="AV145" s="508">
        <f>AV143/AU143-1</f>
        <v>-5.2040509136688007E-2</v>
      </c>
      <c r="AW145" s="511"/>
      <c r="AX145" s="510">
        <f>AX143/AV143-1</f>
        <v>2.1438039434243716E-2</v>
      </c>
      <c r="AY145" s="509">
        <f>AY143/AX143-1</f>
        <v>5.4242903506864781E-3</v>
      </c>
      <c r="AZ145" s="509">
        <f>AZ143/AY143-1</f>
        <v>7.3970771034062022E-3</v>
      </c>
      <c r="BA145" s="508">
        <f>BA143/AZ143-1</f>
        <v>3.3891724590609407E-2</v>
      </c>
      <c r="BB145" s="511"/>
      <c r="BC145" s="510">
        <f>BC143/BA143-1</f>
        <v>9.1615648473795108E-3</v>
      </c>
      <c r="BD145" s="509">
        <f>BD143/BC143-1</f>
        <v>4.9706147072982931E-2</v>
      </c>
      <c r="BE145" s="509">
        <f>BE143/BD143-1</f>
        <v>4.4693746198898987E-2</v>
      </c>
      <c r="BF145" s="508">
        <f>BF143/BE143-1</f>
        <v>3.909149520064803E-2</v>
      </c>
      <c r="BG145" s="511"/>
      <c r="BH145" s="510">
        <f>BH143/BF143-1</f>
        <v>3.9540406303034237E-2</v>
      </c>
      <c r="BI145" s="509">
        <f>BI143/BH143-1</f>
        <v>4.0111715939155079E-2</v>
      </c>
      <c r="BJ145" s="509">
        <f>BJ143/BI143-1</f>
        <v>4.93961859907599E-2</v>
      </c>
      <c r="BK145" s="508">
        <f>BK143/BJ143-1</f>
        <v>3.711198712777164E-2</v>
      </c>
      <c r="BL145" s="507"/>
      <c r="BM145" s="510">
        <f>BM143/BK143-1</f>
        <v>1.0443893665327053E-2</v>
      </c>
      <c r="BN145" s="509">
        <f>BN143/BM143-1</f>
        <v>1.483920192729471E-3</v>
      </c>
      <c r="BO145" s="509">
        <f>BO143/BN143-1</f>
        <v>-5.0904715627753117E-4</v>
      </c>
      <c r="BP145" s="508">
        <f>BP143/BO143-1</f>
        <v>-1.3204240447506344E-4</v>
      </c>
      <c r="BQ145" s="507"/>
      <c r="BR145" s="510">
        <f>BR143/BP143-1</f>
        <v>2.0434974248330739E-2</v>
      </c>
      <c r="BS145" s="509">
        <f>BS143/BR143-1</f>
        <v>0.11839646108130641</v>
      </c>
      <c r="BT145" s="509">
        <f>BT143/BS143-1</f>
        <v>0.12925665887218463</v>
      </c>
      <c r="BU145" s="508">
        <f>BU143/BT143-1</f>
        <v>9.4003638352547547E-2</v>
      </c>
      <c r="BV145" s="507"/>
      <c r="BW145" s="510">
        <f>BW143/BU143-1</f>
        <v>8.8907121838951886E-2</v>
      </c>
      <c r="BX145" s="509">
        <f>BX143/BW143-1</f>
        <v>4.0942149803583794E-2</v>
      </c>
      <c r="BY145" s="509">
        <f>BY143/BX143-1</f>
        <v>2.6464466409927834E-3</v>
      </c>
      <c r="BZ145" s="508">
        <f>BZ143/BY143-1</f>
        <v>2.228932072400025E-2</v>
      </c>
      <c r="CA145" s="507"/>
      <c r="CB145" s="510">
        <f>CB143/BZ143-1</f>
        <v>2.8269113585333017E-5</v>
      </c>
      <c r="CC145" s="509">
        <f>CC143/CB143-1</f>
        <v>1.5543908544673801E-2</v>
      </c>
      <c r="CD145" s="509">
        <f>CD143/CC143-1</f>
        <v>2.7081500176034723E-2</v>
      </c>
      <c r="CE145" s="508">
        <f>CE143/CD143-1</f>
        <v>1.0986220298560223E-2</v>
      </c>
      <c r="CF145" s="507"/>
      <c r="CG145" s="510">
        <f>CG143/CE143-1</f>
        <v>2.5192291844760684E-2</v>
      </c>
      <c r="CH145" s="509">
        <f>CH143/CG143-1</f>
        <v>2.3784908768587743E-2</v>
      </c>
      <c r="CI145" s="509">
        <f>CI143/CH143-1</f>
        <v>0.76054178972043074</v>
      </c>
      <c r="CJ145" s="508">
        <f>CJ143/CI143-1</f>
        <v>-0.40132458266270021</v>
      </c>
      <c r="CK145" s="507"/>
      <c r="CL145" s="510">
        <f>CL143/CJ143-1</f>
        <v>2.4719900808066075E-2</v>
      </c>
      <c r="CM145" s="510" t="e">
        <f>CM143/CK143-1</f>
        <v>#DIV/0!</v>
      </c>
      <c r="CN145" s="516"/>
      <c r="CO145" s="516"/>
      <c r="CP145" s="516"/>
      <c r="CQ145" s="516"/>
      <c r="CR145" s="516"/>
      <c r="CS145" s="516"/>
      <c r="CT145" s="516"/>
      <c r="CU145" s="516"/>
    </row>
    <row r="146" spans="3:113" ht="13.5" thickBot="1"/>
    <row r="147" spans="3:113">
      <c r="C147" s="614" t="s">
        <v>745</v>
      </c>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v>1200000</v>
      </c>
      <c r="BD147" s="22">
        <v>1200000</v>
      </c>
      <c r="BE147" s="22">
        <v>1200000</v>
      </c>
      <c r="BF147" s="22">
        <v>1250000</v>
      </c>
      <c r="BG147" s="22"/>
      <c r="BH147" s="22">
        <v>1300000</v>
      </c>
      <c r="BI147" s="22">
        <v>1400000</v>
      </c>
      <c r="BJ147" s="22">
        <v>1400000</v>
      </c>
      <c r="BK147" s="22">
        <v>1460000</v>
      </c>
      <c r="BL147" s="22"/>
      <c r="BM147" s="22">
        <v>1500000</v>
      </c>
      <c r="BN147" s="22">
        <v>1540000</v>
      </c>
      <c r="BO147" s="22">
        <v>1550000</v>
      </c>
      <c r="BP147" s="22">
        <v>1590000</v>
      </c>
      <c r="BQ147" s="22"/>
      <c r="BR147" s="22">
        <v>1550000</v>
      </c>
      <c r="BS147" s="22"/>
      <c r="BT147" s="22"/>
      <c r="BU147" s="22"/>
      <c r="BV147" s="22"/>
      <c r="BW147" s="22">
        <v>1550000</v>
      </c>
      <c r="BX147" s="22"/>
      <c r="BY147" s="22"/>
      <c r="BZ147" s="22"/>
      <c r="CA147" s="22"/>
      <c r="CB147" s="22"/>
      <c r="CC147" s="22"/>
      <c r="CD147" s="22"/>
      <c r="CE147" s="22"/>
      <c r="CF147" s="22"/>
      <c r="CG147" s="22"/>
      <c r="CH147" s="22"/>
      <c r="CI147" s="22"/>
      <c r="CJ147" s="22"/>
      <c r="CK147" s="22"/>
      <c r="CL147" s="22"/>
      <c r="CM147" s="22"/>
      <c r="CN147" s="22"/>
      <c r="CO147" s="22"/>
      <c r="CP147" s="22"/>
      <c r="CQ147" s="22"/>
      <c r="CR147" s="22"/>
      <c r="CS147" s="22"/>
      <c r="CT147" s="22"/>
      <c r="CU147" s="22"/>
      <c r="CV147" s="22"/>
      <c r="CW147" s="22"/>
      <c r="CX147" s="22"/>
      <c r="CY147" s="22"/>
      <c r="CZ147" s="22"/>
      <c r="DA147" s="22"/>
      <c r="DB147" s="22"/>
      <c r="DC147" s="22"/>
      <c r="DD147" s="22"/>
      <c r="DE147" s="22"/>
      <c r="DF147" s="22"/>
      <c r="DG147" s="22"/>
      <c r="DH147" s="22"/>
      <c r="DI147" s="22"/>
    </row>
    <row r="148" spans="3:113">
      <c r="C148" s="615" t="s">
        <v>746</v>
      </c>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f>BH147-BC147</f>
        <v>100000</v>
      </c>
      <c r="BI148" s="22">
        <f t="shared" ref="BI148:BR148" si="291">BI147-BD147</f>
        <v>200000</v>
      </c>
      <c r="BJ148" s="22">
        <f t="shared" si="291"/>
        <v>200000</v>
      </c>
      <c r="BK148" s="22">
        <f t="shared" si="291"/>
        <v>210000</v>
      </c>
      <c r="BL148" s="22"/>
      <c r="BM148" s="22">
        <f t="shared" si="291"/>
        <v>200000</v>
      </c>
      <c r="BN148" s="22">
        <f t="shared" si="291"/>
        <v>140000</v>
      </c>
      <c r="BO148" s="22">
        <f>BO147-BJ147</f>
        <v>150000</v>
      </c>
      <c r="BP148" s="22">
        <f t="shared" si="291"/>
        <v>130000</v>
      </c>
      <c r="BQ148" s="22"/>
      <c r="BR148" s="22">
        <f t="shared" si="291"/>
        <v>50000</v>
      </c>
      <c r="BS148" s="22"/>
      <c r="BT148" s="22"/>
      <c r="BU148" s="22"/>
      <c r="BV148" s="22"/>
      <c r="BW148" s="22">
        <f>BW147-BR147</f>
        <v>0</v>
      </c>
      <c r="BX148" s="22"/>
      <c r="BY148" s="22"/>
      <c r="BZ148" s="22"/>
      <c r="CA148" s="22"/>
      <c r="CB148" s="22"/>
      <c r="CC148" s="22"/>
      <c r="CD148" s="22"/>
      <c r="CE148" s="22"/>
      <c r="CF148" s="22"/>
      <c r="CG148" s="22"/>
      <c r="CH148" s="22"/>
      <c r="CI148" s="22"/>
      <c r="CJ148" s="22"/>
      <c r="CK148" s="22"/>
      <c r="CL148" s="22"/>
      <c r="CM148" s="22"/>
      <c r="CN148" s="22"/>
      <c r="CO148" s="22"/>
      <c r="CP148" s="22"/>
      <c r="CQ148" s="22"/>
      <c r="CR148" s="22"/>
      <c r="CS148" s="22"/>
      <c r="CT148" s="22"/>
      <c r="CU148" s="22"/>
      <c r="CV148" s="22"/>
      <c r="CW148" s="22"/>
      <c r="CX148" s="22"/>
      <c r="CY148" s="22"/>
      <c r="CZ148" s="22"/>
      <c r="DA148" s="22"/>
      <c r="DB148" s="22"/>
      <c r="DC148" s="22"/>
      <c r="DD148" s="22"/>
      <c r="DE148" s="22"/>
      <c r="DF148" s="22"/>
      <c r="DG148" s="22"/>
      <c r="DH148" s="22"/>
      <c r="DI148" s="22"/>
    </row>
    <row r="149" spans="3:113" s="77" customFormat="1">
      <c r="C149" s="616" t="s">
        <v>747</v>
      </c>
      <c r="S149" s="469"/>
      <c r="T149" s="469"/>
      <c r="U149" s="469"/>
      <c r="V149" s="469"/>
      <c r="W149" s="469"/>
      <c r="X149" s="469"/>
      <c r="Y149" s="469"/>
      <c r="Z149" s="469"/>
      <c r="AA149" s="469"/>
      <c r="AB149" s="469"/>
      <c r="AC149" s="469"/>
      <c r="AD149" s="469"/>
      <c r="AE149" s="469"/>
      <c r="AF149" s="469"/>
      <c r="AG149" s="469"/>
      <c r="AH149" s="469"/>
      <c r="AI149" s="469"/>
      <c r="AJ149" s="469"/>
      <c r="AK149" s="469"/>
      <c r="AL149" s="469"/>
      <c r="AM149" s="469"/>
      <c r="AN149" s="469"/>
      <c r="AO149" s="469"/>
      <c r="AP149" s="469"/>
      <c r="AQ149" s="469"/>
      <c r="AR149" s="469"/>
      <c r="AS149" s="469"/>
      <c r="AT149" s="469"/>
      <c r="AU149" s="469"/>
      <c r="AV149" s="469"/>
      <c r="AW149" s="469"/>
      <c r="AX149" s="469"/>
      <c r="AY149" s="469"/>
      <c r="AZ149" s="469"/>
      <c r="BA149" s="469"/>
      <c r="BB149" s="469"/>
      <c r="BC149" s="469"/>
      <c r="BD149" s="469"/>
      <c r="BE149" s="469"/>
      <c r="BF149" s="469"/>
      <c r="BG149" s="469"/>
      <c r="BH149" s="469">
        <f>BH148+BH23</f>
        <v>348763</v>
      </c>
      <c r="BI149" s="469">
        <f>BI148+BI23</f>
        <v>477981</v>
      </c>
      <c r="BJ149" s="469">
        <f>BJ148+BJ23</f>
        <v>477187</v>
      </c>
      <c r="BK149" s="469">
        <f>BK148+BK23</f>
        <v>497425</v>
      </c>
      <c r="BL149" s="469"/>
      <c r="BM149" s="469">
        <f>BM148+BM23</f>
        <v>476780</v>
      </c>
      <c r="BN149" s="469">
        <f>BN148+BN23</f>
        <v>411329</v>
      </c>
      <c r="BO149" s="469">
        <f>BO148+BO23</f>
        <v>435937</v>
      </c>
      <c r="BP149" s="469">
        <f>BP148+BP23</f>
        <v>413408</v>
      </c>
      <c r="BQ149" s="469"/>
      <c r="BR149" s="469">
        <f>BR148+BR23</f>
        <v>344802</v>
      </c>
      <c r="BS149" s="469"/>
      <c r="BT149" s="469"/>
      <c r="BU149" s="469"/>
      <c r="BV149" s="469"/>
      <c r="BW149" s="469">
        <f>BW148+BW23</f>
        <v>456108</v>
      </c>
      <c r="BX149" s="469"/>
      <c r="BY149" s="469"/>
      <c r="BZ149" s="469"/>
      <c r="CA149" s="469"/>
      <c r="CB149" s="469"/>
      <c r="CC149" s="469"/>
      <c r="CD149" s="469"/>
      <c r="CE149" s="469"/>
      <c r="CF149" s="469"/>
      <c r="CG149" s="469"/>
      <c r="CH149" s="469"/>
      <c r="CI149" s="469"/>
      <c r="CJ149" s="469"/>
      <c r="CK149" s="469"/>
      <c r="CL149" s="469"/>
      <c r="CM149" s="469"/>
      <c r="CN149" s="469"/>
      <c r="CO149" s="469"/>
      <c r="CP149" s="469"/>
      <c r="CQ149" s="469"/>
      <c r="CR149" s="469"/>
      <c r="CS149" s="469"/>
      <c r="CT149" s="469"/>
      <c r="CU149" s="469"/>
      <c r="CV149" s="469"/>
      <c r="CW149" s="469"/>
      <c r="CX149" s="469"/>
      <c r="CY149" s="469"/>
      <c r="CZ149" s="469"/>
      <c r="DA149" s="469"/>
      <c r="DB149" s="469"/>
      <c r="DC149" s="469"/>
      <c r="DD149" s="469"/>
      <c r="DE149" s="469"/>
      <c r="DF149" s="469"/>
      <c r="DG149" s="469"/>
      <c r="DH149" s="469"/>
      <c r="DI149" s="469"/>
    </row>
    <row r="150" spans="3:113" s="77" customFormat="1">
      <c r="C150" s="617" t="s">
        <v>655</v>
      </c>
      <c r="S150" s="469"/>
      <c r="T150" s="469"/>
      <c r="U150" s="469"/>
      <c r="V150" s="469"/>
      <c r="W150" s="469"/>
      <c r="X150" s="469"/>
      <c r="Y150" s="469"/>
      <c r="Z150" s="469"/>
      <c r="AA150" s="469"/>
      <c r="AB150" s="469"/>
      <c r="AC150" s="469"/>
      <c r="AD150" s="469"/>
      <c r="AE150" s="469"/>
      <c r="AF150" s="469"/>
      <c r="AG150" s="469"/>
      <c r="AH150" s="469"/>
      <c r="AI150" s="469"/>
      <c r="AJ150" s="469"/>
      <c r="AK150" s="469"/>
      <c r="AL150" s="469"/>
      <c r="AM150" s="469"/>
      <c r="AN150" s="469"/>
      <c r="AO150" s="469"/>
      <c r="AP150" s="469"/>
      <c r="AQ150" s="469"/>
      <c r="AR150" s="469"/>
      <c r="AS150" s="469"/>
      <c r="AT150" s="469"/>
      <c r="AU150" s="469"/>
      <c r="AV150" s="469"/>
      <c r="AW150" s="469"/>
      <c r="AX150" s="469"/>
      <c r="AY150" s="469"/>
      <c r="AZ150" s="469"/>
      <c r="BA150" s="469"/>
      <c r="BB150" s="469"/>
      <c r="BC150" s="469"/>
      <c r="BD150" s="469"/>
      <c r="BE150" s="469"/>
      <c r="BF150" s="469"/>
      <c r="BG150" s="469"/>
      <c r="BH150" s="184"/>
      <c r="BI150" s="184"/>
      <c r="BJ150" s="184"/>
      <c r="BK150" s="184"/>
      <c r="BL150" s="184"/>
      <c r="BM150" s="99">
        <f>BM149/BH149-1</f>
        <v>0.3670601525964623</v>
      </c>
      <c r="BN150" s="99">
        <f>BN149/BI149-1</f>
        <v>-0.13944487333178512</v>
      </c>
      <c r="BO150" s="99">
        <f>BO149/BJ149-1</f>
        <v>-8.6444098435204619E-2</v>
      </c>
      <c r="BP150" s="99">
        <f>BP149/BK149-1</f>
        <v>-0.16890385485249038</v>
      </c>
      <c r="BQ150" s="184"/>
      <c r="BR150" s="99">
        <f>BR149/BM149-1</f>
        <v>-0.27681110784848362</v>
      </c>
      <c r="BS150" s="469"/>
      <c r="BT150" s="469"/>
      <c r="BU150" s="469"/>
      <c r="BV150" s="469"/>
      <c r="BW150" s="99">
        <f>BW149/BR149-1</f>
        <v>0.32281135260236304</v>
      </c>
      <c r="BX150" s="469"/>
      <c r="BY150" s="469"/>
      <c r="BZ150" s="469"/>
      <c r="CA150" s="469"/>
      <c r="CB150" s="469"/>
      <c r="CC150" s="469"/>
      <c r="CD150" s="469"/>
      <c r="CE150" s="469"/>
      <c r="CF150" s="469"/>
      <c r="CG150" s="469"/>
      <c r="CH150" s="469"/>
      <c r="CI150" s="469"/>
      <c r="CJ150" s="469"/>
      <c r="CK150" s="469"/>
      <c r="CL150" s="469"/>
      <c r="CM150" s="469"/>
      <c r="CN150" s="469"/>
      <c r="CO150" s="469"/>
      <c r="CP150" s="469"/>
      <c r="CQ150" s="469"/>
      <c r="CR150" s="469"/>
      <c r="CS150" s="469"/>
      <c r="CT150" s="469"/>
      <c r="CU150" s="469"/>
      <c r="CV150" s="469"/>
      <c r="CW150" s="469"/>
      <c r="CX150" s="469"/>
      <c r="CY150" s="469"/>
      <c r="CZ150" s="469"/>
      <c r="DA150" s="469"/>
      <c r="DB150" s="469"/>
      <c r="DC150" s="469"/>
      <c r="DD150" s="469"/>
      <c r="DE150" s="469"/>
      <c r="DF150" s="469"/>
      <c r="DG150" s="469"/>
      <c r="DH150" s="469"/>
      <c r="DI150" s="469"/>
    </row>
    <row r="151" spans="3:113" s="77" customFormat="1">
      <c r="C151" s="617" t="s">
        <v>656</v>
      </c>
      <c r="S151" s="469"/>
      <c r="T151" s="469"/>
      <c r="U151" s="469"/>
      <c r="V151" s="469"/>
      <c r="W151" s="469"/>
      <c r="X151" s="469"/>
      <c r="Y151" s="469"/>
      <c r="Z151" s="469"/>
      <c r="AA151" s="469"/>
      <c r="AB151" s="469"/>
      <c r="AC151" s="469"/>
      <c r="AD151" s="469"/>
      <c r="AE151" s="469"/>
      <c r="AF151" s="469"/>
      <c r="AG151" s="469"/>
      <c r="AH151" s="469"/>
      <c r="AI151" s="469"/>
      <c r="AJ151" s="469"/>
      <c r="AK151" s="469"/>
      <c r="AL151" s="469"/>
      <c r="AM151" s="469"/>
      <c r="AN151" s="469"/>
      <c r="AO151" s="469"/>
      <c r="AP151" s="469"/>
      <c r="AQ151" s="469"/>
      <c r="AR151" s="469"/>
      <c r="AS151" s="469"/>
      <c r="AT151" s="469"/>
      <c r="AU151" s="469"/>
      <c r="AV151" s="469"/>
      <c r="AW151" s="469"/>
      <c r="AX151" s="469"/>
      <c r="AY151" s="469"/>
      <c r="AZ151" s="469"/>
      <c r="BA151" s="469"/>
      <c r="BB151" s="469"/>
      <c r="BC151" s="469"/>
      <c r="BD151" s="469"/>
      <c r="BE151" s="469"/>
      <c r="BF151" s="469"/>
      <c r="BG151" s="469"/>
      <c r="BH151" s="184"/>
      <c r="BI151" s="99">
        <f>BI149/BH149-1</f>
        <v>0.37050375183147288</v>
      </c>
      <c r="BJ151" s="99">
        <f>BJ149/BI149-1</f>
        <v>-1.6611538952384652E-3</v>
      </c>
      <c r="BK151" s="99">
        <f>BK149/BJ149-1</f>
        <v>4.2411046403191932E-2</v>
      </c>
      <c r="BL151" s="184"/>
      <c r="BM151" s="99">
        <f>BM149/BK149-1</f>
        <v>-4.1503744283057697E-2</v>
      </c>
      <c r="BN151" s="99">
        <f>BN149/BM149-1</f>
        <v>-0.1372771508872016</v>
      </c>
      <c r="BO151" s="99">
        <f>BO149/BN149-1</f>
        <v>5.9825589734737949E-2</v>
      </c>
      <c r="BP151" s="99">
        <f>BP149/BO149-1</f>
        <v>-5.1679485797259672E-2</v>
      </c>
      <c r="BQ151" s="184"/>
      <c r="BR151" s="99">
        <f>BR149/BP149-1</f>
        <v>-0.16595227958820347</v>
      </c>
      <c r="BS151" s="469"/>
      <c r="BT151" s="469"/>
      <c r="BU151" s="469"/>
      <c r="BV151" s="469"/>
      <c r="BW151" s="99" t="e">
        <f>BW149/BU149-1</f>
        <v>#DIV/0!</v>
      </c>
      <c r="BX151" s="469"/>
      <c r="BY151" s="469"/>
      <c r="BZ151" s="469"/>
      <c r="CA151" s="469"/>
      <c r="CB151" s="469"/>
      <c r="CC151" s="469"/>
      <c r="CD151" s="469"/>
      <c r="CE151" s="469"/>
      <c r="CF151" s="469"/>
      <c r="CG151" s="469"/>
      <c r="CH151" s="469"/>
      <c r="CI151" s="469"/>
      <c r="CJ151" s="469"/>
      <c r="CK151" s="469"/>
      <c r="CL151" s="469"/>
      <c r="CM151" s="469"/>
      <c r="CN151" s="469"/>
      <c r="CO151" s="469"/>
      <c r="CP151" s="469"/>
      <c r="CQ151" s="469"/>
      <c r="CR151" s="469"/>
      <c r="CS151" s="469"/>
      <c r="CT151" s="469"/>
      <c r="CU151" s="469"/>
      <c r="CV151" s="469"/>
      <c r="CW151" s="469"/>
      <c r="CX151" s="469"/>
      <c r="CY151" s="469"/>
      <c r="CZ151" s="469"/>
      <c r="DA151" s="469"/>
      <c r="DB151" s="469"/>
      <c r="DC151" s="469"/>
      <c r="DD151" s="469"/>
      <c r="DE151" s="469"/>
      <c r="DF151" s="469"/>
      <c r="DG151" s="469"/>
      <c r="DH151" s="469"/>
      <c r="DI151" s="469"/>
    </row>
    <row r="152" spans="3:113">
      <c r="C152" s="618"/>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2"/>
      <c r="BQ152" s="22"/>
      <c r="BR152" s="22"/>
      <c r="BS152" s="22"/>
      <c r="BT152" s="22"/>
      <c r="BU152" s="22"/>
      <c r="BV152" s="22"/>
      <c r="BW152" s="22"/>
      <c r="BX152" s="22"/>
      <c r="BY152" s="22"/>
      <c r="BZ152" s="22"/>
      <c r="CA152" s="22"/>
      <c r="CB152" s="22"/>
      <c r="CC152" s="22"/>
      <c r="CD152" s="22"/>
      <c r="CE152" s="22"/>
      <c r="CF152" s="22"/>
      <c r="CG152" s="22"/>
      <c r="CH152" s="22"/>
      <c r="CI152" s="22"/>
      <c r="CJ152" s="22"/>
      <c r="CK152" s="22"/>
      <c r="CL152" s="22"/>
      <c r="CM152" s="22"/>
      <c r="CN152" s="22"/>
      <c r="CO152" s="22"/>
      <c r="CP152" s="22"/>
      <c r="CQ152" s="22"/>
      <c r="CR152" s="22"/>
      <c r="CS152" s="22"/>
      <c r="CT152" s="22"/>
      <c r="CU152" s="22"/>
      <c r="CV152" s="22"/>
      <c r="CW152" s="22"/>
      <c r="CX152" s="22"/>
      <c r="CY152" s="22"/>
      <c r="CZ152" s="22"/>
      <c r="DA152" s="22"/>
      <c r="DB152" s="22"/>
      <c r="DC152" s="22"/>
      <c r="DD152" s="22"/>
      <c r="DE152" s="22"/>
      <c r="DF152" s="22"/>
      <c r="DG152" s="22"/>
      <c r="DH152" s="22"/>
      <c r="DI152" s="22"/>
    </row>
    <row r="153" spans="3:113">
      <c r="C153" s="615" t="s">
        <v>750</v>
      </c>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f>BC147*0.5</f>
        <v>600000</v>
      </c>
      <c r="BD153" s="22">
        <f>BD147*0.51</f>
        <v>612000</v>
      </c>
      <c r="BE153" s="22">
        <f>BE147*0.51</f>
        <v>612000</v>
      </c>
      <c r="BF153" s="22">
        <f>BF147*0.5</f>
        <v>625000</v>
      </c>
      <c r="BG153" s="22"/>
      <c r="BH153" s="22">
        <f>BH147*0.5</f>
        <v>650000</v>
      </c>
      <c r="BI153" s="22">
        <f>BI147*0.49</f>
        <v>686000</v>
      </c>
      <c r="BJ153" s="22">
        <f>BJ147*0.49</f>
        <v>686000</v>
      </c>
      <c r="BK153" s="22">
        <f>BK147*0.49</f>
        <v>715400</v>
      </c>
      <c r="BL153" s="22"/>
      <c r="BM153" s="22">
        <f>BM147*0.48</f>
        <v>720000</v>
      </c>
      <c r="BN153" s="22">
        <f>BN147*0.49</f>
        <v>754600</v>
      </c>
      <c r="BO153" s="22">
        <f>BO147*0.49</f>
        <v>759500</v>
      </c>
      <c r="BP153" s="22">
        <f>BP147*0.49</f>
        <v>779100</v>
      </c>
      <c r="BQ153" s="22"/>
      <c r="BR153" s="22">
        <f>BR147*0.47</f>
        <v>728500</v>
      </c>
      <c r="BS153" s="22"/>
      <c r="BT153" s="22"/>
      <c r="BU153" s="22"/>
      <c r="BV153" s="22"/>
      <c r="BW153" s="22">
        <f>BW147*0.47</f>
        <v>728500</v>
      </c>
      <c r="BX153" s="22"/>
      <c r="BY153" s="22"/>
      <c r="BZ153" s="22"/>
      <c r="CA153" s="22"/>
      <c r="CB153" s="22"/>
      <c r="CC153" s="22"/>
      <c r="CD153" s="22"/>
      <c r="CE153" s="22"/>
      <c r="CF153" s="22"/>
      <c r="CG153" s="22"/>
      <c r="CH153" s="22"/>
      <c r="CI153" s="22"/>
      <c r="CJ153" s="22"/>
      <c r="CK153" s="22"/>
      <c r="CL153" s="22"/>
      <c r="CM153" s="22"/>
      <c r="CN153" s="22"/>
      <c r="CO153" s="22"/>
      <c r="CP153" s="22"/>
      <c r="CQ153" s="22"/>
      <c r="CR153" s="22"/>
      <c r="CS153" s="22"/>
      <c r="CT153" s="22"/>
      <c r="CU153" s="22"/>
      <c r="CV153" s="22"/>
      <c r="CW153" s="22"/>
      <c r="CX153" s="22"/>
      <c r="CY153" s="22"/>
      <c r="CZ153" s="22"/>
      <c r="DA153" s="22"/>
      <c r="DB153" s="22"/>
      <c r="DC153" s="22"/>
      <c r="DD153" s="22"/>
      <c r="DE153" s="22"/>
      <c r="DF153" s="22"/>
      <c r="DG153" s="22"/>
      <c r="DH153" s="22"/>
      <c r="DI153" s="22"/>
    </row>
    <row r="154" spans="3:113">
      <c r="C154" s="615" t="s">
        <v>748</v>
      </c>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f>BH153-BC153</f>
        <v>50000</v>
      </c>
      <c r="BI154" s="22">
        <f>BI153-BD153</f>
        <v>74000</v>
      </c>
      <c r="BJ154" s="22">
        <f>BJ153-BE153</f>
        <v>74000</v>
      </c>
      <c r="BK154" s="22">
        <f>BK153-BF153</f>
        <v>90400</v>
      </c>
      <c r="BL154" s="22"/>
      <c r="BM154" s="22">
        <f>BM153-BH153</f>
        <v>70000</v>
      </c>
      <c r="BN154" s="22">
        <f>BN153-BI153</f>
        <v>68600</v>
      </c>
      <c r="BO154" s="22">
        <f>BO153-BJ153</f>
        <v>73500</v>
      </c>
      <c r="BP154" s="22">
        <f>BP153-BK153</f>
        <v>63700</v>
      </c>
      <c r="BQ154" s="22"/>
      <c r="BR154" s="22">
        <f>BR153-BM153</f>
        <v>8500</v>
      </c>
      <c r="BS154" s="22"/>
      <c r="BT154" s="22"/>
      <c r="BU154" s="22"/>
      <c r="BV154" s="22"/>
      <c r="BW154" s="22">
        <f>BW153-BR153</f>
        <v>0</v>
      </c>
      <c r="BX154" s="22"/>
      <c r="BY154" s="22"/>
      <c r="BZ154" s="22"/>
      <c r="CA154" s="22"/>
      <c r="CB154" s="22"/>
      <c r="CC154" s="22"/>
      <c r="CD154" s="22"/>
      <c r="CE154" s="22"/>
      <c r="CF154" s="22"/>
      <c r="CG154" s="22"/>
      <c r="CH154" s="22"/>
      <c r="CI154" s="22"/>
      <c r="CJ154" s="22"/>
      <c r="CK154" s="22"/>
      <c r="CL154" s="22"/>
      <c r="CM154" s="22"/>
      <c r="CN154" s="22"/>
      <c r="CO154" s="22"/>
      <c r="CP154" s="22"/>
      <c r="CQ154" s="22"/>
      <c r="CR154" s="22"/>
      <c r="CS154" s="22"/>
      <c r="CT154" s="22"/>
      <c r="CU154" s="22"/>
      <c r="CV154" s="22"/>
      <c r="CW154" s="22"/>
      <c r="CX154" s="22"/>
      <c r="CY154" s="22"/>
      <c r="CZ154" s="22"/>
      <c r="DA154" s="22"/>
      <c r="DB154" s="22"/>
      <c r="DC154" s="22"/>
      <c r="DD154" s="22"/>
      <c r="DE154" s="22"/>
      <c r="DF154" s="22"/>
      <c r="DG154" s="22"/>
      <c r="DH154" s="22"/>
      <c r="DI154" s="22"/>
    </row>
    <row r="155" spans="3:113" s="77" customFormat="1">
      <c r="C155" s="616" t="s">
        <v>749</v>
      </c>
      <c r="S155" s="469"/>
      <c r="T155" s="469"/>
      <c r="U155" s="469"/>
      <c r="V155" s="469"/>
      <c r="W155" s="469"/>
      <c r="X155" s="469"/>
      <c r="Y155" s="469"/>
      <c r="Z155" s="469"/>
      <c r="AA155" s="469"/>
      <c r="AB155" s="469"/>
      <c r="AC155" s="469"/>
      <c r="AD155" s="469"/>
      <c r="AE155" s="469"/>
      <c r="AF155" s="469"/>
      <c r="AG155" s="469"/>
      <c r="AH155" s="469"/>
      <c r="AI155" s="469"/>
      <c r="AJ155" s="469"/>
      <c r="AK155" s="469"/>
      <c r="AL155" s="469"/>
      <c r="AM155" s="469"/>
      <c r="AN155" s="469"/>
      <c r="AO155" s="469"/>
      <c r="AP155" s="469"/>
      <c r="AQ155" s="469"/>
      <c r="AR155" s="469"/>
      <c r="AS155" s="469"/>
      <c r="AT155" s="469"/>
      <c r="AU155" s="469"/>
      <c r="AV155" s="469"/>
      <c r="AW155" s="469"/>
      <c r="AX155" s="469"/>
      <c r="AY155" s="469"/>
      <c r="AZ155" s="469"/>
      <c r="BA155" s="469"/>
      <c r="BB155" s="469"/>
      <c r="BC155" s="469"/>
      <c r="BD155" s="469"/>
      <c r="BE155" s="469"/>
      <c r="BF155" s="469"/>
      <c r="BG155" s="469"/>
      <c r="BH155" s="469">
        <f>BH154+BH8</f>
        <v>117275</v>
      </c>
      <c r="BI155" s="469">
        <f>BI154+BI8</f>
        <v>147475</v>
      </c>
      <c r="BJ155" s="469">
        <f>BJ154+BJ8</f>
        <v>149272</v>
      </c>
      <c r="BK155" s="469">
        <f>BK154+BK8</f>
        <v>170730</v>
      </c>
      <c r="BL155" s="469"/>
      <c r="BM155" s="469">
        <f>BM154+BM8</f>
        <v>151723</v>
      </c>
      <c r="BN155" s="469">
        <f>BN154+BN8</f>
        <v>154238</v>
      </c>
      <c r="BO155" s="469">
        <f>BO154+BO8</f>
        <v>162790</v>
      </c>
      <c r="BP155" s="469">
        <f>BP154+BP8</f>
        <v>157697</v>
      </c>
      <c r="BQ155" s="469"/>
      <c r="BR155" s="469">
        <f>BR154+BR8</f>
        <v>110979</v>
      </c>
      <c r="BS155" s="469"/>
      <c r="BT155" s="469"/>
      <c r="BU155" s="469"/>
      <c r="BV155" s="469"/>
      <c r="BW155" s="469">
        <f>BW154+BW8</f>
        <v>245443</v>
      </c>
      <c r="BX155" s="469"/>
      <c r="BY155" s="469"/>
      <c r="BZ155" s="469"/>
      <c r="CA155" s="469"/>
      <c r="CB155" s="469"/>
      <c r="CC155" s="469"/>
      <c r="CD155" s="469"/>
      <c r="CE155" s="469"/>
      <c r="CF155" s="469"/>
      <c r="CG155" s="469"/>
      <c r="CH155" s="469"/>
      <c r="CI155" s="469"/>
      <c r="CJ155" s="469"/>
      <c r="CK155" s="469"/>
      <c r="CL155" s="469"/>
      <c r="CM155" s="469"/>
      <c r="CN155" s="469"/>
      <c r="CO155" s="469"/>
      <c r="CP155" s="469"/>
      <c r="CQ155" s="469"/>
      <c r="CR155" s="469"/>
      <c r="CS155" s="469"/>
      <c r="CT155" s="469"/>
      <c r="CU155" s="469"/>
      <c r="CV155" s="469"/>
      <c r="CW155" s="469"/>
      <c r="CX155" s="469"/>
      <c r="CY155" s="469"/>
      <c r="CZ155" s="469"/>
      <c r="DA155" s="469"/>
      <c r="DB155" s="469"/>
      <c r="DC155" s="469"/>
      <c r="DD155" s="469"/>
      <c r="DE155" s="469"/>
      <c r="DF155" s="469"/>
      <c r="DG155" s="469"/>
      <c r="DH155" s="469"/>
      <c r="DI155" s="469"/>
    </row>
    <row r="156" spans="3:113">
      <c r="C156" s="617" t="s">
        <v>655</v>
      </c>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184"/>
      <c r="BI156" s="184"/>
      <c r="BJ156" s="184"/>
      <c r="BK156" s="184"/>
      <c r="BL156" s="184"/>
      <c r="BM156" s="99">
        <f>BM155/BH155-1</f>
        <v>0.29373694308249831</v>
      </c>
      <c r="BN156" s="99">
        <f>BN155/BI155-1</f>
        <v>4.5858620105102554E-2</v>
      </c>
      <c r="BO156" s="99">
        <f>BO155/BJ155-1</f>
        <v>9.0559515515300948E-2</v>
      </c>
      <c r="BP156" s="99">
        <f>BP155/BK155-1</f>
        <v>-7.6336906226205148E-2</v>
      </c>
      <c r="BQ156" s="184"/>
      <c r="BR156" s="99">
        <f>BR155/BM155-1</f>
        <v>-0.26854201406510547</v>
      </c>
      <c r="BS156" s="22"/>
      <c r="BT156" s="22"/>
      <c r="BU156" s="22"/>
      <c r="BV156" s="22"/>
      <c r="BW156" s="99">
        <f>BW155/BR155-1</f>
        <v>1.2116166121518486</v>
      </c>
      <c r="BX156" s="22"/>
      <c r="BY156" s="22"/>
      <c r="BZ156" s="22"/>
      <c r="CA156" s="22"/>
      <c r="CB156" s="22"/>
      <c r="CC156" s="22"/>
      <c r="CD156" s="22"/>
      <c r="CE156" s="22"/>
      <c r="CF156" s="22"/>
      <c r="CG156" s="22"/>
      <c r="CH156" s="22"/>
      <c r="CI156" s="22"/>
      <c r="CJ156" s="22"/>
      <c r="CK156" s="22"/>
      <c r="CL156" s="22"/>
      <c r="CM156" s="22"/>
      <c r="CN156" s="22"/>
      <c r="CO156" s="22"/>
      <c r="CP156" s="22"/>
      <c r="CQ156" s="22"/>
      <c r="CR156" s="22"/>
      <c r="CS156" s="22"/>
      <c r="CT156" s="22"/>
      <c r="CU156" s="22"/>
      <c r="CV156" s="22"/>
      <c r="CW156" s="22"/>
      <c r="CX156" s="22"/>
      <c r="CY156" s="22"/>
      <c r="CZ156" s="22"/>
      <c r="DA156" s="22"/>
      <c r="DB156" s="22"/>
      <c r="DC156" s="22"/>
      <c r="DD156" s="22"/>
      <c r="DE156" s="22"/>
      <c r="DF156" s="22"/>
      <c r="DG156" s="22"/>
      <c r="DH156" s="22"/>
      <c r="DI156" s="22"/>
    </row>
    <row r="157" spans="3:113" ht="13.5" thickBot="1">
      <c r="C157" s="619" t="s">
        <v>655</v>
      </c>
      <c r="BH157" s="184"/>
      <c r="BI157" s="99">
        <f>BI155/BH155-1</f>
        <v>0.2575143892560221</v>
      </c>
      <c r="BJ157" s="99">
        <f>BJ155/BI155-1</f>
        <v>1.2185116121376405E-2</v>
      </c>
      <c r="BK157" s="99">
        <f>BK155/BJ155-1</f>
        <v>0.14375100487700299</v>
      </c>
      <c r="BL157" s="184"/>
      <c r="BM157" s="99">
        <f>BM155/BK155-1</f>
        <v>-0.11132782756398996</v>
      </c>
      <c r="BN157" s="99">
        <f>BN155/BM155-1</f>
        <v>1.6576260685591482E-2</v>
      </c>
      <c r="BO157" s="99">
        <f>BO155/BN155-1</f>
        <v>5.5446777058831165E-2</v>
      </c>
      <c r="BP157" s="99">
        <f>BP155/BO155-1</f>
        <v>-3.1285705510166517E-2</v>
      </c>
      <c r="BQ157" s="184"/>
      <c r="BR157" s="99">
        <f>BR155/BP155-1</f>
        <v>-0.29625167251120821</v>
      </c>
      <c r="BW157" s="99" t="e">
        <f>BW155/BU155-1</f>
        <v>#DIV/0!</v>
      </c>
    </row>
    <row r="159" spans="3:113">
      <c r="BN159" s="67">
        <v>1.1180000000000001</v>
      </c>
    </row>
    <row r="160" spans="3:113">
      <c r="BN160" s="67">
        <v>1.1299999999999999</v>
      </c>
    </row>
    <row r="161" spans="66:67">
      <c r="BN161" s="67">
        <f>(BN160+BN159)/2</f>
        <v>1.1240000000000001</v>
      </c>
    </row>
    <row r="162" spans="66:67">
      <c r="BO162" s="67">
        <f>1.13-1.118</f>
        <v>1.1999999999999789E-2</v>
      </c>
    </row>
  </sheetData>
  <mergeCells count="12">
    <mergeCell ref="CG136:CJ136"/>
    <mergeCell ref="AI136:AL136"/>
    <mergeCell ref="AD136:AG136"/>
    <mergeCell ref="AS136:AV136"/>
    <mergeCell ref="AX136:BA136"/>
    <mergeCell ref="BC136:BF136"/>
    <mergeCell ref="CB136:CE136"/>
    <mergeCell ref="BW136:BZ136"/>
    <mergeCell ref="BR136:BU136"/>
    <mergeCell ref="BM136:BP136"/>
    <mergeCell ref="AN136:AQ136"/>
    <mergeCell ref="BH136:BK136"/>
  </mergeCells>
  <pageMargins left="0.17" right="0.17" top="0.75" bottom="0.75" header="0.3" footer="0.3"/>
  <pageSetup scale="4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CU68"/>
  <sheetViews>
    <sheetView showGridLines="0" zoomScaleNormal="100" workbookViewId="0">
      <pane xSplit="3" ySplit="4" topLeftCell="CK50" activePane="bottomRight" state="frozen"/>
      <selection activeCell="BL41" sqref="BL41"/>
      <selection pane="topRight" activeCell="BL41" sqref="BL41"/>
      <selection pane="bottomLeft" activeCell="BL41" sqref="BL41"/>
      <selection pane="bottomRight" activeCell="CT63" sqref="CT63"/>
    </sheetView>
  </sheetViews>
  <sheetFormatPr defaultColWidth="9.1328125" defaultRowHeight="12.75" outlineLevelRow="1" outlineLevelCol="1"/>
  <cols>
    <col min="1" max="1" width="1.59765625" style="7" customWidth="1"/>
    <col min="2" max="2" width="1.86328125" style="7" customWidth="1"/>
    <col min="3" max="3" width="36.86328125" style="7" customWidth="1"/>
    <col min="4" max="53" width="10.59765625" style="7" hidden="1" customWidth="1" outlineLevel="1"/>
    <col min="54" max="54" width="10.59765625" style="7" hidden="1" customWidth="1" collapsed="1"/>
    <col min="55" max="58" width="10.59765625" style="7" hidden="1" customWidth="1" outlineLevel="1"/>
    <col min="59" max="59" width="10.59765625" style="7" hidden="1" customWidth="1" collapsed="1"/>
    <col min="60" max="63" width="10.59765625" style="7" hidden="1" customWidth="1" outlineLevel="1"/>
    <col min="64" max="64" width="10.59765625" style="7" customWidth="1" collapsed="1"/>
    <col min="65" max="68" width="10.59765625" style="7" hidden="1" customWidth="1" outlineLevel="1"/>
    <col min="69" max="69" width="10.59765625" style="7" customWidth="1" collapsed="1"/>
    <col min="70" max="73" width="10.59765625" style="7" hidden="1" customWidth="1" outlineLevel="1"/>
    <col min="74" max="74" width="10.59765625" style="7" customWidth="1" collapsed="1"/>
    <col min="75" max="78" width="10.59765625" style="7" hidden="1" customWidth="1" outlineLevel="1"/>
    <col min="79" max="79" width="10.59765625" style="7" customWidth="1" collapsed="1"/>
    <col min="80" max="83" width="10.265625" style="7" bestFit="1" customWidth="1" outlineLevel="1"/>
    <col min="84" max="84" width="12.86328125" style="7" customWidth="1"/>
    <col min="85" max="85" width="10.1328125" style="7" bestFit="1" customWidth="1" outlineLevel="1"/>
    <col min="86" max="88" width="10.265625" style="7" bestFit="1" customWidth="1" outlineLevel="1"/>
    <col min="89" max="89" width="10.1328125" style="7" bestFit="1" customWidth="1"/>
    <col min="90" max="90" width="10.1328125" style="7" bestFit="1" customWidth="1" outlineLevel="1"/>
    <col min="91" max="93" width="10.265625" style="7" bestFit="1" customWidth="1" outlineLevel="1"/>
    <col min="94" max="94" width="10.1328125" style="7" customWidth="1"/>
    <col min="95" max="98" width="10.265625" style="7" bestFit="1" customWidth="1" outlineLevel="1"/>
    <col min="99" max="99" width="10.1328125" style="7" customWidth="1"/>
    <col min="100" max="16384" width="9.1328125" style="7"/>
  </cols>
  <sheetData>
    <row r="1" spans="2:99" ht="10.35" customHeight="1">
      <c r="T1" s="10"/>
    </row>
    <row r="2" spans="2:99" ht="15">
      <c r="B2" s="1" t="str">
        <f>'Income Statement'!B2</f>
        <v>Tyler Technologies (TYL)</v>
      </c>
      <c r="C2" s="1"/>
      <c r="D2" s="27"/>
      <c r="E2" s="27"/>
      <c r="F2" s="27"/>
      <c r="G2" s="27"/>
      <c r="H2" s="27"/>
      <c r="I2" s="27"/>
      <c r="J2" s="27"/>
      <c r="K2" s="27"/>
      <c r="L2" s="27"/>
      <c r="M2" s="27"/>
      <c r="T2" s="10"/>
      <c r="Z2" s="22"/>
      <c r="AN2" s="22"/>
    </row>
    <row r="3" spans="2:99" ht="4.9000000000000004" customHeight="1" thickBot="1">
      <c r="T3" s="10"/>
    </row>
    <row r="4" spans="2:99" ht="13.5" thickBot="1">
      <c r="B4" s="1078" t="s">
        <v>59</v>
      </c>
      <c r="C4" s="1079"/>
      <c r="D4" s="1080">
        <v>2007</v>
      </c>
      <c r="E4" s="1085" t="s">
        <v>1</v>
      </c>
      <c r="F4" s="1082" t="s">
        <v>2</v>
      </c>
      <c r="G4" s="1082" t="s">
        <v>3</v>
      </c>
      <c r="H4" s="1086" t="s">
        <v>4</v>
      </c>
      <c r="I4" s="1086">
        <v>2008</v>
      </c>
      <c r="J4" s="1085" t="s">
        <v>5</v>
      </c>
      <c r="K4" s="1082" t="s">
        <v>6</v>
      </c>
      <c r="L4" s="1082" t="s">
        <v>7</v>
      </c>
      <c r="M4" s="1086" t="s">
        <v>8</v>
      </c>
      <c r="N4" s="1086">
        <v>2009</v>
      </c>
      <c r="O4" s="1085" t="s">
        <v>9</v>
      </c>
      <c r="P4" s="1082" t="s">
        <v>10</v>
      </c>
      <c r="Q4" s="1082" t="s">
        <v>11</v>
      </c>
      <c r="R4" s="1086" t="s">
        <v>12</v>
      </c>
      <c r="S4" s="1086">
        <v>2010</v>
      </c>
      <c r="T4" s="1085" t="s">
        <v>13</v>
      </c>
      <c r="U4" s="1082" t="s">
        <v>14</v>
      </c>
      <c r="V4" s="1082" t="s">
        <v>15</v>
      </c>
      <c r="W4" s="1086" t="s">
        <v>16</v>
      </c>
      <c r="X4" s="1086">
        <v>2011</v>
      </c>
      <c r="Y4" s="1085" t="s">
        <v>17</v>
      </c>
      <c r="Z4" s="1082" t="s">
        <v>125</v>
      </c>
      <c r="AA4" s="1082" t="s">
        <v>405</v>
      </c>
      <c r="AB4" s="1086" t="s">
        <v>413</v>
      </c>
      <c r="AC4" s="1086">
        <v>2012</v>
      </c>
      <c r="AD4" s="1085" t="s">
        <v>428</v>
      </c>
      <c r="AE4" s="1082" t="s">
        <v>431</v>
      </c>
      <c r="AF4" s="1082" t="s">
        <v>432</v>
      </c>
      <c r="AG4" s="1086" t="s">
        <v>433</v>
      </c>
      <c r="AH4" s="1086">
        <v>2013</v>
      </c>
      <c r="AI4" s="1085" t="s">
        <v>449</v>
      </c>
      <c r="AJ4" s="1082" t="s">
        <v>454</v>
      </c>
      <c r="AK4" s="1082" t="s">
        <v>455</v>
      </c>
      <c r="AL4" s="1086" t="s">
        <v>456</v>
      </c>
      <c r="AM4" s="1086">
        <v>2014</v>
      </c>
      <c r="AN4" s="1085" t="s">
        <v>471</v>
      </c>
      <c r="AO4" s="1082" t="s">
        <v>472</v>
      </c>
      <c r="AP4" s="1082" t="s">
        <v>473</v>
      </c>
      <c r="AQ4" s="1086" t="s">
        <v>474</v>
      </c>
      <c r="AR4" s="1086">
        <v>2015</v>
      </c>
      <c r="AS4" s="1085" t="s">
        <v>497</v>
      </c>
      <c r="AT4" s="1082" t="s">
        <v>498</v>
      </c>
      <c r="AU4" s="1082" t="s">
        <v>499</v>
      </c>
      <c r="AV4" s="1086" t="s">
        <v>500</v>
      </c>
      <c r="AW4" s="1086">
        <v>2016</v>
      </c>
      <c r="AX4" s="1085" t="s">
        <v>633</v>
      </c>
      <c r="AY4" s="1082" t="s">
        <v>638</v>
      </c>
      <c r="AZ4" s="1082" t="s">
        <v>639</v>
      </c>
      <c r="BA4" s="1086" t="s">
        <v>641</v>
      </c>
      <c r="BB4" s="1086">
        <v>2017</v>
      </c>
      <c r="BC4" s="1085" t="s">
        <v>645</v>
      </c>
      <c r="BD4" s="1082" t="s">
        <v>648</v>
      </c>
      <c r="BE4" s="1082" t="s">
        <v>647</v>
      </c>
      <c r="BF4" s="1086" t="s">
        <v>646</v>
      </c>
      <c r="BG4" s="1086">
        <v>2018</v>
      </c>
      <c r="BH4" s="1085" t="s">
        <v>669</v>
      </c>
      <c r="BI4" s="1082" t="s">
        <v>673</v>
      </c>
      <c r="BJ4" s="1082" t="s">
        <v>674</v>
      </c>
      <c r="BK4" s="1086" t="s">
        <v>675</v>
      </c>
      <c r="BL4" s="1086">
        <v>2019</v>
      </c>
      <c r="BM4" s="1085" t="s">
        <v>685</v>
      </c>
      <c r="BN4" s="1082" t="s">
        <v>687</v>
      </c>
      <c r="BO4" s="1082" t="s">
        <v>688</v>
      </c>
      <c r="BP4" s="1086" t="s">
        <v>689</v>
      </c>
      <c r="BQ4" s="1086">
        <v>2020</v>
      </c>
      <c r="BR4" s="1085" t="s">
        <v>738</v>
      </c>
      <c r="BS4" s="1082" t="s">
        <v>761</v>
      </c>
      <c r="BT4" s="1082" t="s">
        <v>777</v>
      </c>
      <c r="BU4" s="1086" t="s">
        <v>781</v>
      </c>
      <c r="BV4" s="1086">
        <v>2021</v>
      </c>
      <c r="BW4" s="1082" t="s">
        <v>888</v>
      </c>
      <c r="BX4" s="1082" t="s">
        <v>899</v>
      </c>
      <c r="BY4" s="1082" t="s">
        <v>905</v>
      </c>
      <c r="BZ4" s="1086" t="s">
        <v>916</v>
      </c>
      <c r="CA4" s="1086">
        <v>2022</v>
      </c>
      <c r="CB4" s="1085" t="str">
        <f>'Income Statement'!CB4</f>
        <v>1Q23</v>
      </c>
      <c r="CC4" s="1082" t="str">
        <f>'Income Statement'!CC4</f>
        <v>2Q23</v>
      </c>
      <c r="CD4" s="1082" t="str">
        <f>'Income Statement'!CD4</f>
        <v>3Q23</v>
      </c>
      <c r="CE4" s="1086" t="str">
        <f>'Income Statement'!CE4</f>
        <v>4Q23</v>
      </c>
      <c r="CF4" s="1086">
        <f>'Income Statement'!CF4</f>
        <v>2023</v>
      </c>
      <c r="CG4" s="1103" t="str">
        <f>'Income Statement'!CG4</f>
        <v>1Q24</v>
      </c>
      <c r="CH4" s="1082" t="str">
        <f>'Income Statement'!CH4</f>
        <v>2Q24</v>
      </c>
      <c r="CI4" s="1082" t="str">
        <f>'Income Statement'!CI4</f>
        <v>3Q24</v>
      </c>
      <c r="CJ4" s="1086" t="str">
        <f>'Income Statement'!CJ4</f>
        <v>4Q24</v>
      </c>
      <c r="CK4" s="1104">
        <f>'Income Statement'!CK4</f>
        <v>2024</v>
      </c>
      <c r="CL4" s="1103" t="str">
        <f>'Income Statement'!CL4</f>
        <v>1Q25</v>
      </c>
      <c r="CM4" s="1082" t="str">
        <f>'Income Statement'!CM4</f>
        <v>2Q25</v>
      </c>
      <c r="CN4" s="1082" t="str">
        <f>'Income Statement'!CN4</f>
        <v>3Q25</v>
      </c>
      <c r="CO4" s="1086" t="str">
        <f>'Income Statement'!CO4</f>
        <v>4Q25</v>
      </c>
      <c r="CP4" s="1086">
        <f>'Income Statement'!CP4</f>
        <v>2025</v>
      </c>
      <c r="CQ4" s="1085" t="str">
        <f>'Income Statement'!CQ4</f>
        <v>1Q26E</v>
      </c>
      <c r="CR4" s="1082" t="str">
        <f>'Income Statement'!CR4</f>
        <v>2Q26E</v>
      </c>
      <c r="CS4" s="1082" t="str">
        <f>'Income Statement'!CS4</f>
        <v>3Q26E</v>
      </c>
      <c r="CT4" s="1086" t="str">
        <f>'Income Statement'!CT4</f>
        <v>4Q26E</v>
      </c>
      <c r="CU4" s="1086" t="str">
        <f>'Income Statement'!CU4</f>
        <v>2026E</v>
      </c>
    </row>
    <row r="5" spans="2:99" ht="18" customHeight="1">
      <c r="B5" s="34" t="s">
        <v>72</v>
      </c>
      <c r="D5" s="65"/>
      <c r="E5" s="12"/>
      <c r="F5" s="12"/>
      <c r="G5" s="12"/>
      <c r="H5" s="12"/>
      <c r="I5" s="65"/>
      <c r="J5" s="12"/>
      <c r="K5" s="12"/>
      <c r="L5" s="12"/>
      <c r="M5" s="12"/>
      <c r="N5" s="65"/>
      <c r="O5" s="12"/>
      <c r="P5" s="12"/>
      <c r="Q5" s="12"/>
      <c r="R5" s="12"/>
      <c r="S5" s="65"/>
      <c r="T5" s="12"/>
      <c r="U5" s="12"/>
      <c r="V5" s="12"/>
      <c r="W5" s="12"/>
      <c r="X5" s="65"/>
      <c r="Y5" s="12"/>
      <c r="Z5" s="12"/>
      <c r="AA5" s="12"/>
      <c r="AB5" s="12"/>
      <c r="AC5" s="65"/>
      <c r="AD5" s="12"/>
      <c r="AE5" s="12"/>
      <c r="AF5" s="12"/>
      <c r="AG5" s="12"/>
      <c r="AH5" s="65"/>
      <c r="AI5" s="12"/>
      <c r="AJ5" s="12"/>
      <c r="AK5" s="12"/>
      <c r="AL5" s="12"/>
      <c r="AM5" s="65"/>
      <c r="AN5" s="12"/>
      <c r="AO5" s="12"/>
      <c r="AP5" s="12"/>
      <c r="AQ5" s="12"/>
      <c r="AR5" s="65"/>
      <c r="AS5" s="12"/>
      <c r="AT5" s="12"/>
      <c r="AU5" s="12"/>
      <c r="AV5" s="12"/>
      <c r="AW5" s="65"/>
      <c r="AX5" s="12"/>
      <c r="AY5" s="12"/>
      <c r="AZ5" s="12"/>
      <c r="BA5" s="12"/>
      <c r="BB5" s="65"/>
      <c r="BC5" s="12"/>
      <c r="BD5" s="12"/>
      <c r="BE5" s="12"/>
      <c r="BF5" s="12"/>
      <c r="BG5" s="65"/>
      <c r="BH5" s="12"/>
      <c r="BI5" s="12"/>
      <c r="BJ5" s="12"/>
      <c r="BK5" s="12"/>
      <c r="BL5" s="65"/>
      <c r="BM5" s="12"/>
      <c r="BN5" s="12"/>
      <c r="BO5" s="12"/>
      <c r="BP5" s="12"/>
      <c r="BQ5" s="65"/>
      <c r="BR5" s="12"/>
      <c r="BS5" s="12"/>
      <c r="BT5" s="12"/>
      <c r="BU5" s="12"/>
      <c r="BV5" s="65"/>
      <c r="BW5" s="12"/>
      <c r="BX5" s="12"/>
      <c r="BY5" s="12"/>
      <c r="BZ5" s="12"/>
      <c r="CA5" s="65"/>
      <c r="CB5" s="12"/>
      <c r="CC5" s="12"/>
      <c r="CD5" s="12"/>
      <c r="CE5" s="12"/>
      <c r="CF5" s="65"/>
      <c r="CG5" s="12"/>
      <c r="CH5" s="12"/>
      <c r="CI5" s="12"/>
      <c r="CJ5" s="12"/>
      <c r="CK5" s="65"/>
      <c r="CL5" s="12"/>
      <c r="CM5" s="12"/>
      <c r="CN5" s="12"/>
      <c r="CO5" s="12"/>
      <c r="CP5" s="65"/>
      <c r="CQ5" s="12"/>
      <c r="CR5" s="12"/>
      <c r="CS5" s="12"/>
      <c r="CT5" s="12"/>
      <c r="CU5" s="65"/>
    </row>
    <row r="6" spans="2:99">
      <c r="B6" s="8"/>
      <c r="C6" s="7" t="s">
        <v>61</v>
      </c>
      <c r="D6" s="13">
        <v>55694</v>
      </c>
      <c r="E6" s="12">
        <v>40298</v>
      </c>
      <c r="F6" s="12">
        <v>38144</v>
      </c>
      <c r="G6" s="12">
        <v>29361</v>
      </c>
      <c r="H6" s="12">
        <v>7619</v>
      </c>
      <c r="I6" s="13">
        <f>H6</f>
        <v>7619</v>
      </c>
      <c r="J6" s="12">
        <v>7393</v>
      </c>
      <c r="K6" s="12">
        <v>9449</v>
      </c>
      <c r="L6" s="12">
        <v>7895</v>
      </c>
      <c r="M6" s="12">
        <v>15746</v>
      </c>
      <c r="N6" s="13">
        <f>M6</f>
        <v>15746</v>
      </c>
      <c r="O6" s="12">
        <v>9051</v>
      </c>
      <c r="P6" s="12">
        <v>6217</v>
      </c>
      <c r="Q6" s="12">
        <v>6449</v>
      </c>
      <c r="R6" s="12">
        <v>2139</v>
      </c>
      <c r="S6" s="13">
        <f>R6</f>
        <v>2139</v>
      </c>
      <c r="T6" s="12">
        <v>2248</v>
      </c>
      <c r="U6" s="12">
        <v>1437</v>
      </c>
      <c r="V6" s="12">
        <v>5280</v>
      </c>
      <c r="W6" s="12">
        <v>1351</v>
      </c>
      <c r="X6" s="13">
        <f>W6</f>
        <v>1351</v>
      </c>
      <c r="Y6" s="12">
        <v>9932</v>
      </c>
      <c r="Z6" s="12">
        <f>312+50</f>
        <v>362</v>
      </c>
      <c r="AA6" s="12">
        <v>103</v>
      </c>
      <c r="AB6" s="12">
        <v>6406</v>
      </c>
      <c r="AC6" s="13">
        <f>AB6</f>
        <v>6406</v>
      </c>
      <c r="AD6" s="12">
        <v>4495</v>
      </c>
      <c r="AE6" s="12">
        <v>3068</v>
      </c>
      <c r="AF6" s="12">
        <v>52121</v>
      </c>
      <c r="AG6" s="12">
        <v>78876</v>
      </c>
      <c r="AH6" s="13">
        <f>AG6</f>
        <v>78876</v>
      </c>
      <c r="AI6" s="12">
        <v>97145</v>
      </c>
      <c r="AJ6" s="12">
        <f>88092+800</f>
        <v>88892</v>
      </c>
      <c r="AK6" s="12">
        <v>157431</v>
      </c>
      <c r="AL6" s="12">
        <v>206167</v>
      </c>
      <c r="AM6" s="13">
        <f>AL6</f>
        <v>206167</v>
      </c>
      <c r="AN6" s="12">
        <v>194721</v>
      </c>
      <c r="AO6" s="12">
        <v>204103</v>
      </c>
      <c r="AP6" s="12">
        <v>238614</v>
      </c>
      <c r="AQ6" s="12">
        <v>33087</v>
      </c>
      <c r="AR6" s="13">
        <f>AQ6</f>
        <v>33087</v>
      </c>
      <c r="AS6" s="12">
        <v>35341</v>
      </c>
      <c r="AT6" s="12">
        <v>41327</v>
      </c>
      <c r="AU6" s="12">
        <v>23314</v>
      </c>
      <c r="AV6" s="12">
        <v>36151</v>
      </c>
      <c r="AW6" s="13">
        <f>AV6</f>
        <v>36151</v>
      </c>
      <c r="AX6" s="12">
        <v>63731</v>
      </c>
      <c r="AY6" s="12">
        <v>55072</v>
      </c>
      <c r="AZ6" s="12">
        <v>124603</v>
      </c>
      <c r="BA6" s="12">
        <v>185926</v>
      </c>
      <c r="BB6" s="13">
        <f>BA6</f>
        <v>185926</v>
      </c>
      <c r="BC6" s="12">
        <v>210616</v>
      </c>
      <c r="BD6" s="12">
        <v>93247</v>
      </c>
      <c r="BE6" s="12">
        <v>219452</v>
      </c>
      <c r="BF6" s="12">
        <v>134279</v>
      </c>
      <c r="BG6" s="13">
        <f>BF6</f>
        <v>134279</v>
      </c>
      <c r="BH6" s="12">
        <v>39437</v>
      </c>
      <c r="BI6" s="12">
        <v>11187</v>
      </c>
      <c r="BJ6" s="12">
        <v>161438</v>
      </c>
      <c r="BK6" s="12">
        <v>232682</v>
      </c>
      <c r="BL6" s="13">
        <f>BK6</f>
        <v>232682</v>
      </c>
      <c r="BM6" s="12">
        <v>301985</v>
      </c>
      <c r="BN6" s="12">
        <v>351336</v>
      </c>
      <c r="BO6" s="12">
        <v>518685</v>
      </c>
      <c r="BP6" s="12">
        <v>603623</v>
      </c>
      <c r="BQ6" s="13">
        <f>BP6</f>
        <v>603623</v>
      </c>
      <c r="BR6" s="12">
        <v>1250752</v>
      </c>
      <c r="BS6" s="12">
        <v>216773</v>
      </c>
      <c r="BT6" s="12">
        <f>234128</f>
        <v>234128</v>
      </c>
      <c r="BU6" s="12">
        <v>309171</v>
      </c>
      <c r="BV6" s="13">
        <f>BU6</f>
        <v>309171</v>
      </c>
      <c r="BW6" s="12">
        <v>243262</v>
      </c>
      <c r="BX6" s="12">
        <v>253062</v>
      </c>
      <c r="BY6" s="12">
        <v>185927</v>
      </c>
      <c r="BZ6" s="12">
        <v>173857</v>
      </c>
      <c r="CA6" s="13">
        <f>BZ6</f>
        <v>173857</v>
      </c>
      <c r="CB6" s="12">
        <v>130845</v>
      </c>
      <c r="CC6" s="12">
        <v>118764</v>
      </c>
      <c r="CD6" s="12">
        <v>131486</v>
      </c>
      <c r="CE6" s="12">
        <v>165493</v>
      </c>
      <c r="CF6" s="13">
        <f>CE6</f>
        <v>165493</v>
      </c>
      <c r="CG6" s="12">
        <v>188237</v>
      </c>
      <c r="CH6" s="12">
        <v>250722</v>
      </c>
      <c r="CI6" s="12">
        <f>538296</f>
        <v>538296</v>
      </c>
      <c r="CJ6" s="12">
        <v>744721</v>
      </c>
      <c r="CK6" s="13">
        <f>CJ6</f>
        <v>744721</v>
      </c>
      <c r="CL6" s="12">
        <v>705729</v>
      </c>
      <c r="CM6" s="12">
        <v>787447</v>
      </c>
      <c r="CN6" s="12">
        <v>834101</v>
      </c>
      <c r="CO6" s="12">
        <v>1015400</v>
      </c>
      <c r="CP6" s="13">
        <f>CO6</f>
        <v>1015400</v>
      </c>
      <c r="CQ6" s="12">
        <f>CP6+'Cash Flows'!CQ56</f>
        <v>989383.91618735006</v>
      </c>
      <c r="CR6" s="12">
        <f>CQ6+'Cash Flows'!CR56</f>
        <v>1217020.0153335</v>
      </c>
      <c r="CS6" s="12">
        <f>CR6+'Cash Flows'!CS56</f>
        <v>1455664.2322510001</v>
      </c>
      <c r="CT6" s="12">
        <f>CS6+'Cash Flows'!CT56</f>
        <v>1696790.2134679896</v>
      </c>
      <c r="CU6" s="13">
        <f>CT6</f>
        <v>1696790.2134679896</v>
      </c>
    </row>
    <row r="7" spans="2:99">
      <c r="B7" s="8"/>
      <c r="C7" s="7" t="s">
        <v>62</v>
      </c>
      <c r="D7" s="13">
        <v>63965</v>
      </c>
      <c r="E7" s="12">
        <v>59271</v>
      </c>
      <c r="F7" s="12">
        <v>79638</v>
      </c>
      <c r="G7" s="12">
        <v>66430</v>
      </c>
      <c r="H7" s="12">
        <v>76989</v>
      </c>
      <c r="I7" s="13">
        <f>H7</f>
        <v>76989</v>
      </c>
      <c r="J7" s="12">
        <v>65596</v>
      </c>
      <c r="K7" s="12">
        <v>83183</v>
      </c>
      <c r="L7" s="12">
        <v>85613</v>
      </c>
      <c r="M7" s="12">
        <v>81245</v>
      </c>
      <c r="N7" s="13">
        <f>M7</f>
        <v>81245</v>
      </c>
      <c r="O7" s="12">
        <v>63076</v>
      </c>
      <c r="P7" s="12">
        <v>89503</v>
      </c>
      <c r="Q7" s="12">
        <v>77139</v>
      </c>
      <c r="R7" s="12">
        <v>81860</v>
      </c>
      <c r="S7" s="13">
        <f>R7</f>
        <v>81860</v>
      </c>
      <c r="T7" s="12">
        <v>66474</v>
      </c>
      <c r="U7" s="12">
        <v>90486</v>
      </c>
      <c r="V7" s="12">
        <v>75456</v>
      </c>
      <c r="W7" s="12">
        <v>90012</v>
      </c>
      <c r="X7" s="13">
        <f>W7</f>
        <v>90012</v>
      </c>
      <c r="Y7" s="12">
        <v>58888</v>
      </c>
      <c r="Z7" s="12">
        <v>100460</v>
      </c>
      <c r="AA7" s="12">
        <v>78218</v>
      </c>
      <c r="AB7" s="12">
        <v>100327</v>
      </c>
      <c r="AC7" s="13">
        <f t="shared" ref="AC7:AC44" si="0">AB7</f>
        <v>100327</v>
      </c>
      <c r="AD7" s="12">
        <v>76220</v>
      </c>
      <c r="AE7" s="12">
        <v>121256</v>
      </c>
      <c r="AF7" s="12">
        <v>90503</v>
      </c>
      <c r="AG7" s="12">
        <v>106570</v>
      </c>
      <c r="AH7" s="13">
        <f t="shared" ref="AH7:AH44" si="1">AG7</f>
        <v>106570</v>
      </c>
      <c r="AI7" s="12">
        <v>82334</v>
      </c>
      <c r="AJ7" s="12">
        <v>144234</v>
      </c>
      <c r="AK7" s="12">
        <v>111803</v>
      </c>
      <c r="AL7" s="12">
        <v>112660</v>
      </c>
      <c r="AM7" s="13">
        <f t="shared" ref="AM7:AM13" si="2">AL7</f>
        <v>112660</v>
      </c>
      <c r="AN7" s="12">
        <v>105790</v>
      </c>
      <c r="AO7" s="12">
        <v>152178</v>
      </c>
      <c r="AP7" s="12">
        <v>129228</v>
      </c>
      <c r="AQ7" s="12">
        <v>176360</v>
      </c>
      <c r="AR7" s="13">
        <f t="shared" ref="AR7:AR13" si="3">AQ7</f>
        <v>176360</v>
      </c>
      <c r="AS7" s="12">
        <v>137332</v>
      </c>
      <c r="AT7" s="12">
        <v>209483</v>
      </c>
      <c r="AU7" s="12">
        <v>188429</v>
      </c>
      <c r="AV7" s="12">
        <v>200334</v>
      </c>
      <c r="AW7" s="13">
        <f>AV7</f>
        <v>200334</v>
      </c>
      <c r="AX7" s="12">
        <v>163723</v>
      </c>
      <c r="AY7" s="12">
        <v>233831</v>
      </c>
      <c r="AZ7" s="12">
        <v>206444</v>
      </c>
      <c r="BA7" s="12">
        <v>227127</v>
      </c>
      <c r="BB7" s="13">
        <f t="shared" ref="BB7:BB13" si="4">BA7</f>
        <v>227127</v>
      </c>
      <c r="BC7" s="12">
        <v>216516</v>
      </c>
      <c r="BD7" s="12">
        <v>299253</v>
      </c>
      <c r="BE7" s="12">
        <v>281523</v>
      </c>
      <c r="BF7" s="12">
        <v>298912</v>
      </c>
      <c r="BG7" s="13">
        <f t="shared" ref="BG7:BG18" si="5">BF7</f>
        <v>298912</v>
      </c>
      <c r="BH7" s="12">
        <v>298980</v>
      </c>
      <c r="BI7" s="12">
        <v>381379</v>
      </c>
      <c r="BJ7" s="12">
        <v>347982</v>
      </c>
      <c r="BK7" s="12">
        <v>374089</v>
      </c>
      <c r="BL7" s="13">
        <f t="shared" ref="BL7:BL18" si="6">BK7</f>
        <v>374089</v>
      </c>
      <c r="BM7" s="12">
        <v>318144</v>
      </c>
      <c r="BN7" s="12">
        <v>405731</v>
      </c>
      <c r="BO7" s="12">
        <v>362667</v>
      </c>
      <c r="BP7" s="12">
        <v>382319</v>
      </c>
      <c r="BQ7" s="13">
        <f t="shared" ref="BQ7:BQ18" si="7">BP7</f>
        <v>382319</v>
      </c>
      <c r="BR7" s="12">
        <v>330824</v>
      </c>
      <c r="BS7" s="12">
        <v>584156</v>
      </c>
      <c r="BT7" s="12">
        <v>538119</v>
      </c>
      <c r="BU7" s="12">
        <v>521059</v>
      </c>
      <c r="BV7" s="13">
        <f t="shared" ref="BV7:BV18" si="8">BU7</f>
        <v>521059</v>
      </c>
      <c r="BW7" s="12">
        <v>501200</v>
      </c>
      <c r="BX7" s="12">
        <v>597560</v>
      </c>
      <c r="BY7" s="12">
        <v>561780</v>
      </c>
      <c r="BZ7" s="12">
        <v>577257</v>
      </c>
      <c r="CA7" s="13">
        <f t="shared" ref="CA7:CA18" si="9">BZ7</f>
        <v>577257</v>
      </c>
      <c r="CB7" s="12">
        <v>508683</v>
      </c>
      <c r="CC7" s="12">
        <v>638726</v>
      </c>
      <c r="CD7" s="12">
        <v>623613</v>
      </c>
      <c r="CE7" s="12">
        <v>619704</v>
      </c>
      <c r="CF7" s="13">
        <f>CE7</f>
        <v>619704</v>
      </c>
      <c r="CG7" s="12">
        <v>542441</v>
      </c>
      <c r="CH7" s="12">
        <v>700825</v>
      </c>
      <c r="CI7" s="12">
        <v>619508</v>
      </c>
      <c r="CJ7" s="12">
        <v>587634</v>
      </c>
      <c r="CK7" s="13">
        <f t="shared" ref="CK7:CK18" si="10">CJ7</f>
        <v>587634</v>
      </c>
      <c r="CL7" s="12">
        <v>559873</v>
      </c>
      <c r="CM7" s="12">
        <v>714413</v>
      </c>
      <c r="CN7" s="12">
        <v>661986</v>
      </c>
      <c r="CO7" s="12">
        <v>638798</v>
      </c>
      <c r="CP7" s="13">
        <f t="shared" ref="CP7:CP18" si="11">CO7</f>
        <v>638798</v>
      </c>
      <c r="CQ7" s="12">
        <f>CQ55*'Income Statement'!CQ23</f>
        <v>699805.90049999999</v>
      </c>
      <c r="CR7" s="12">
        <f>CR55*'Income Statement'!CR23</f>
        <v>746296.90449999995</v>
      </c>
      <c r="CS7" s="12">
        <f>CS55*'Income Statement'!CS23</f>
        <v>700704.55400000012</v>
      </c>
      <c r="CT7" s="12">
        <f>CT55*'Income Statement'!CT23</f>
        <v>688380.12997920008</v>
      </c>
      <c r="CU7" s="13">
        <f t="shared" ref="CU7:CU18" si="12">CT7</f>
        <v>688380.12997920008</v>
      </c>
    </row>
    <row r="8" spans="2:99">
      <c r="B8" s="8"/>
      <c r="C8" s="7" t="s">
        <v>779</v>
      </c>
      <c r="D8" s="13"/>
      <c r="E8" s="12"/>
      <c r="F8" s="12"/>
      <c r="G8" s="12"/>
      <c r="H8" s="12"/>
      <c r="I8" s="13"/>
      <c r="J8" s="12"/>
      <c r="K8" s="12"/>
      <c r="L8" s="12"/>
      <c r="M8" s="12"/>
      <c r="N8" s="13"/>
      <c r="O8" s="12"/>
      <c r="P8" s="12"/>
      <c r="Q8" s="12"/>
      <c r="R8" s="12"/>
      <c r="S8" s="13"/>
      <c r="T8" s="12"/>
      <c r="U8" s="12"/>
      <c r="V8" s="12"/>
      <c r="W8" s="12"/>
      <c r="X8" s="13"/>
      <c r="Y8" s="12"/>
      <c r="Z8" s="12"/>
      <c r="AA8" s="12"/>
      <c r="AB8" s="12"/>
      <c r="AC8" s="13"/>
      <c r="AD8" s="12"/>
      <c r="AE8" s="12"/>
      <c r="AF8" s="12"/>
      <c r="AG8" s="12"/>
      <c r="AH8" s="13"/>
      <c r="AI8" s="12"/>
      <c r="AJ8" s="12"/>
      <c r="AK8" s="12"/>
      <c r="AL8" s="12"/>
      <c r="AM8" s="13"/>
      <c r="AN8" s="12"/>
      <c r="AO8" s="12"/>
      <c r="AP8" s="12"/>
      <c r="AQ8" s="12"/>
      <c r="AR8" s="13"/>
      <c r="AS8" s="12"/>
      <c r="AT8" s="12"/>
      <c r="AU8" s="12"/>
      <c r="AV8" s="12"/>
      <c r="AW8" s="13"/>
      <c r="AX8" s="12"/>
      <c r="AY8" s="12"/>
      <c r="AZ8" s="12"/>
      <c r="BA8" s="12"/>
      <c r="BB8" s="13"/>
      <c r="BC8" s="12"/>
      <c r="BD8" s="12"/>
      <c r="BE8" s="12"/>
      <c r="BF8" s="12"/>
      <c r="BG8" s="13"/>
      <c r="BH8" s="12"/>
      <c r="BI8" s="12"/>
      <c r="BJ8" s="12"/>
      <c r="BK8" s="12"/>
      <c r="BL8" s="13"/>
      <c r="BM8" s="12"/>
      <c r="BN8" s="12"/>
      <c r="BO8" s="12"/>
      <c r="BP8" s="12"/>
      <c r="BQ8" s="13"/>
      <c r="BR8" s="12"/>
      <c r="BS8" s="12"/>
      <c r="BT8" s="12">
        <v>49355</v>
      </c>
      <c r="BU8" s="12">
        <v>52300</v>
      </c>
      <c r="BV8" s="13">
        <f>BU8</f>
        <v>52300</v>
      </c>
      <c r="BW8" s="12">
        <v>44973</v>
      </c>
      <c r="BX8" s="12">
        <v>34466</v>
      </c>
      <c r="BY8" s="12">
        <v>39360</v>
      </c>
      <c r="BZ8" s="12">
        <v>37030</v>
      </c>
      <c r="CA8" s="13">
        <f>BZ8</f>
        <v>37030</v>
      </c>
      <c r="CB8" s="12">
        <v>28810</v>
      </c>
      <c r="CC8" s="12">
        <v>19100</v>
      </c>
      <c r="CD8" s="12">
        <v>11623</v>
      </c>
      <c r="CE8" s="12">
        <v>10385</v>
      </c>
      <c r="CF8" s="13">
        <f>CE8</f>
        <v>10385</v>
      </c>
      <c r="CG8" s="12">
        <v>8707</v>
      </c>
      <c r="CH8" s="12">
        <v>7288</v>
      </c>
      <c r="CI8" s="12">
        <v>5985</v>
      </c>
      <c r="CJ8" s="12">
        <v>23257</v>
      </c>
      <c r="CK8" s="13">
        <f t="shared" si="10"/>
        <v>23257</v>
      </c>
      <c r="CL8" s="12">
        <v>101674</v>
      </c>
      <c r="CM8" s="12">
        <v>104899</v>
      </c>
      <c r="CN8" s="12">
        <v>116720</v>
      </c>
      <c r="CO8" s="12">
        <v>81800</v>
      </c>
      <c r="CP8" s="13">
        <f t="shared" si="11"/>
        <v>81800</v>
      </c>
      <c r="CQ8" s="12">
        <f>CP8</f>
        <v>81800</v>
      </c>
      <c r="CR8" s="12">
        <f>CQ8</f>
        <v>81800</v>
      </c>
      <c r="CS8" s="12">
        <f>CR8</f>
        <v>81800</v>
      </c>
      <c r="CT8" s="12">
        <f>CS8</f>
        <v>81800</v>
      </c>
      <c r="CU8" s="13">
        <f t="shared" si="12"/>
        <v>81800</v>
      </c>
    </row>
    <row r="9" spans="2:99">
      <c r="B9" s="8"/>
      <c r="C9" s="7" t="s">
        <v>63</v>
      </c>
      <c r="D9" s="13">
        <v>7726</v>
      </c>
      <c r="E9" s="12">
        <v>8611</v>
      </c>
      <c r="F9" s="12">
        <v>8787</v>
      </c>
      <c r="G9" s="12">
        <v>7693</v>
      </c>
      <c r="H9" s="12">
        <v>8602</v>
      </c>
      <c r="I9" s="13">
        <f>H9</f>
        <v>8602</v>
      </c>
      <c r="J9" s="12">
        <v>8597</v>
      </c>
      <c r="K9" s="12">
        <v>8811</v>
      </c>
      <c r="L9" s="12">
        <v>7766</v>
      </c>
      <c r="M9" s="12">
        <v>7921</v>
      </c>
      <c r="N9" s="13">
        <f>M9</f>
        <v>7921</v>
      </c>
      <c r="O9" s="12">
        <v>7814</v>
      </c>
      <c r="P9" s="12">
        <v>7470</v>
      </c>
      <c r="Q9" s="12">
        <v>7642</v>
      </c>
      <c r="R9" s="12">
        <v>0</v>
      </c>
      <c r="S9" s="13">
        <f>R9</f>
        <v>0</v>
      </c>
      <c r="T9" s="12">
        <v>7915</v>
      </c>
      <c r="U9" s="12">
        <v>0</v>
      </c>
      <c r="V9" s="12">
        <v>0</v>
      </c>
      <c r="W9" s="12">
        <v>0</v>
      </c>
      <c r="X9" s="13">
        <f>W9</f>
        <v>0</v>
      </c>
      <c r="Y9" s="12">
        <v>0</v>
      </c>
      <c r="Z9" s="12">
        <v>0</v>
      </c>
      <c r="AA9" s="12">
        <v>0</v>
      </c>
      <c r="AB9" s="12">
        <v>0</v>
      </c>
      <c r="AC9" s="13">
        <f t="shared" si="0"/>
        <v>0</v>
      </c>
      <c r="AD9" s="12">
        <v>0</v>
      </c>
      <c r="AE9" s="12">
        <v>0</v>
      </c>
      <c r="AF9" s="12">
        <v>0</v>
      </c>
      <c r="AG9" s="12">
        <v>0</v>
      </c>
      <c r="AH9" s="13">
        <f t="shared" si="1"/>
        <v>0</v>
      </c>
      <c r="AI9" s="12">
        <v>0</v>
      </c>
      <c r="AJ9" s="12">
        <v>0</v>
      </c>
      <c r="AK9" s="12">
        <v>0</v>
      </c>
      <c r="AL9" s="12">
        <v>0</v>
      </c>
      <c r="AM9" s="13">
        <f t="shared" si="2"/>
        <v>0</v>
      </c>
      <c r="AN9" s="12">
        <v>0</v>
      </c>
      <c r="AO9" s="12">
        <v>0</v>
      </c>
      <c r="AP9" s="12">
        <v>0</v>
      </c>
      <c r="AQ9" s="12">
        <v>0</v>
      </c>
      <c r="AR9" s="13">
        <f t="shared" si="3"/>
        <v>0</v>
      </c>
      <c r="AS9" s="12">
        <v>0</v>
      </c>
      <c r="AT9" s="12">
        <v>0</v>
      </c>
      <c r="AU9" s="12">
        <v>0</v>
      </c>
      <c r="AV9" s="12">
        <v>0</v>
      </c>
      <c r="AW9" s="13">
        <f t="shared" ref="AW9:AW18" si="13">AV9</f>
        <v>0</v>
      </c>
      <c r="AX9" s="12">
        <v>0</v>
      </c>
      <c r="AY9" s="12">
        <v>0</v>
      </c>
      <c r="AZ9" s="12">
        <v>0</v>
      </c>
      <c r="BA9" s="12">
        <v>0</v>
      </c>
      <c r="BB9" s="13">
        <f t="shared" si="4"/>
        <v>0</v>
      </c>
      <c r="BC9" s="12">
        <v>0</v>
      </c>
      <c r="BD9" s="12">
        <v>0</v>
      </c>
      <c r="BE9" s="12">
        <v>0</v>
      </c>
      <c r="BF9" s="12">
        <v>0</v>
      </c>
      <c r="BG9" s="13">
        <f t="shared" si="5"/>
        <v>0</v>
      </c>
      <c r="BH9" s="12">
        <v>0</v>
      </c>
      <c r="BI9" s="12">
        <v>0</v>
      </c>
      <c r="BJ9" s="12">
        <v>0</v>
      </c>
      <c r="BK9" s="12">
        <v>0</v>
      </c>
      <c r="BL9" s="13">
        <f t="shared" si="6"/>
        <v>0</v>
      </c>
      <c r="BM9" s="12">
        <v>0</v>
      </c>
      <c r="BN9" s="12">
        <v>0</v>
      </c>
      <c r="BO9" s="12">
        <v>0</v>
      </c>
      <c r="BP9" s="12">
        <v>0</v>
      </c>
      <c r="BQ9" s="13">
        <f t="shared" si="7"/>
        <v>0</v>
      </c>
      <c r="BR9" s="12"/>
      <c r="BS9" s="12">
        <v>0</v>
      </c>
      <c r="BT9" s="12">
        <v>53145</v>
      </c>
      <c r="BU9" s="12">
        <v>63664</v>
      </c>
      <c r="BV9" s="13">
        <f t="shared" si="8"/>
        <v>63664</v>
      </c>
      <c r="BW9" s="12">
        <v>70464</v>
      </c>
      <c r="BX9" s="12">
        <v>69647</v>
      </c>
      <c r="BY9" s="12">
        <v>65704</v>
      </c>
      <c r="BZ9" s="12">
        <v>59098</v>
      </c>
      <c r="CA9" s="13">
        <f t="shared" si="9"/>
        <v>59098</v>
      </c>
      <c r="CB9" s="12">
        <v>77325</v>
      </c>
      <c r="CC9" s="12">
        <v>80290</v>
      </c>
      <c r="CD9" s="12">
        <v>67636</v>
      </c>
      <c r="CE9" s="12">
        <v>65003</v>
      </c>
      <c r="CF9" s="13">
        <f t="shared" ref="CF9:CF18" si="14">CE9</f>
        <v>65003</v>
      </c>
      <c r="CG9" s="12">
        <v>85036</v>
      </c>
      <c r="CH9" s="12">
        <v>83497</v>
      </c>
      <c r="CI9" s="12">
        <v>74775</v>
      </c>
      <c r="CJ9" s="12">
        <v>73192</v>
      </c>
      <c r="CK9" s="13">
        <f t="shared" si="10"/>
        <v>73192</v>
      </c>
      <c r="CL9" s="12">
        <v>99662</v>
      </c>
      <c r="CM9" s="12">
        <v>99332</v>
      </c>
      <c r="CN9" s="12">
        <v>88277</v>
      </c>
      <c r="CO9" s="12">
        <v>84142</v>
      </c>
      <c r="CP9" s="13">
        <f t="shared" si="11"/>
        <v>84142</v>
      </c>
      <c r="CQ9" s="12">
        <f>'Income Statement'!CQ23*'Balance Sheet'!CQ57</f>
        <v>73023.224399999992</v>
      </c>
      <c r="CR9" s="12">
        <f>'Income Statement'!CR23*'Balance Sheet'!CR57</f>
        <v>77874.459599999987</v>
      </c>
      <c r="CS9" s="12">
        <f>'Income Statement'!CS23*'Balance Sheet'!CS57</f>
        <v>76440.496799999994</v>
      </c>
      <c r="CT9" s="12">
        <f>'Income Statement'!CT23*'Balance Sheet'!CT57</f>
        <v>70112.791016400006</v>
      </c>
      <c r="CU9" s="13">
        <f t="shared" si="12"/>
        <v>70112.791016400006</v>
      </c>
    </row>
    <row r="10" spans="2:99">
      <c r="B10" s="8"/>
      <c r="C10" s="7" t="s">
        <v>446</v>
      </c>
      <c r="D10" s="13"/>
      <c r="E10" s="12"/>
      <c r="F10" s="12"/>
      <c r="G10" s="12"/>
      <c r="H10" s="12"/>
      <c r="I10" s="13"/>
      <c r="J10" s="12"/>
      <c r="K10" s="12"/>
      <c r="L10" s="12"/>
      <c r="M10" s="12"/>
      <c r="N10" s="13"/>
      <c r="O10" s="12"/>
      <c r="P10" s="12"/>
      <c r="Q10" s="12"/>
      <c r="R10" s="12"/>
      <c r="S10" s="13"/>
      <c r="T10" s="12"/>
      <c r="U10" s="12"/>
      <c r="V10" s="12"/>
      <c r="W10" s="12"/>
      <c r="X10" s="13"/>
      <c r="Y10" s="12"/>
      <c r="Z10" s="12"/>
      <c r="AA10" s="12"/>
      <c r="AB10" s="12"/>
      <c r="AC10" s="13"/>
      <c r="AD10" s="12"/>
      <c r="AE10" s="12"/>
      <c r="AF10" s="12"/>
      <c r="AG10" s="12">
        <v>9721</v>
      </c>
      <c r="AH10" s="13"/>
      <c r="AI10" s="12"/>
      <c r="AJ10" s="12"/>
      <c r="AK10" s="12"/>
      <c r="AL10" s="12"/>
      <c r="AM10" s="13"/>
      <c r="AN10" s="12"/>
      <c r="AO10" s="12"/>
      <c r="AP10" s="12"/>
      <c r="AQ10" s="12">
        <v>21080</v>
      </c>
      <c r="AR10" s="13">
        <f t="shared" si="3"/>
        <v>21080</v>
      </c>
      <c r="AS10" s="12">
        <v>11798</v>
      </c>
      <c r="AT10" s="12">
        <v>23994</v>
      </c>
      <c r="AU10" s="12">
        <v>17680</v>
      </c>
      <c r="AV10" s="12">
        <v>2895</v>
      </c>
      <c r="AW10" s="13">
        <f t="shared" si="13"/>
        <v>2895</v>
      </c>
      <c r="AX10" s="12">
        <v>0</v>
      </c>
      <c r="AY10" s="12">
        <v>12206</v>
      </c>
      <c r="AZ10" s="12">
        <v>3362</v>
      </c>
      <c r="BA10" s="12">
        <v>11339</v>
      </c>
      <c r="BB10" s="13">
        <f t="shared" si="4"/>
        <v>11339</v>
      </c>
      <c r="BC10" s="12">
        <v>7286</v>
      </c>
      <c r="BD10" s="12">
        <v>13100</v>
      </c>
      <c r="BE10" s="12">
        <v>13281</v>
      </c>
      <c r="BF10" s="12">
        <v>4697</v>
      </c>
      <c r="BG10" s="13">
        <f t="shared" si="5"/>
        <v>4697</v>
      </c>
      <c r="BH10" s="12"/>
      <c r="BI10" s="12">
        <f>BH10</f>
        <v>0</v>
      </c>
      <c r="BJ10" s="12">
        <v>4</v>
      </c>
      <c r="BK10" s="12">
        <v>6482</v>
      </c>
      <c r="BL10" s="13">
        <f t="shared" si="6"/>
        <v>6482</v>
      </c>
      <c r="BM10" s="12">
        <v>16657</v>
      </c>
      <c r="BN10" s="12">
        <v>27935</v>
      </c>
      <c r="BO10" s="12">
        <v>20752</v>
      </c>
      <c r="BP10" s="12">
        <v>21598</v>
      </c>
      <c r="BQ10" s="13">
        <f t="shared" si="7"/>
        <v>21598</v>
      </c>
      <c r="BR10" s="12">
        <v>17066</v>
      </c>
      <c r="BS10" s="12">
        <v>20404</v>
      </c>
      <c r="BT10" s="12">
        <v>3509</v>
      </c>
      <c r="BU10" s="12">
        <v>18137</v>
      </c>
      <c r="BV10" s="13">
        <f t="shared" si="8"/>
        <v>18137</v>
      </c>
      <c r="BW10" s="12">
        <v>0</v>
      </c>
      <c r="BX10" s="12">
        <v>2552</v>
      </c>
      <c r="BY10" s="12">
        <v>7379</v>
      </c>
      <c r="BZ10" s="12">
        <v>0</v>
      </c>
      <c r="CA10" s="13">
        <f t="shared" si="9"/>
        <v>0</v>
      </c>
      <c r="CB10" s="12">
        <f>CA10</f>
        <v>0</v>
      </c>
      <c r="CC10" s="12">
        <f>CB10</f>
        <v>0</v>
      </c>
      <c r="CD10" s="12">
        <f>CC10</f>
        <v>0</v>
      </c>
      <c r="CE10" s="12">
        <f>CD10</f>
        <v>0</v>
      </c>
      <c r="CF10" s="13">
        <f t="shared" si="14"/>
        <v>0</v>
      </c>
      <c r="CG10" s="12">
        <f>CF10</f>
        <v>0</v>
      </c>
      <c r="CH10" s="12">
        <f>CG10</f>
        <v>0</v>
      </c>
      <c r="CI10" s="12"/>
      <c r="CJ10" s="12">
        <v>11975</v>
      </c>
      <c r="CK10" s="13">
        <f t="shared" si="10"/>
        <v>11975</v>
      </c>
      <c r="CL10" s="12"/>
      <c r="CM10" s="12">
        <f>CL10</f>
        <v>0</v>
      </c>
      <c r="CN10" s="12">
        <v>36761</v>
      </c>
      <c r="CO10" s="12">
        <v>23748</v>
      </c>
      <c r="CP10" s="13">
        <f t="shared" si="11"/>
        <v>23748</v>
      </c>
      <c r="CQ10" s="12">
        <f>CP10</f>
        <v>23748</v>
      </c>
      <c r="CR10" s="12">
        <f>CQ10</f>
        <v>23748</v>
      </c>
      <c r="CS10" s="12">
        <f>CR10</f>
        <v>23748</v>
      </c>
      <c r="CT10" s="12">
        <f>CS10</f>
        <v>23748</v>
      </c>
      <c r="CU10" s="13">
        <f t="shared" si="12"/>
        <v>23748</v>
      </c>
    </row>
    <row r="11" spans="2:99">
      <c r="B11" s="8"/>
      <c r="C11" s="7" t="s">
        <v>64</v>
      </c>
      <c r="D11" s="13">
        <v>1324</v>
      </c>
      <c r="E11" s="12">
        <v>1556</v>
      </c>
      <c r="F11" s="12">
        <v>3594</v>
      </c>
      <c r="G11" s="12">
        <v>1771</v>
      </c>
      <c r="H11" s="12">
        <v>1444</v>
      </c>
      <c r="I11" s="13">
        <f>H11</f>
        <v>1444</v>
      </c>
      <c r="J11" s="12">
        <v>1551</v>
      </c>
      <c r="K11" s="12">
        <v>2113</v>
      </c>
      <c r="L11" s="12">
        <v>1767</v>
      </c>
      <c r="M11" s="12">
        <v>1437</v>
      </c>
      <c r="N11" s="13">
        <f>M11</f>
        <v>1437</v>
      </c>
      <c r="O11" s="12">
        <v>1493</v>
      </c>
      <c r="P11" s="12">
        <v>3886</v>
      </c>
      <c r="Q11" s="12">
        <v>2019</v>
      </c>
      <c r="R11" s="12">
        <v>11344</v>
      </c>
      <c r="S11" s="13">
        <f>R11</f>
        <v>11344</v>
      </c>
      <c r="T11" s="12">
        <v>1896</v>
      </c>
      <c r="U11" s="12">
        <v>12305</v>
      </c>
      <c r="V11" s="12">
        <v>10491</v>
      </c>
      <c r="W11" s="12">
        <v>10634</v>
      </c>
      <c r="X11" s="13">
        <f>W11</f>
        <v>10634</v>
      </c>
      <c r="Y11" s="12">
        <v>9764</v>
      </c>
      <c r="Z11" s="12">
        <v>11343</v>
      </c>
      <c r="AA11" s="12">
        <v>10692</v>
      </c>
      <c r="AB11" s="12">
        <v>10480</v>
      </c>
      <c r="AC11" s="13">
        <f t="shared" si="0"/>
        <v>10480</v>
      </c>
      <c r="AD11" s="12">
        <v>11290</v>
      </c>
      <c r="AE11" s="12">
        <v>16716</v>
      </c>
      <c r="AF11" s="12">
        <v>16629</v>
      </c>
      <c r="AG11" s="12">
        <v>14309</v>
      </c>
      <c r="AH11" s="13">
        <f t="shared" si="1"/>
        <v>14309</v>
      </c>
      <c r="AI11" s="12">
        <v>20381</v>
      </c>
      <c r="AJ11" s="12">
        <v>20147</v>
      </c>
      <c r="AK11" s="12">
        <v>16007</v>
      </c>
      <c r="AL11" s="12">
        <v>18209</v>
      </c>
      <c r="AM11" s="13">
        <f t="shared" si="2"/>
        <v>18209</v>
      </c>
      <c r="AN11" s="12">
        <v>17590</v>
      </c>
      <c r="AO11" s="12">
        <v>29569</v>
      </c>
      <c r="AP11" s="12">
        <v>33989</v>
      </c>
      <c r="AQ11" s="12">
        <v>37688</v>
      </c>
      <c r="AR11" s="13">
        <f t="shared" si="3"/>
        <v>37688</v>
      </c>
      <c r="AS11" s="12">
        <v>41065</v>
      </c>
      <c r="AT11" s="12">
        <v>49147</v>
      </c>
      <c r="AU11" s="12">
        <v>47904</v>
      </c>
      <c r="AV11" s="12">
        <v>43580</v>
      </c>
      <c r="AW11" s="13">
        <f t="shared" si="13"/>
        <v>43580</v>
      </c>
      <c r="AX11" s="12">
        <v>44121</v>
      </c>
      <c r="AY11" s="12">
        <v>51169</v>
      </c>
      <c r="AZ11" s="12">
        <v>65312</v>
      </c>
      <c r="BA11" s="12">
        <v>72408</v>
      </c>
      <c r="BB11" s="13">
        <f t="shared" si="4"/>
        <v>72408</v>
      </c>
      <c r="BC11" s="12">
        <v>98218</v>
      </c>
      <c r="BD11" s="12">
        <v>96388</v>
      </c>
      <c r="BE11" s="12">
        <v>87438</v>
      </c>
      <c r="BF11" s="12">
        <v>80970</v>
      </c>
      <c r="BG11" s="13">
        <f t="shared" si="5"/>
        <v>80970</v>
      </c>
      <c r="BH11" s="12">
        <v>63857</v>
      </c>
      <c r="BI11" s="12">
        <v>61004</v>
      </c>
      <c r="BJ11" s="12">
        <v>60382</v>
      </c>
      <c r="BK11" s="12">
        <v>66444</v>
      </c>
      <c r="BL11" s="13">
        <f t="shared" si="6"/>
        <v>66444</v>
      </c>
      <c r="BM11" s="12">
        <v>75434</v>
      </c>
      <c r="BN11" s="12">
        <v>88940</v>
      </c>
      <c r="BO11" s="12">
        <v>88495</v>
      </c>
      <c r="BP11" s="12">
        <v>105530</v>
      </c>
      <c r="BQ11" s="13">
        <f t="shared" si="7"/>
        <v>105530</v>
      </c>
      <c r="BR11" s="12">
        <v>101710</v>
      </c>
      <c r="BS11" s="12">
        <v>107595</v>
      </c>
      <c r="BT11" s="12"/>
      <c r="BU11" s="12"/>
      <c r="BV11" s="13">
        <f t="shared" si="8"/>
        <v>0</v>
      </c>
      <c r="BW11" s="12"/>
      <c r="BX11" s="12"/>
      <c r="BY11" s="12"/>
      <c r="BZ11" s="12"/>
      <c r="CA11" s="13">
        <f t="shared" si="9"/>
        <v>0</v>
      </c>
      <c r="CB11" s="12"/>
      <c r="CC11" s="12"/>
      <c r="CD11" s="12"/>
      <c r="CE11" s="12"/>
      <c r="CF11" s="13">
        <f t="shared" si="14"/>
        <v>0</v>
      </c>
      <c r="CG11" s="12"/>
      <c r="CH11" s="12"/>
      <c r="CI11" s="12"/>
      <c r="CJ11" s="12"/>
      <c r="CK11" s="13">
        <f t="shared" si="10"/>
        <v>0</v>
      </c>
      <c r="CL11" s="12"/>
      <c r="CM11" s="12"/>
      <c r="CN11" s="12"/>
      <c r="CO11" s="12">
        <v>0</v>
      </c>
      <c r="CP11" s="13">
        <f t="shared" si="11"/>
        <v>0</v>
      </c>
      <c r="CQ11" s="12"/>
      <c r="CR11" s="12"/>
      <c r="CS11" s="12"/>
      <c r="CT11" s="12"/>
      <c r="CU11" s="13">
        <f t="shared" si="12"/>
        <v>0</v>
      </c>
    </row>
    <row r="12" spans="2:99">
      <c r="B12" s="8"/>
      <c r="C12" s="7" t="s">
        <v>65</v>
      </c>
      <c r="D12" s="13">
        <v>2355</v>
      </c>
      <c r="E12" s="12">
        <v>1922</v>
      </c>
      <c r="F12" s="12">
        <v>1922</v>
      </c>
      <c r="G12" s="12">
        <v>1839</v>
      </c>
      <c r="H12" s="12">
        <v>2570</v>
      </c>
      <c r="I12" s="13">
        <f>H12</f>
        <v>2570</v>
      </c>
      <c r="J12" s="12">
        <v>2586</v>
      </c>
      <c r="K12" s="12">
        <v>2589</v>
      </c>
      <c r="L12" s="12">
        <v>2555</v>
      </c>
      <c r="M12" s="12">
        <v>3338</v>
      </c>
      <c r="N12" s="13">
        <f>M12</f>
        <v>3338</v>
      </c>
      <c r="O12" s="12">
        <v>3279</v>
      </c>
      <c r="P12" s="12">
        <v>3288</v>
      </c>
      <c r="Q12" s="12">
        <v>4112</v>
      </c>
      <c r="R12" s="12">
        <v>3106</v>
      </c>
      <c r="S12" s="13">
        <f>R12</f>
        <v>3106</v>
      </c>
      <c r="T12" s="12">
        <v>3106</v>
      </c>
      <c r="U12" s="12">
        <v>3106</v>
      </c>
      <c r="V12" s="12">
        <v>3106</v>
      </c>
      <c r="W12" s="12">
        <v>5095</v>
      </c>
      <c r="X12" s="13">
        <f>W12</f>
        <v>5095</v>
      </c>
      <c r="Y12" s="12">
        <v>5095</v>
      </c>
      <c r="Z12" s="12">
        <v>5095</v>
      </c>
      <c r="AA12" s="12">
        <v>5051</v>
      </c>
      <c r="AB12" s="12">
        <v>5544</v>
      </c>
      <c r="AC12" s="13">
        <f t="shared" si="0"/>
        <v>5544</v>
      </c>
      <c r="AD12" s="12">
        <v>5544</v>
      </c>
      <c r="AE12" s="12">
        <v>5512</v>
      </c>
      <c r="AF12" s="12">
        <v>5512</v>
      </c>
      <c r="AG12" s="12">
        <v>7759</v>
      </c>
      <c r="AH12" s="13">
        <f t="shared" si="1"/>
        <v>7759</v>
      </c>
      <c r="AI12" s="12">
        <v>7759</v>
      </c>
      <c r="AJ12" s="12">
        <v>7759</v>
      </c>
      <c r="AK12" s="12">
        <v>7759</v>
      </c>
      <c r="AL12" s="12">
        <v>9674</v>
      </c>
      <c r="AM12" s="13">
        <f t="shared" si="2"/>
        <v>9674</v>
      </c>
      <c r="AN12" s="12">
        <v>9674</v>
      </c>
      <c r="AO12" s="12">
        <v>9674</v>
      </c>
      <c r="AP12" s="12">
        <f>AO12</f>
        <v>9674</v>
      </c>
      <c r="AQ12" s="12">
        <v>0</v>
      </c>
      <c r="AR12" s="13">
        <f t="shared" si="3"/>
        <v>0</v>
      </c>
      <c r="AS12" s="12">
        <f>AR12</f>
        <v>0</v>
      </c>
      <c r="AT12" s="12">
        <f>AS12</f>
        <v>0</v>
      </c>
      <c r="AU12" s="12">
        <f>AT12</f>
        <v>0</v>
      </c>
      <c r="AV12" s="12">
        <f>AU12</f>
        <v>0</v>
      </c>
      <c r="AW12" s="13">
        <f t="shared" si="13"/>
        <v>0</v>
      </c>
      <c r="AX12" s="12">
        <f>AW12</f>
        <v>0</v>
      </c>
      <c r="AY12" s="12">
        <f>AX12</f>
        <v>0</v>
      </c>
      <c r="AZ12" s="12">
        <f>AY12</f>
        <v>0</v>
      </c>
      <c r="BA12" s="12">
        <f>AZ12</f>
        <v>0</v>
      </c>
      <c r="BB12" s="13">
        <f t="shared" si="4"/>
        <v>0</v>
      </c>
      <c r="BC12" s="12">
        <f>BB12</f>
        <v>0</v>
      </c>
      <c r="BD12" s="12">
        <f>BC12</f>
        <v>0</v>
      </c>
      <c r="BE12" s="12">
        <f>BD12</f>
        <v>0</v>
      </c>
      <c r="BF12" s="12">
        <f>BE12</f>
        <v>0</v>
      </c>
      <c r="BG12" s="13">
        <f t="shared" si="5"/>
        <v>0</v>
      </c>
      <c r="BH12" s="12">
        <f>BG12</f>
        <v>0</v>
      </c>
      <c r="BI12" s="12">
        <f>BH12</f>
        <v>0</v>
      </c>
      <c r="BJ12" s="12">
        <f>BI12</f>
        <v>0</v>
      </c>
      <c r="BK12" s="12">
        <f>BJ12</f>
        <v>0</v>
      </c>
      <c r="BL12" s="13">
        <f t="shared" si="6"/>
        <v>0</v>
      </c>
      <c r="BM12" s="12">
        <f>BL12</f>
        <v>0</v>
      </c>
      <c r="BN12" s="12">
        <f>BM12</f>
        <v>0</v>
      </c>
      <c r="BO12" s="12">
        <f>BN12</f>
        <v>0</v>
      </c>
      <c r="BP12" s="12">
        <f>BO12</f>
        <v>0</v>
      </c>
      <c r="BQ12" s="13">
        <f t="shared" si="7"/>
        <v>0</v>
      </c>
      <c r="BR12" s="12">
        <f>BQ12</f>
        <v>0</v>
      </c>
      <c r="BS12" s="12">
        <f>BR12</f>
        <v>0</v>
      </c>
      <c r="BT12" s="12">
        <f>BS12</f>
        <v>0</v>
      </c>
      <c r="BU12" s="12">
        <f>BT12</f>
        <v>0</v>
      </c>
      <c r="BV12" s="13">
        <f t="shared" si="8"/>
        <v>0</v>
      </c>
      <c r="BW12" s="12">
        <f>BV12</f>
        <v>0</v>
      </c>
      <c r="BX12" s="12">
        <f>BW12</f>
        <v>0</v>
      </c>
      <c r="BY12" s="12">
        <f>BX12</f>
        <v>0</v>
      </c>
      <c r="BZ12" s="12">
        <f>BY12</f>
        <v>0</v>
      </c>
      <c r="CA12" s="13">
        <f t="shared" si="9"/>
        <v>0</v>
      </c>
      <c r="CB12" s="12">
        <f>CA12</f>
        <v>0</v>
      </c>
      <c r="CC12" s="12">
        <f>CB12</f>
        <v>0</v>
      </c>
      <c r="CD12" s="12">
        <v>7633</v>
      </c>
      <c r="CE12" s="12">
        <v>0</v>
      </c>
      <c r="CF12" s="13">
        <f t="shared" si="14"/>
        <v>0</v>
      </c>
      <c r="CG12" s="12">
        <f>CF12</f>
        <v>0</v>
      </c>
      <c r="CH12" s="12">
        <f>CG12</f>
        <v>0</v>
      </c>
      <c r="CI12" s="12">
        <f>CH12</f>
        <v>0</v>
      </c>
      <c r="CJ12" s="12"/>
      <c r="CK12" s="13">
        <f t="shared" si="10"/>
        <v>0</v>
      </c>
      <c r="CL12" s="12"/>
      <c r="CM12" s="12">
        <v>17601</v>
      </c>
      <c r="CN12" s="12"/>
      <c r="CO12" s="12">
        <v>0</v>
      </c>
      <c r="CP12" s="13">
        <f t="shared" si="11"/>
        <v>0</v>
      </c>
      <c r="CQ12" s="12">
        <f>CP12</f>
        <v>0</v>
      </c>
      <c r="CR12" s="12">
        <f>CQ12</f>
        <v>0</v>
      </c>
      <c r="CS12" s="12">
        <f>CR12</f>
        <v>0</v>
      </c>
      <c r="CT12" s="12">
        <f>CS12</f>
        <v>0</v>
      </c>
      <c r="CU12" s="13">
        <f t="shared" si="12"/>
        <v>0</v>
      </c>
    </row>
    <row r="13" spans="2:99" s="27" customFormat="1" ht="13.15">
      <c r="B13" s="34" t="s">
        <v>66</v>
      </c>
      <c r="D13" s="70">
        <f t="shared" ref="D13:AB13" si="15">SUM(D6:D12)</f>
        <v>131064</v>
      </c>
      <c r="E13" s="71">
        <f t="shared" si="15"/>
        <v>111658</v>
      </c>
      <c r="F13" s="71">
        <f t="shared" si="15"/>
        <v>132085</v>
      </c>
      <c r="G13" s="71">
        <f t="shared" si="15"/>
        <v>107094</v>
      </c>
      <c r="H13" s="71">
        <f t="shared" si="15"/>
        <v>97224</v>
      </c>
      <c r="I13" s="70">
        <f t="shared" si="15"/>
        <v>97224</v>
      </c>
      <c r="J13" s="71">
        <f t="shared" si="15"/>
        <v>85723</v>
      </c>
      <c r="K13" s="71">
        <f t="shared" si="15"/>
        <v>106145</v>
      </c>
      <c r="L13" s="71">
        <f t="shared" si="15"/>
        <v>105596</v>
      </c>
      <c r="M13" s="71">
        <f t="shared" si="15"/>
        <v>109687</v>
      </c>
      <c r="N13" s="70">
        <f t="shared" si="15"/>
        <v>109687</v>
      </c>
      <c r="O13" s="71">
        <f t="shared" si="15"/>
        <v>84713</v>
      </c>
      <c r="P13" s="71">
        <f t="shared" si="15"/>
        <v>110364</v>
      </c>
      <c r="Q13" s="71">
        <f t="shared" si="15"/>
        <v>97361</v>
      </c>
      <c r="R13" s="71">
        <f t="shared" si="15"/>
        <v>98449</v>
      </c>
      <c r="S13" s="70">
        <f t="shared" si="15"/>
        <v>98449</v>
      </c>
      <c r="T13" s="71">
        <f t="shared" si="15"/>
        <v>81639</v>
      </c>
      <c r="U13" s="71">
        <f t="shared" si="15"/>
        <v>107334</v>
      </c>
      <c r="V13" s="71">
        <f t="shared" si="15"/>
        <v>94333</v>
      </c>
      <c r="W13" s="71">
        <f t="shared" si="15"/>
        <v>107092</v>
      </c>
      <c r="X13" s="70">
        <f t="shared" si="15"/>
        <v>107092</v>
      </c>
      <c r="Y13" s="71">
        <f t="shared" si="15"/>
        <v>83679</v>
      </c>
      <c r="Z13" s="71">
        <f t="shared" si="15"/>
        <v>117260</v>
      </c>
      <c r="AA13" s="71">
        <f t="shared" si="15"/>
        <v>94064</v>
      </c>
      <c r="AB13" s="71">
        <f t="shared" si="15"/>
        <v>122757</v>
      </c>
      <c r="AC13" s="70">
        <f t="shared" si="0"/>
        <v>122757</v>
      </c>
      <c r="AD13" s="71">
        <f>SUM(AD6:AD12)</f>
        <v>97549</v>
      </c>
      <c r="AE13" s="71">
        <f>SUM(AE6:AE12)</f>
        <v>146552</v>
      </c>
      <c r="AF13" s="71">
        <f>SUM(AF6:AF12)</f>
        <v>164765</v>
      </c>
      <c r="AG13" s="71">
        <f>SUM(AG6:AG12)</f>
        <v>217235</v>
      </c>
      <c r="AH13" s="70">
        <f t="shared" si="1"/>
        <v>217235</v>
      </c>
      <c r="AI13" s="71">
        <f>SUM(AI6:AI12)</f>
        <v>207619</v>
      </c>
      <c r="AJ13" s="71">
        <f>SUM(AJ6:AJ12)</f>
        <v>261032</v>
      </c>
      <c r="AK13" s="71">
        <f>SUM(AK6:AK12)</f>
        <v>293000</v>
      </c>
      <c r="AL13" s="71">
        <f>SUM(AL6:AL12)</f>
        <v>346710</v>
      </c>
      <c r="AM13" s="70">
        <f t="shared" si="2"/>
        <v>346710</v>
      </c>
      <c r="AN13" s="71">
        <f>SUM(AN6:AN12)</f>
        <v>327775</v>
      </c>
      <c r="AO13" s="71">
        <f>SUM(AO6:AO12)</f>
        <v>395524</v>
      </c>
      <c r="AP13" s="71">
        <f>SUM(AP6:AP12)</f>
        <v>411505</v>
      </c>
      <c r="AQ13" s="71">
        <f>SUM(AQ6:AQ12)</f>
        <v>268215</v>
      </c>
      <c r="AR13" s="70">
        <f t="shared" si="3"/>
        <v>268215</v>
      </c>
      <c r="AS13" s="71">
        <f>SUM(AS6:AS12)</f>
        <v>225536</v>
      </c>
      <c r="AT13" s="71">
        <f>SUM(AT6:AT12)</f>
        <v>323951</v>
      </c>
      <c r="AU13" s="71">
        <f>SUM(AU6:AU12)</f>
        <v>277327</v>
      </c>
      <c r="AV13" s="71">
        <f>SUM(AV6:AV12)</f>
        <v>282960</v>
      </c>
      <c r="AW13" s="70">
        <f t="shared" si="13"/>
        <v>282960</v>
      </c>
      <c r="AX13" s="71">
        <f>SUM(AX6:AX12)</f>
        <v>271575</v>
      </c>
      <c r="AY13" s="71">
        <f>SUM(AY6:AY12)</f>
        <v>352278</v>
      </c>
      <c r="AZ13" s="71">
        <f>SUM(AZ6:AZ12)</f>
        <v>399721</v>
      </c>
      <c r="BA13" s="71">
        <f>SUM(BA6:BA12)</f>
        <v>496800</v>
      </c>
      <c r="BB13" s="70">
        <f t="shared" si="4"/>
        <v>496800</v>
      </c>
      <c r="BC13" s="71">
        <f>SUM(BC6:BC12)</f>
        <v>532636</v>
      </c>
      <c r="BD13" s="71">
        <f>SUM(BD6:BD12)</f>
        <v>501988</v>
      </c>
      <c r="BE13" s="71">
        <f>SUM(BE6:BE12)</f>
        <v>601694</v>
      </c>
      <c r="BF13" s="71">
        <f>SUM(BF6:BF12)</f>
        <v>518858</v>
      </c>
      <c r="BG13" s="70">
        <f t="shared" si="5"/>
        <v>518858</v>
      </c>
      <c r="BH13" s="71">
        <f>SUM(BH6:BH12)</f>
        <v>402274</v>
      </c>
      <c r="BI13" s="71">
        <f>SUM(BI6:BI12)</f>
        <v>453570</v>
      </c>
      <c r="BJ13" s="71">
        <f>SUM(BJ6:BJ12)</f>
        <v>569806</v>
      </c>
      <c r="BK13" s="71">
        <f>SUM(BK6:BK12)</f>
        <v>679697</v>
      </c>
      <c r="BL13" s="70">
        <f t="shared" si="6"/>
        <v>679697</v>
      </c>
      <c r="BM13" s="71">
        <f>SUM(BM6:BM12)</f>
        <v>712220</v>
      </c>
      <c r="BN13" s="71">
        <f>SUM(BN6:BN12)</f>
        <v>873942</v>
      </c>
      <c r="BO13" s="71">
        <f>SUM(BO6:BO12)</f>
        <v>990599</v>
      </c>
      <c r="BP13" s="71">
        <f>SUM(BP6:BP12)</f>
        <v>1113070</v>
      </c>
      <c r="BQ13" s="70">
        <f t="shared" si="7"/>
        <v>1113070</v>
      </c>
      <c r="BR13" s="71">
        <f>SUM(BR6:BR12)</f>
        <v>1700352</v>
      </c>
      <c r="BS13" s="71">
        <f>SUM(BS6:BS12)</f>
        <v>928928</v>
      </c>
      <c r="BT13" s="71">
        <f>SUM(BT6:BT12)</f>
        <v>878256</v>
      </c>
      <c r="BU13" s="71">
        <f>SUM(BU6:BU12)</f>
        <v>964331</v>
      </c>
      <c r="BV13" s="70">
        <f t="shared" si="8"/>
        <v>964331</v>
      </c>
      <c r="BW13" s="71">
        <f>SUM(BW6:BW12)</f>
        <v>859899</v>
      </c>
      <c r="BX13" s="71">
        <f>SUM(BX6:BX12)</f>
        <v>957287</v>
      </c>
      <c r="BY13" s="71">
        <f>SUM(BY6:BY12)</f>
        <v>860150</v>
      </c>
      <c r="BZ13" s="71">
        <f>SUM(BZ6:BZ12)</f>
        <v>847242</v>
      </c>
      <c r="CA13" s="70">
        <f t="shared" si="9"/>
        <v>847242</v>
      </c>
      <c r="CB13" s="71">
        <f>SUM(CB6:CB12)</f>
        <v>745663</v>
      </c>
      <c r="CC13" s="71">
        <f>SUM(CC6:CC12)</f>
        <v>856880</v>
      </c>
      <c r="CD13" s="71">
        <f>SUM(CD6:CD12)</f>
        <v>841991</v>
      </c>
      <c r="CE13" s="71">
        <f>SUM(CE6:CE12)</f>
        <v>860585</v>
      </c>
      <c r="CF13" s="70">
        <f t="shared" si="14"/>
        <v>860585</v>
      </c>
      <c r="CG13" s="71">
        <f>SUM(CG6:CG12)</f>
        <v>824421</v>
      </c>
      <c r="CH13" s="71">
        <f>SUM(CH6:CH12)</f>
        <v>1042332</v>
      </c>
      <c r="CI13" s="71">
        <f>SUM(CI6:CI12)</f>
        <v>1238564</v>
      </c>
      <c r="CJ13" s="71">
        <f>SUM(CJ6:CJ12)</f>
        <v>1440779</v>
      </c>
      <c r="CK13" s="70">
        <f t="shared" si="10"/>
        <v>1440779</v>
      </c>
      <c r="CL13" s="71">
        <f>SUM(CL6:CL12)</f>
        <v>1466938</v>
      </c>
      <c r="CM13" s="71">
        <f>SUM(CM6:CM12)</f>
        <v>1723692</v>
      </c>
      <c r="CN13" s="71">
        <f>SUM(CN6:CN12)</f>
        <v>1737845</v>
      </c>
      <c r="CO13" s="71">
        <f>SUM(CO6:CO12)</f>
        <v>1843888</v>
      </c>
      <c r="CP13" s="70">
        <f t="shared" si="11"/>
        <v>1843888</v>
      </c>
      <c r="CQ13" s="71">
        <f>SUM(CQ6:CQ12)</f>
        <v>1867761.0410873501</v>
      </c>
      <c r="CR13" s="71">
        <f>SUM(CR6:CR12)</f>
        <v>2146739.3794335001</v>
      </c>
      <c r="CS13" s="71">
        <f>SUM(CS6:CS12)</f>
        <v>2338357.283051</v>
      </c>
      <c r="CT13" s="71">
        <f>SUM(CT6:CT12)</f>
        <v>2560831.1344635896</v>
      </c>
      <c r="CU13" s="70">
        <f t="shared" si="12"/>
        <v>2560831.1344635896</v>
      </c>
    </row>
    <row r="14" spans="2:99" ht="18" customHeight="1">
      <c r="B14" s="8"/>
      <c r="C14" s="7" t="s">
        <v>67</v>
      </c>
      <c r="D14" s="13">
        <v>398</v>
      </c>
      <c r="E14" s="12">
        <v>529</v>
      </c>
      <c r="F14" s="12">
        <v>460</v>
      </c>
      <c r="G14" s="12">
        <v>681</v>
      </c>
      <c r="H14" s="12">
        <v>197</v>
      </c>
      <c r="I14" s="13">
        <f>H14</f>
        <v>197</v>
      </c>
      <c r="J14" s="12">
        <v>292</v>
      </c>
      <c r="K14" s="12">
        <v>311</v>
      </c>
      <c r="L14" s="12">
        <v>483</v>
      </c>
      <c r="M14" s="12">
        <v>1018</v>
      </c>
      <c r="N14" s="13">
        <f>M14</f>
        <v>1018</v>
      </c>
      <c r="O14" s="12">
        <v>1109</v>
      </c>
      <c r="P14" s="12">
        <v>774</v>
      </c>
      <c r="Q14" s="12">
        <v>1287</v>
      </c>
      <c r="R14" s="12">
        <v>1231</v>
      </c>
      <c r="S14" s="13">
        <f>R14</f>
        <v>1231</v>
      </c>
      <c r="T14" s="12">
        <v>1403</v>
      </c>
      <c r="U14" s="12">
        <v>631</v>
      </c>
      <c r="V14" s="12">
        <v>1212</v>
      </c>
      <c r="W14" s="12">
        <v>2095</v>
      </c>
      <c r="X14" s="13">
        <f>W14</f>
        <v>2095</v>
      </c>
      <c r="Y14" s="12">
        <v>1400</v>
      </c>
      <c r="Z14" s="12">
        <v>576</v>
      </c>
      <c r="AA14" s="12">
        <v>681</v>
      </c>
      <c r="AB14" s="12">
        <v>1187</v>
      </c>
      <c r="AC14" s="13">
        <f t="shared" si="0"/>
        <v>1187</v>
      </c>
      <c r="AD14" s="12">
        <v>1621</v>
      </c>
      <c r="AE14" s="12">
        <v>800</v>
      </c>
      <c r="AF14" s="12">
        <v>1098</v>
      </c>
      <c r="AG14" s="12">
        <v>588</v>
      </c>
      <c r="AH14" s="13">
        <f t="shared" si="1"/>
        <v>588</v>
      </c>
      <c r="AI14" s="12">
        <v>526</v>
      </c>
      <c r="AJ14" s="12">
        <v>1127</v>
      </c>
      <c r="AK14" s="12">
        <v>1454</v>
      </c>
      <c r="AL14" s="12">
        <v>1761</v>
      </c>
      <c r="AM14" s="13">
        <f>AL14</f>
        <v>1761</v>
      </c>
      <c r="AN14" s="12">
        <v>311</v>
      </c>
      <c r="AO14" s="12">
        <v>391</v>
      </c>
      <c r="AP14" s="12">
        <v>1072</v>
      </c>
      <c r="AQ14" s="12">
        <v>2777</v>
      </c>
      <c r="AR14" s="13">
        <f t="shared" ref="AR14:AR21" si="16">AQ14</f>
        <v>2777</v>
      </c>
      <c r="AS14" s="12">
        <v>3098</v>
      </c>
      <c r="AT14" s="12">
        <v>2579</v>
      </c>
      <c r="AU14" s="12">
        <v>2744</v>
      </c>
      <c r="AV14" s="12">
        <v>2480</v>
      </c>
      <c r="AW14" s="13">
        <f t="shared" si="13"/>
        <v>2480</v>
      </c>
      <c r="AX14" s="12">
        <v>2577</v>
      </c>
      <c r="AY14" s="12">
        <v>2333</v>
      </c>
      <c r="AZ14" s="12">
        <v>3867</v>
      </c>
      <c r="BA14" s="12">
        <v>7536</v>
      </c>
      <c r="BB14" s="13">
        <f>BA14</f>
        <v>7536</v>
      </c>
      <c r="BC14" s="12">
        <v>11550</v>
      </c>
      <c r="BD14" s="12">
        <v>12387</v>
      </c>
      <c r="BE14" s="12">
        <v>12966</v>
      </c>
      <c r="BF14" s="12">
        <v>16020</v>
      </c>
      <c r="BG14" s="13">
        <f t="shared" si="5"/>
        <v>16020</v>
      </c>
      <c r="BH14" s="12">
        <v>22821</v>
      </c>
      <c r="BI14" s="12">
        <v>20511</v>
      </c>
      <c r="BJ14" s="12">
        <v>20437</v>
      </c>
      <c r="BK14" s="12">
        <v>22432</v>
      </c>
      <c r="BL14" s="13">
        <f t="shared" si="6"/>
        <v>22432</v>
      </c>
      <c r="BM14" s="12">
        <v>21394</v>
      </c>
      <c r="BN14" s="12">
        <v>21121</v>
      </c>
      <c r="BO14" s="12">
        <v>24459</v>
      </c>
      <c r="BP14" s="12">
        <v>21417</v>
      </c>
      <c r="BQ14" s="13">
        <f t="shared" si="7"/>
        <v>21417</v>
      </c>
      <c r="BR14" s="12">
        <v>23802</v>
      </c>
      <c r="BS14" s="12">
        <v>15744</v>
      </c>
      <c r="BT14" s="12">
        <v>14917</v>
      </c>
      <c r="BU14" s="12">
        <v>13937</v>
      </c>
      <c r="BV14" s="13">
        <f t="shared" si="8"/>
        <v>13937</v>
      </c>
      <c r="BW14" s="12">
        <v>14742</v>
      </c>
      <c r="BX14" s="12">
        <v>12665</v>
      </c>
      <c r="BY14" s="12">
        <v>9213</v>
      </c>
      <c r="BZ14" s="12">
        <v>8271</v>
      </c>
      <c r="CA14" s="13">
        <f t="shared" si="9"/>
        <v>8271</v>
      </c>
      <c r="CB14" s="12">
        <v>9282</v>
      </c>
      <c r="CC14" s="12">
        <v>8310</v>
      </c>
      <c r="CD14" s="12">
        <v>10123</v>
      </c>
      <c r="CE14" s="12">
        <v>8988</v>
      </c>
      <c r="CF14" s="13">
        <f t="shared" si="14"/>
        <v>8988</v>
      </c>
      <c r="CG14" s="12">
        <v>7340</v>
      </c>
      <c r="CH14" s="12">
        <v>7928</v>
      </c>
      <c r="CI14" s="12">
        <v>7331</v>
      </c>
      <c r="CJ14" s="12">
        <v>7153</v>
      </c>
      <c r="CK14" s="13">
        <f t="shared" si="10"/>
        <v>7153</v>
      </c>
      <c r="CL14" s="12">
        <v>7205</v>
      </c>
      <c r="CM14" s="12">
        <v>7015</v>
      </c>
      <c r="CN14" s="12">
        <v>6855</v>
      </c>
      <c r="CO14" s="12">
        <v>5968</v>
      </c>
      <c r="CP14" s="13">
        <f t="shared" si="11"/>
        <v>5968</v>
      </c>
      <c r="CQ14" s="12">
        <f>CQ59*'Income Statement'!CQ23</f>
        <v>36511.612199999996</v>
      </c>
      <c r="CR14" s="12">
        <f>CR59*'Income Statement'!CR23</f>
        <v>19468.614899999997</v>
      </c>
      <c r="CS14" s="12">
        <f>CS59*'Income Statement'!CS23</f>
        <v>19110.124199999998</v>
      </c>
      <c r="CT14" s="12">
        <f>CT59*'Income Statement'!CT23</f>
        <v>19121.670277199999</v>
      </c>
      <c r="CU14" s="13">
        <f t="shared" si="12"/>
        <v>19121.670277199999</v>
      </c>
    </row>
    <row r="15" spans="2:99">
      <c r="B15" s="8"/>
      <c r="C15" s="7" t="s">
        <v>68</v>
      </c>
      <c r="D15" s="13">
        <v>9826</v>
      </c>
      <c r="E15" s="12">
        <v>10030</v>
      </c>
      <c r="F15" s="12">
        <v>13220</v>
      </c>
      <c r="G15" s="12">
        <v>24773</v>
      </c>
      <c r="H15" s="12">
        <v>26522</v>
      </c>
      <c r="I15" s="13">
        <f>H15</f>
        <v>26522</v>
      </c>
      <c r="J15" s="12">
        <v>27874</v>
      </c>
      <c r="K15" s="12">
        <v>28454</v>
      </c>
      <c r="L15" s="12">
        <v>31961</v>
      </c>
      <c r="M15" s="12">
        <v>35750</v>
      </c>
      <c r="N15" s="13">
        <f>M15</f>
        <v>35750</v>
      </c>
      <c r="O15" s="12">
        <v>36190</v>
      </c>
      <c r="P15" s="12">
        <v>35695</v>
      </c>
      <c r="Q15" s="12">
        <v>35321</v>
      </c>
      <c r="R15" s="12">
        <v>34851</v>
      </c>
      <c r="S15" s="13">
        <f>R15</f>
        <v>34851</v>
      </c>
      <c r="T15" s="12">
        <v>41386</v>
      </c>
      <c r="U15" s="12">
        <v>40511</v>
      </c>
      <c r="V15" s="12">
        <v>40780</v>
      </c>
      <c r="W15" s="12">
        <v>40915</v>
      </c>
      <c r="X15" s="13">
        <f>W15</f>
        <v>40915</v>
      </c>
      <c r="Y15" s="12">
        <v>40721</v>
      </c>
      <c r="Z15" s="12">
        <v>42500</v>
      </c>
      <c r="AA15" s="12">
        <v>43017</v>
      </c>
      <c r="AB15" s="12">
        <v>45381</v>
      </c>
      <c r="AC15" s="13">
        <f t="shared" si="0"/>
        <v>45381</v>
      </c>
      <c r="AD15" s="12">
        <v>48170</v>
      </c>
      <c r="AE15" s="12">
        <v>55378</v>
      </c>
      <c r="AF15" s="12">
        <v>63145</v>
      </c>
      <c r="AG15" s="12">
        <v>64844</v>
      </c>
      <c r="AH15" s="13">
        <f t="shared" si="1"/>
        <v>64844</v>
      </c>
      <c r="AI15" s="12">
        <v>66222</v>
      </c>
      <c r="AJ15" s="12">
        <v>67160</v>
      </c>
      <c r="AK15" s="12">
        <v>66694</v>
      </c>
      <c r="AL15" s="12">
        <v>65910</v>
      </c>
      <c r="AM15" s="13">
        <f>AL15</f>
        <v>65910</v>
      </c>
      <c r="AN15" s="12">
        <v>67301</v>
      </c>
      <c r="AO15" s="12">
        <v>67908</v>
      </c>
      <c r="AP15" s="12">
        <v>68092</v>
      </c>
      <c r="AQ15" s="12">
        <v>101112</v>
      </c>
      <c r="AR15" s="13">
        <f t="shared" si="16"/>
        <v>101112</v>
      </c>
      <c r="AS15" s="12">
        <v>114291</v>
      </c>
      <c r="AT15" s="12">
        <v>115886</v>
      </c>
      <c r="AU15" s="12">
        <v>120963</v>
      </c>
      <c r="AV15" s="12">
        <v>124268</v>
      </c>
      <c r="AW15" s="13">
        <f t="shared" si="13"/>
        <v>124268</v>
      </c>
      <c r="AX15" s="12">
        <v>142109</v>
      </c>
      <c r="AY15" s="12">
        <v>147956</v>
      </c>
      <c r="AZ15" s="12">
        <v>149142</v>
      </c>
      <c r="BA15" s="12">
        <v>152315</v>
      </c>
      <c r="BB15" s="13">
        <f>BA15</f>
        <v>152315</v>
      </c>
      <c r="BC15" s="12">
        <v>154254</v>
      </c>
      <c r="BD15" s="12">
        <v>154464</v>
      </c>
      <c r="BE15" s="12">
        <v>156498</v>
      </c>
      <c r="BF15" s="12">
        <v>155177</v>
      </c>
      <c r="BG15" s="13">
        <f t="shared" si="5"/>
        <v>155177</v>
      </c>
      <c r="BH15" s="12">
        <v>164617</v>
      </c>
      <c r="BI15" s="12">
        <v>170150</v>
      </c>
      <c r="BJ15" s="12">
        <v>169950</v>
      </c>
      <c r="BK15" s="12">
        <v>171861</v>
      </c>
      <c r="BL15" s="13">
        <f t="shared" si="6"/>
        <v>171861</v>
      </c>
      <c r="BM15" s="12">
        <v>175460</v>
      </c>
      <c r="BN15" s="12">
        <v>174967</v>
      </c>
      <c r="BO15" s="12">
        <v>170833</v>
      </c>
      <c r="BP15" s="12">
        <v>168004</v>
      </c>
      <c r="BQ15" s="13">
        <f t="shared" si="7"/>
        <v>168004</v>
      </c>
      <c r="BR15" s="12">
        <v>169295</v>
      </c>
      <c r="BS15" s="12">
        <v>177712</v>
      </c>
      <c r="BT15" s="12">
        <v>176745</v>
      </c>
      <c r="BU15" s="12">
        <v>181193</v>
      </c>
      <c r="BV15" s="13">
        <f t="shared" si="8"/>
        <v>181193</v>
      </c>
      <c r="BW15" s="12">
        <v>177508</v>
      </c>
      <c r="BX15" s="12">
        <v>177907</v>
      </c>
      <c r="BY15" s="12">
        <v>175196</v>
      </c>
      <c r="BZ15" s="12">
        <v>172786</v>
      </c>
      <c r="CA15" s="13">
        <f t="shared" si="9"/>
        <v>172786</v>
      </c>
      <c r="CB15" s="12">
        <v>167683</v>
      </c>
      <c r="CC15" s="12">
        <v>165721</v>
      </c>
      <c r="CD15" s="12">
        <v>165737</v>
      </c>
      <c r="CE15" s="12">
        <v>169720</v>
      </c>
      <c r="CF15" s="13">
        <f t="shared" si="14"/>
        <v>169720</v>
      </c>
      <c r="CG15" s="12">
        <v>167121</v>
      </c>
      <c r="CH15" s="12">
        <v>167634</v>
      </c>
      <c r="CI15" s="12">
        <v>165272</v>
      </c>
      <c r="CJ15" s="12">
        <v>163775</v>
      </c>
      <c r="CK15" s="13">
        <f t="shared" si="10"/>
        <v>163775</v>
      </c>
      <c r="CL15" s="12">
        <v>160972</v>
      </c>
      <c r="CM15" s="12">
        <v>161293</v>
      </c>
      <c r="CN15" s="12">
        <v>160626</v>
      </c>
      <c r="CO15" s="12">
        <v>160355</v>
      </c>
      <c r="CP15" s="13">
        <f t="shared" si="11"/>
        <v>160355</v>
      </c>
      <c r="CQ15" s="12">
        <f>CP15-'Cash Flows'!CQ33-'Cash Flows'!CQ9+'Cash Flows'!CQ34</f>
        <v>136880.15</v>
      </c>
      <c r="CR15" s="12">
        <f>CQ15-'Cash Flows'!CR33-'Cash Flows'!CR9+'Cash Flows'!CR34</f>
        <v>117048.53949999998</v>
      </c>
      <c r="CS15" s="12">
        <f>CR15-'Cash Flows'!CS33-'Cash Flows'!CS9+'Cash Flows'!CS34</f>
        <v>98605.141734999983</v>
      </c>
      <c r="CT15" s="12">
        <f>CS15-'Cash Flows'!CT33-'Cash Flows'!CT9+'Cash Flows'!CT34</f>
        <v>82452.781813549984</v>
      </c>
      <c r="CU15" s="13">
        <f t="shared" si="12"/>
        <v>82452.781813549984</v>
      </c>
    </row>
    <row r="16" spans="2:99">
      <c r="B16" s="8"/>
      <c r="C16" s="7" t="s">
        <v>69</v>
      </c>
      <c r="D16" s="13">
        <v>0</v>
      </c>
      <c r="E16" s="12">
        <v>5825</v>
      </c>
      <c r="F16" s="12">
        <v>5650</v>
      </c>
      <c r="G16" s="12">
        <v>4893</v>
      </c>
      <c r="H16" s="12">
        <v>3779</v>
      </c>
      <c r="I16" s="13">
        <f>H16</f>
        <v>3779</v>
      </c>
      <c r="J16" s="12">
        <v>3733</v>
      </c>
      <c r="K16" s="12">
        <v>2800</v>
      </c>
      <c r="L16" s="12">
        <v>2097</v>
      </c>
      <c r="M16" s="12">
        <v>1976</v>
      </c>
      <c r="N16" s="13">
        <f>M16</f>
        <v>1976</v>
      </c>
      <c r="O16" s="12">
        <v>2145</v>
      </c>
      <c r="P16" s="12">
        <v>2094</v>
      </c>
      <c r="Q16" s="12">
        <v>2149</v>
      </c>
      <c r="R16" s="12">
        <v>2126</v>
      </c>
      <c r="S16" s="13">
        <f>R16</f>
        <v>2126</v>
      </c>
      <c r="T16" s="12">
        <v>2126</v>
      </c>
      <c r="U16" s="12">
        <v>2101</v>
      </c>
      <c r="V16" s="12">
        <v>2101</v>
      </c>
      <c r="W16" s="12">
        <v>1953</v>
      </c>
      <c r="X16" s="13">
        <f>W16</f>
        <v>1953</v>
      </c>
      <c r="Y16" s="12">
        <v>1953</v>
      </c>
      <c r="Z16" s="12">
        <v>1903</v>
      </c>
      <c r="AA16" s="12">
        <v>2029</v>
      </c>
      <c r="AB16" s="12">
        <v>2037</v>
      </c>
      <c r="AC16" s="13">
        <f t="shared" si="0"/>
        <v>2037</v>
      </c>
      <c r="AD16" s="12">
        <v>2012</v>
      </c>
      <c r="AE16" s="12">
        <v>2103</v>
      </c>
      <c r="AF16" s="12">
        <v>2078</v>
      </c>
      <c r="AG16" s="12">
        <v>1288</v>
      </c>
      <c r="AH16" s="13">
        <f t="shared" si="1"/>
        <v>1288</v>
      </c>
      <c r="AI16" s="12">
        <v>1280</v>
      </c>
      <c r="AJ16" s="12"/>
      <c r="AK16" s="12">
        <f>AJ16</f>
        <v>0</v>
      </c>
      <c r="AL16" s="12">
        <f>AK16</f>
        <v>0</v>
      </c>
      <c r="AM16" s="13">
        <f>AL16</f>
        <v>0</v>
      </c>
      <c r="AN16" s="12">
        <f>AM16</f>
        <v>0</v>
      </c>
      <c r="AO16" s="12">
        <f>AN16</f>
        <v>0</v>
      </c>
      <c r="AP16" s="12">
        <f>AO16</f>
        <v>0</v>
      </c>
      <c r="AQ16" s="12">
        <f>AP16</f>
        <v>0</v>
      </c>
      <c r="AR16" s="13">
        <f t="shared" si="16"/>
        <v>0</v>
      </c>
      <c r="AS16" s="12">
        <f>AR16</f>
        <v>0</v>
      </c>
      <c r="AT16" s="12">
        <f>AS16</f>
        <v>0</v>
      </c>
      <c r="AU16" s="12">
        <v>0</v>
      </c>
      <c r="AV16" s="12">
        <v>0</v>
      </c>
      <c r="AW16" s="13">
        <f t="shared" si="13"/>
        <v>0</v>
      </c>
      <c r="AX16" s="12">
        <f>AW16</f>
        <v>0</v>
      </c>
      <c r="AY16" s="12">
        <f>AX16</f>
        <v>0</v>
      </c>
      <c r="AZ16" s="12">
        <f>AY16</f>
        <v>0</v>
      </c>
      <c r="BA16" s="12">
        <f>AZ16</f>
        <v>0</v>
      </c>
      <c r="BB16" s="13">
        <f>BA16</f>
        <v>0</v>
      </c>
      <c r="BC16" s="12">
        <v>0</v>
      </c>
      <c r="BD16" s="12">
        <f>BC16</f>
        <v>0</v>
      </c>
      <c r="BE16" s="12">
        <f>BD16</f>
        <v>0</v>
      </c>
      <c r="BF16" s="12">
        <f>BE16</f>
        <v>0</v>
      </c>
      <c r="BG16" s="13">
        <f t="shared" si="5"/>
        <v>0</v>
      </c>
      <c r="BH16" s="12">
        <f>BG16</f>
        <v>0</v>
      </c>
      <c r="BI16" s="12">
        <f>BH16</f>
        <v>0</v>
      </c>
      <c r="BJ16" s="12">
        <f>BI16</f>
        <v>0</v>
      </c>
      <c r="BK16" s="12">
        <f>BJ16</f>
        <v>0</v>
      </c>
      <c r="BL16" s="13">
        <f t="shared" si="6"/>
        <v>0</v>
      </c>
      <c r="BM16" s="12">
        <f>BL16</f>
        <v>0</v>
      </c>
      <c r="BN16" s="12">
        <f>BM16</f>
        <v>0</v>
      </c>
      <c r="BO16" s="12">
        <f>BN16</f>
        <v>0</v>
      </c>
      <c r="BP16" s="12">
        <v>82640</v>
      </c>
      <c r="BQ16" s="13">
        <f t="shared" si="7"/>
        <v>82640</v>
      </c>
      <c r="BR16" s="12">
        <v>112910</v>
      </c>
      <c r="BS16" s="12">
        <v>79057</v>
      </c>
      <c r="BT16" s="12">
        <v>64916</v>
      </c>
      <c r="BU16" s="12">
        <v>46353</v>
      </c>
      <c r="BV16" s="13">
        <f t="shared" si="8"/>
        <v>46353</v>
      </c>
      <c r="BW16" s="12">
        <v>34342</v>
      </c>
      <c r="BX16" s="12">
        <v>26464</v>
      </c>
      <c r="BY16" s="12">
        <v>22627</v>
      </c>
      <c r="BZ16" s="12">
        <v>18508</v>
      </c>
      <c r="CA16" s="13">
        <f t="shared" si="9"/>
        <v>18508</v>
      </c>
      <c r="CB16" s="12">
        <v>14544</v>
      </c>
      <c r="CC16" s="12">
        <v>10116</v>
      </c>
      <c r="CD16" s="12">
        <v>9553</v>
      </c>
      <c r="CE16" s="12">
        <v>7046</v>
      </c>
      <c r="CF16" s="13">
        <f t="shared" si="14"/>
        <v>7046</v>
      </c>
      <c r="CG16" s="12">
        <v>5492</v>
      </c>
      <c r="CH16" s="12">
        <v>3879</v>
      </c>
      <c r="CI16" s="12">
        <v>3884</v>
      </c>
      <c r="CJ16" s="12">
        <v>10758</v>
      </c>
      <c r="CK16" s="13">
        <f t="shared" si="10"/>
        <v>10758</v>
      </c>
      <c r="CL16" s="12">
        <v>3032</v>
      </c>
      <c r="CM16" s="12">
        <v>2994</v>
      </c>
      <c r="CN16" s="12">
        <v>22439</v>
      </c>
      <c r="CO16" s="12">
        <v>60698</v>
      </c>
      <c r="CP16" s="13">
        <f t="shared" si="11"/>
        <v>60698</v>
      </c>
      <c r="CQ16" s="12">
        <f>CP16</f>
        <v>60698</v>
      </c>
      <c r="CR16" s="12">
        <f>CQ16</f>
        <v>60698</v>
      </c>
      <c r="CS16" s="12">
        <f>CR16</f>
        <v>60698</v>
      </c>
      <c r="CT16" s="12">
        <f>CS16</f>
        <v>60698</v>
      </c>
      <c r="CU16" s="13">
        <f t="shared" si="12"/>
        <v>60698</v>
      </c>
    </row>
    <row r="17" spans="2:99">
      <c r="B17" s="8"/>
      <c r="C17" s="7" t="s">
        <v>70</v>
      </c>
      <c r="D17" s="13">
        <v>100220</v>
      </c>
      <c r="E17" s="12">
        <v>119406</v>
      </c>
      <c r="F17" s="12">
        <v>116873</v>
      </c>
      <c r="G17" s="12">
        <v>126635</v>
      </c>
      <c r="H17" s="12">
        <v>124039</v>
      </c>
      <c r="I17" s="13">
        <f>H17</f>
        <v>124039</v>
      </c>
      <c r="J17" s="12">
        <v>123379</v>
      </c>
      <c r="K17" s="12">
        <v>124056</v>
      </c>
      <c r="L17" s="12">
        <v>123492</v>
      </c>
      <c r="M17" s="12">
        <v>122239</v>
      </c>
      <c r="N17" s="13">
        <f>M17</f>
        <v>122239</v>
      </c>
      <c r="O17" s="12">
        <v>129498</v>
      </c>
      <c r="P17" s="12">
        <v>128072</v>
      </c>
      <c r="Q17" s="12">
        <v>128642</v>
      </c>
      <c r="R17" s="12">
        <v>127375</v>
      </c>
      <c r="S17" s="13">
        <f>R17</f>
        <v>127375</v>
      </c>
      <c r="T17" s="12">
        <v>125849</v>
      </c>
      <c r="U17" s="12">
        <v>124577</v>
      </c>
      <c r="V17" s="12">
        <v>123310</v>
      </c>
      <c r="W17" s="12">
        <v>141722</v>
      </c>
      <c r="X17" s="13">
        <f>W17</f>
        <v>141722</v>
      </c>
      <c r="Y17" s="12">
        <v>150010</v>
      </c>
      <c r="Z17" s="12">
        <v>156740</v>
      </c>
      <c r="AA17" s="12">
        <v>155069</v>
      </c>
      <c r="AB17" s="12">
        <v>165756</v>
      </c>
      <c r="AC17" s="13">
        <f t="shared" si="0"/>
        <v>165756</v>
      </c>
      <c r="AD17" s="12">
        <v>165042</v>
      </c>
      <c r="AE17" s="12">
        <v>163300</v>
      </c>
      <c r="AF17" s="12">
        <v>161639</v>
      </c>
      <c r="AG17" s="12">
        <v>159997</v>
      </c>
      <c r="AH17" s="13">
        <f t="shared" si="1"/>
        <v>159997</v>
      </c>
      <c r="AI17" s="12">
        <v>158387</v>
      </c>
      <c r="AJ17" s="12">
        <v>156815</v>
      </c>
      <c r="AK17" s="12">
        <v>160376</v>
      </c>
      <c r="AL17" s="12">
        <v>158864</v>
      </c>
      <c r="AM17" s="13">
        <f>AL17</f>
        <v>158864</v>
      </c>
      <c r="AN17" s="12">
        <v>157257</v>
      </c>
      <c r="AO17" s="12">
        <v>163467</v>
      </c>
      <c r="AP17" s="12">
        <v>161633</v>
      </c>
      <c r="AQ17" s="12">
        <v>295378</v>
      </c>
      <c r="AR17" s="13">
        <f t="shared" si="16"/>
        <v>295378</v>
      </c>
      <c r="AS17" s="12">
        <v>286475</v>
      </c>
      <c r="AT17" s="12">
        <v>285491</v>
      </c>
      <c r="AU17" s="12">
        <v>276326</v>
      </c>
      <c r="AV17" s="12">
        <v>267259</v>
      </c>
      <c r="AW17" s="13">
        <f t="shared" si="13"/>
        <v>267259</v>
      </c>
      <c r="AX17" s="12">
        <v>258280</v>
      </c>
      <c r="AY17" s="12">
        <v>252874</v>
      </c>
      <c r="AZ17" s="12">
        <v>245520</v>
      </c>
      <c r="BA17" s="12">
        <v>236444</v>
      </c>
      <c r="BB17" s="13">
        <f>BA17</f>
        <v>236444</v>
      </c>
      <c r="BC17" s="12">
        <v>221069</v>
      </c>
      <c r="BD17" s="12">
        <v>293194</v>
      </c>
      <c r="BE17" s="12">
        <v>282806</v>
      </c>
      <c r="BF17" s="12">
        <v>276852</v>
      </c>
      <c r="BG17" s="13">
        <f t="shared" si="5"/>
        <v>276852</v>
      </c>
      <c r="BH17" s="12">
        <v>389633</v>
      </c>
      <c r="BI17" s="12">
        <v>377478</v>
      </c>
      <c r="BJ17" s="12">
        <v>377580</v>
      </c>
      <c r="BK17" s="12">
        <v>378914</v>
      </c>
      <c r="BL17" s="13">
        <f t="shared" si="6"/>
        <v>378914</v>
      </c>
      <c r="BM17" s="12">
        <v>366506</v>
      </c>
      <c r="BN17" s="12">
        <v>354115</v>
      </c>
      <c r="BO17" s="12">
        <v>341999</v>
      </c>
      <c r="BP17" s="12">
        <v>331189</v>
      </c>
      <c r="BQ17" s="13">
        <f t="shared" si="7"/>
        <v>331189</v>
      </c>
      <c r="BR17" s="12">
        <v>308614</v>
      </c>
      <c r="BS17" s="12">
        <v>1045580</v>
      </c>
      <c r="BT17" s="12">
        <v>1086457</v>
      </c>
      <c r="BU17" s="12">
        <v>1052493</v>
      </c>
      <c r="BV17" s="13">
        <f t="shared" si="8"/>
        <v>1052493</v>
      </c>
      <c r="BW17" s="12">
        <v>1072479</v>
      </c>
      <c r="BX17" s="12">
        <v>1032786</v>
      </c>
      <c r="BY17" s="12">
        <v>1004045</v>
      </c>
      <c r="BZ17" s="12">
        <v>1002164</v>
      </c>
      <c r="CA17" s="13">
        <f t="shared" si="9"/>
        <v>1002164</v>
      </c>
      <c r="CB17" s="12">
        <v>976359</v>
      </c>
      <c r="CC17" s="12">
        <v>948990</v>
      </c>
      <c r="CD17" s="12">
        <v>938277</v>
      </c>
      <c r="CE17" s="12">
        <v>928870</v>
      </c>
      <c r="CF17" s="13">
        <f t="shared" si="14"/>
        <v>928870</v>
      </c>
      <c r="CG17" s="12">
        <v>901434</v>
      </c>
      <c r="CH17" s="12">
        <v>878272</v>
      </c>
      <c r="CI17" s="12">
        <v>855099</v>
      </c>
      <c r="CJ17" s="12">
        <v>831966</v>
      </c>
      <c r="CK17" s="13">
        <f t="shared" si="10"/>
        <v>831966</v>
      </c>
      <c r="CL17" s="12">
        <v>816955</v>
      </c>
      <c r="CM17" s="12">
        <v>793725</v>
      </c>
      <c r="CN17" s="12">
        <v>779170</v>
      </c>
      <c r="CO17" s="12">
        <v>780414</v>
      </c>
      <c r="CP17" s="13">
        <f t="shared" si="11"/>
        <v>780414</v>
      </c>
      <c r="CQ17" s="12">
        <f>CO17-'Income Statement'!CQ59-'Income Statement'!CQ58</f>
        <v>757414</v>
      </c>
      <c r="CR17" s="12">
        <f>CP17-'Income Statement'!CR59-'Income Statement'!CR58</f>
        <v>759414</v>
      </c>
      <c r="CS17" s="12">
        <f>CQ17-'Income Statement'!CS59-'Income Statement'!CS58</f>
        <v>736414</v>
      </c>
      <c r="CT17" s="12">
        <f>CR17-'Income Statement'!CT59-'Income Statement'!CT58</f>
        <v>739414</v>
      </c>
      <c r="CU17" s="13">
        <f t="shared" si="12"/>
        <v>739414</v>
      </c>
    </row>
    <row r="18" spans="2:99">
      <c r="B18" s="8"/>
      <c r="C18" s="7" t="s">
        <v>126</v>
      </c>
      <c r="D18" s="13"/>
      <c r="E18" s="12"/>
      <c r="F18" s="12"/>
      <c r="G18" s="12"/>
      <c r="H18" s="12"/>
      <c r="I18" s="13"/>
      <c r="J18" s="12"/>
      <c r="K18" s="12"/>
      <c r="L18" s="12"/>
      <c r="M18" s="12"/>
      <c r="N18" s="13"/>
      <c r="O18" s="12"/>
      <c r="P18" s="12"/>
      <c r="Q18" s="12"/>
      <c r="R18" s="12"/>
      <c r="S18" s="13"/>
      <c r="T18" s="12"/>
      <c r="U18" s="12"/>
      <c r="V18" s="12"/>
      <c r="W18" s="12">
        <v>1614</v>
      </c>
      <c r="X18" s="13">
        <f>W18</f>
        <v>1614</v>
      </c>
      <c r="Y18" s="12"/>
      <c r="Z18" s="12">
        <v>1467</v>
      </c>
      <c r="AA18" s="12">
        <v>1234</v>
      </c>
      <c r="AB18" s="12">
        <v>1197</v>
      </c>
      <c r="AC18" s="13">
        <f>AB18</f>
        <v>1197</v>
      </c>
      <c r="AD18" s="12">
        <v>980</v>
      </c>
      <c r="AE18" s="12">
        <v>795</v>
      </c>
      <c r="AF18" s="12">
        <v>690</v>
      </c>
      <c r="AG18" s="12">
        <v>536</v>
      </c>
      <c r="AH18" s="13">
        <f t="shared" si="1"/>
        <v>536</v>
      </c>
      <c r="AI18" s="12">
        <v>207</v>
      </c>
      <c r="AJ18" s="12">
        <v>683</v>
      </c>
      <c r="AK18" s="12">
        <v>739</v>
      </c>
      <c r="AL18" s="12">
        <v>737</v>
      </c>
      <c r="AM18" s="13">
        <f>AL18</f>
        <v>737</v>
      </c>
      <c r="AN18" s="12">
        <v>15738</v>
      </c>
      <c r="AO18" s="12">
        <v>3744</v>
      </c>
      <c r="AP18" s="12">
        <v>21080</v>
      </c>
      <c r="AQ18" s="12">
        <v>20422</v>
      </c>
      <c r="AR18" s="13">
        <f t="shared" si="16"/>
        <v>20422</v>
      </c>
      <c r="AS18" s="12">
        <v>33442</v>
      </c>
      <c r="AT18" s="12">
        <v>29752</v>
      </c>
      <c r="AU18" s="12">
        <v>27881</v>
      </c>
      <c r="AV18" s="12">
        <v>30741</v>
      </c>
      <c r="AW18" s="13">
        <f t="shared" si="13"/>
        <v>30741</v>
      </c>
      <c r="AX18" s="12">
        <v>30903</v>
      </c>
      <c r="AY18" s="12">
        <v>31347</v>
      </c>
      <c r="AZ18" s="12">
        <v>39800</v>
      </c>
      <c r="BA18" s="12">
        <v>38510</v>
      </c>
      <c r="BB18" s="13">
        <f>BA18</f>
        <v>38510</v>
      </c>
      <c r="BC18" s="12">
        <v>48388</v>
      </c>
      <c r="BD18" s="12">
        <v>57580</v>
      </c>
      <c r="BE18" s="12">
        <v>61156</v>
      </c>
      <c r="BF18" s="12">
        <v>70338</v>
      </c>
      <c r="BG18" s="13">
        <f t="shared" si="5"/>
        <v>70338</v>
      </c>
      <c r="BH18" s="12">
        <v>75318</v>
      </c>
      <c r="BI18" s="12">
        <v>71462</v>
      </c>
      <c r="BJ18" s="12">
        <v>71104</v>
      </c>
      <c r="BK18" s="12">
        <v>79601</v>
      </c>
      <c r="BL18" s="13">
        <f t="shared" si="6"/>
        <v>79601</v>
      </c>
      <c r="BM18" s="12">
        <v>85776</v>
      </c>
      <c r="BN18" s="12">
        <v>101764</v>
      </c>
      <c r="BO18" s="12">
        <f>75278+33646</f>
        <v>108924</v>
      </c>
      <c r="BP18" s="12">
        <v>33792</v>
      </c>
      <c r="BQ18" s="13">
        <f t="shared" si="7"/>
        <v>33792</v>
      </c>
      <c r="BR18" s="12">
        <f>33806+12190</f>
        <v>45996</v>
      </c>
      <c r="BS18" s="12">
        <v>0</v>
      </c>
      <c r="BT18" s="12">
        <f>BS18</f>
        <v>0</v>
      </c>
      <c r="BU18" s="12">
        <f>BT18</f>
        <v>0</v>
      </c>
      <c r="BV18" s="13">
        <f t="shared" si="8"/>
        <v>0</v>
      </c>
      <c r="BW18" s="12">
        <f>BV18</f>
        <v>0</v>
      </c>
      <c r="BX18" s="12">
        <f>BW18</f>
        <v>0</v>
      </c>
      <c r="BY18" s="12">
        <f>BX18</f>
        <v>0</v>
      </c>
      <c r="BZ18" s="12">
        <f>BY18</f>
        <v>0</v>
      </c>
      <c r="CA18" s="13">
        <f t="shared" si="9"/>
        <v>0</v>
      </c>
      <c r="CB18" s="12">
        <f>CA18</f>
        <v>0</v>
      </c>
      <c r="CC18" s="12">
        <f>CB18</f>
        <v>0</v>
      </c>
      <c r="CD18" s="12">
        <f>CC18</f>
        <v>0</v>
      </c>
      <c r="CE18" s="12">
        <f>CD18</f>
        <v>0</v>
      </c>
      <c r="CF18" s="13">
        <f t="shared" si="14"/>
        <v>0</v>
      </c>
      <c r="CG18" s="12">
        <f>CF18</f>
        <v>0</v>
      </c>
      <c r="CH18" s="12"/>
      <c r="CI18" s="12"/>
      <c r="CJ18" s="12"/>
      <c r="CK18" s="13">
        <f t="shared" si="10"/>
        <v>0</v>
      </c>
      <c r="CL18" s="12"/>
      <c r="CM18" s="12">
        <f>CL18</f>
        <v>0</v>
      </c>
      <c r="CN18" s="12">
        <f>CM18</f>
        <v>0</v>
      </c>
      <c r="CO18" s="12">
        <f>CN18</f>
        <v>0</v>
      </c>
      <c r="CP18" s="13">
        <f t="shared" si="11"/>
        <v>0</v>
      </c>
      <c r="CQ18" s="12">
        <f>CP18</f>
        <v>0</v>
      </c>
      <c r="CR18" s="12">
        <f>CQ18</f>
        <v>0</v>
      </c>
      <c r="CS18" s="12">
        <f>CR18</f>
        <v>0</v>
      </c>
      <c r="CT18" s="12">
        <f>CS18</f>
        <v>0</v>
      </c>
      <c r="CU18" s="13">
        <f t="shared" si="12"/>
        <v>0</v>
      </c>
    </row>
    <row r="19" spans="2:99" hidden="1" outlineLevel="1">
      <c r="B19" s="8"/>
      <c r="C19" s="7" t="s">
        <v>519</v>
      </c>
      <c r="D19" s="13"/>
      <c r="E19" s="12"/>
      <c r="F19" s="12"/>
      <c r="G19" s="12"/>
      <c r="H19" s="12"/>
      <c r="I19" s="13"/>
      <c r="J19" s="12"/>
      <c r="K19" s="12"/>
      <c r="L19" s="12"/>
      <c r="M19" s="12"/>
      <c r="N19" s="13"/>
      <c r="O19" s="12"/>
      <c r="P19" s="12"/>
      <c r="Q19" s="12"/>
      <c r="R19" s="12"/>
      <c r="S19" s="13"/>
      <c r="T19" s="12"/>
      <c r="U19" s="12"/>
      <c r="V19" s="12"/>
      <c r="W19" s="12"/>
      <c r="X19" s="13"/>
      <c r="Y19" s="12"/>
      <c r="Z19" s="12"/>
      <c r="AA19" s="12"/>
      <c r="AB19" s="12"/>
      <c r="AC19" s="13"/>
      <c r="AD19" s="12"/>
      <c r="AE19" s="12"/>
      <c r="AF19" s="12"/>
      <c r="AG19" s="12"/>
      <c r="AH19" s="13"/>
      <c r="AI19" s="12"/>
      <c r="AJ19" s="12"/>
      <c r="AK19" s="12"/>
      <c r="AL19" s="12"/>
      <c r="AM19" s="13"/>
      <c r="AN19" s="12"/>
      <c r="AO19" s="12">
        <v>15000</v>
      </c>
      <c r="AP19" s="12">
        <v>15000</v>
      </c>
      <c r="AQ19" s="12">
        <v>15000</v>
      </c>
      <c r="AR19" s="13">
        <f t="shared" si="16"/>
        <v>15000</v>
      </c>
      <c r="AS19" s="12">
        <v>0</v>
      </c>
      <c r="AT19" s="12">
        <v>0</v>
      </c>
      <c r="AU19" s="12">
        <v>0</v>
      </c>
      <c r="AV19" s="12">
        <v>0</v>
      </c>
      <c r="AW19" s="13"/>
      <c r="AX19" s="12">
        <v>0</v>
      </c>
      <c r="AY19" s="12">
        <v>0</v>
      </c>
      <c r="AZ19" s="12">
        <v>0</v>
      </c>
      <c r="BA19" s="12">
        <v>0</v>
      </c>
      <c r="BB19" s="13">
        <v>0</v>
      </c>
      <c r="BC19" s="12">
        <f>BB19</f>
        <v>0</v>
      </c>
      <c r="BD19" s="12">
        <v>0</v>
      </c>
      <c r="BE19" s="12">
        <v>0</v>
      </c>
      <c r="BF19" s="12">
        <v>0</v>
      </c>
      <c r="BG19" s="13">
        <v>0</v>
      </c>
      <c r="BH19" s="12">
        <f>BG19</f>
        <v>0</v>
      </c>
      <c r="BI19" s="12">
        <v>0</v>
      </c>
      <c r="BJ19" s="12">
        <v>0</v>
      </c>
      <c r="BK19" s="12">
        <v>0</v>
      </c>
      <c r="BL19" s="13">
        <v>0</v>
      </c>
      <c r="BM19" s="12">
        <f>BL19</f>
        <v>0</v>
      </c>
      <c r="BN19" s="12">
        <v>0</v>
      </c>
      <c r="BO19" s="12">
        <v>0</v>
      </c>
      <c r="BP19" s="12">
        <v>0</v>
      </c>
      <c r="BQ19" s="13">
        <v>0</v>
      </c>
      <c r="BR19" s="12">
        <v>0</v>
      </c>
      <c r="BS19" s="12">
        <v>0</v>
      </c>
      <c r="BT19" s="12">
        <v>0</v>
      </c>
      <c r="BU19" s="12">
        <v>0</v>
      </c>
      <c r="BV19" s="13">
        <v>0</v>
      </c>
      <c r="BW19" s="12">
        <v>0</v>
      </c>
      <c r="BX19" s="12">
        <v>0</v>
      </c>
      <c r="BY19" s="12">
        <v>0</v>
      </c>
      <c r="BZ19" s="12">
        <v>0</v>
      </c>
      <c r="CA19" s="13">
        <v>0</v>
      </c>
      <c r="CB19" s="12">
        <v>0</v>
      </c>
      <c r="CC19" s="12">
        <v>0</v>
      </c>
      <c r="CD19" s="12">
        <v>0</v>
      </c>
      <c r="CE19" s="12">
        <v>0</v>
      </c>
      <c r="CF19" s="13">
        <v>0</v>
      </c>
      <c r="CG19" s="12">
        <v>0</v>
      </c>
      <c r="CH19" s="12"/>
      <c r="CI19" s="12"/>
      <c r="CJ19" s="12"/>
      <c r="CK19" s="13">
        <v>0</v>
      </c>
      <c r="CL19" s="12"/>
      <c r="CM19" s="12">
        <v>0</v>
      </c>
      <c r="CN19" s="12">
        <v>0</v>
      </c>
      <c r="CO19" s="12">
        <v>0</v>
      </c>
      <c r="CP19" s="13">
        <v>0</v>
      </c>
      <c r="CQ19" s="12">
        <v>0</v>
      </c>
      <c r="CR19" s="12">
        <v>0</v>
      </c>
      <c r="CS19" s="12">
        <v>0</v>
      </c>
      <c r="CT19" s="12">
        <v>0</v>
      </c>
      <c r="CU19" s="13">
        <v>0</v>
      </c>
    </row>
    <row r="20" spans="2:99" collapsed="1">
      <c r="B20" s="8"/>
      <c r="C20" s="7" t="s">
        <v>670</v>
      </c>
      <c r="D20" s="13"/>
      <c r="E20" s="12"/>
      <c r="F20" s="12"/>
      <c r="G20" s="12"/>
      <c r="H20" s="12"/>
      <c r="I20" s="13"/>
      <c r="J20" s="12"/>
      <c r="K20" s="12"/>
      <c r="L20" s="12"/>
      <c r="M20" s="12"/>
      <c r="N20" s="13"/>
      <c r="O20" s="12"/>
      <c r="P20" s="12"/>
      <c r="Q20" s="12"/>
      <c r="R20" s="12"/>
      <c r="S20" s="13"/>
      <c r="T20" s="12"/>
      <c r="U20" s="12"/>
      <c r="V20" s="12"/>
      <c r="W20" s="12"/>
      <c r="X20" s="13"/>
      <c r="Y20" s="12"/>
      <c r="Z20" s="12"/>
      <c r="AA20" s="12"/>
      <c r="AB20" s="12"/>
      <c r="AC20" s="13"/>
      <c r="AD20" s="12"/>
      <c r="AE20" s="12"/>
      <c r="AF20" s="12"/>
      <c r="AG20" s="12"/>
      <c r="AH20" s="13"/>
      <c r="AI20" s="12"/>
      <c r="AJ20" s="12"/>
      <c r="AK20" s="12"/>
      <c r="AL20" s="12"/>
      <c r="AM20" s="13"/>
      <c r="AN20" s="12"/>
      <c r="AO20" s="12"/>
      <c r="AP20" s="12"/>
      <c r="AQ20" s="12"/>
      <c r="AR20" s="13"/>
      <c r="AS20" s="12"/>
      <c r="AT20" s="12"/>
      <c r="AU20" s="12"/>
      <c r="AV20" s="12"/>
      <c r="AW20" s="13"/>
      <c r="AX20" s="12"/>
      <c r="AY20" s="12"/>
      <c r="AZ20" s="12"/>
      <c r="BA20" s="12"/>
      <c r="BB20" s="13"/>
      <c r="BC20" s="12"/>
      <c r="BD20" s="12"/>
      <c r="BE20" s="12"/>
      <c r="BF20" s="12"/>
      <c r="BG20" s="13"/>
      <c r="BH20" s="12">
        <v>20067</v>
      </c>
      <c r="BI20" s="12">
        <v>20349</v>
      </c>
      <c r="BJ20" s="12">
        <v>20172</v>
      </c>
      <c r="BK20" s="12">
        <v>18992</v>
      </c>
      <c r="BL20" s="13">
        <f>BK20</f>
        <v>18992</v>
      </c>
      <c r="BM20" s="12">
        <v>17992</v>
      </c>
      <c r="BN20" s="12">
        <v>16659</v>
      </c>
      <c r="BO20" s="12">
        <v>15321</v>
      </c>
      <c r="BP20" s="12">
        <v>18734</v>
      </c>
      <c r="BQ20" s="13">
        <f>BP20</f>
        <v>18734</v>
      </c>
      <c r="BR20" s="12">
        <v>19192</v>
      </c>
      <c r="BS20" s="12">
        <v>28230</v>
      </c>
      <c r="BT20" s="12">
        <v>40449</v>
      </c>
      <c r="BU20" s="12">
        <v>39720</v>
      </c>
      <c r="BV20" s="13">
        <f>BU20</f>
        <v>39720</v>
      </c>
      <c r="BW20" s="12">
        <v>42369</v>
      </c>
      <c r="BX20" s="12">
        <v>40577</v>
      </c>
      <c r="BY20" s="12">
        <v>53202</v>
      </c>
      <c r="BZ20" s="12">
        <v>50989</v>
      </c>
      <c r="CA20" s="13">
        <f>BZ20</f>
        <v>50989</v>
      </c>
      <c r="CB20" s="12">
        <v>48627</v>
      </c>
      <c r="CC20" s="12">
        <v>46824</v>
      </c>
      <c r="CD20" s="12">
        <v>42513</v>
      </c>
      <c r="CE20" s="12">
        <v>39039</v>
      </c>
      <c r="CF20" s="13">
        <f t="shared" ref="CF20:CP20" si="17">CE20</f>
        <v>39039</v>
      </c>
      <c r="CG20" s="12">
        <v>37874</v>
      </c>
      <c r="CH20" s="12">
        <v>36647</v>
      </c>
      <c r="CI20" s="12">
        <v>34741</v>
      </c>
      <c r="CJ20" s="12">
        <v>31433</v>
      </c>
      <c r="CK20" s="13">
        <f t="shared" si="17"/>
        <v>31433</v>
      </c>
      <c r="CL20" s="12">
        <v>33289</v>
      </c>
      <c r="CM20" s="12">
        <v>34723</v>
      </c>
      <c r="CN20" s="12">
        <v>36564</v>
      </c>
      <c r="CO20" s="12">
        <v>35602</v>
      </c>
      <c r="CP20" s="13">
        <f t="shared" si="17"/>
        <v>35602</v>
      </c>
      <c r="CQ20" s="12">
        <f t="shared" ref="CQ20:CQ21" si="18">CP20</f>
        <v>35602</v>
      </c>
      <c r="CR20" s="12">
        <f t="shared" ref="CR20:CR21" si="19">CQ20</f>
        <v>35602</v>
      </c>
      <c r="CS20" s="12">
        <f t="shared" ref="CS20:CS21" si="20">CR20</f>
        <v>35602</v>
      </c>
      <c r="CT20" s="12">
        <f t="shared" ref="CT20:CT21" si="21">CS20</f>
        <v>35602</v>
      </c>
      <c r="CU20" s="13">
        <f t="shared" ref="CU20:CU21" si="22">CT20</f>
        <v>35602</v>
      </c>
    </row>
    <row r="21" spans="2:99">
      <c r="B21" s="8"/>
      <c r="C21" s="7" t="s">
        <v>599</v>
      </c>
      <c r="D21" s="13"/>
      <c r="E21" s="12"/>
      <c r="F21" s="12"/>
      <c r="G21" s="12"/>
      <c r="H21" s="12"/>
      <c r="I21" s="13"/>
      <c r="J21" s="12"/>
      <c r="K21" s="12"/>
      <c r="L21" s="12"/>
      <c r="M21" s="12"/>
      <c r="N21" s="13"/>
      <c r="O21" s="12"/>
      <c r="P21" s="12"/>
      <c r="Q21" s="12"/>
      <c r="R21" s="12"/>
      <c r="S21" s="13"/>
      <c r="T21" s="12"/>
      <c r="U21" s="12"/>
      <c r="V21" s="12"/>
      <c r="W21" s="12"/>
      <c r="X21" s="13"/>
      <c r="Y21" s="12"/>
      <c r="Z21" s="12"/>
      <c r="AA21" s="12"/>
      <c r="AB21" s="12"/>
      <c r="AC21" s="13"/>
      <c r="AD21" s="12"/>
      <c r="AE21" s="12"/>
      <c r="AF21" s="12"/>
      <c r="AG21" s="12"/>
      <c r="AH21" s="13"/>
      <c r="AI21" s="12"/>
      <c r="AJ21" s="12"/>
      <c r="AK21" s="12"/>
      <c r="AL21" s="12"/>
      <c r="AM21" s="13"/>
      <c r="AN21" s="12"/>
      <c r="AO21" s="12"/>
      <c r="AP21" s="12"/>
      <c r="AQ21" s="12">
        <v>653666</v>
      </c>
      <c r="AR21" s="13">
        <f t="shared" si="16"/>
        <v>653666</v>
      </c>
      <c r="AS21" s="12">
        <v>655167</v>
      </c>
      <c r="AT21" s="12">
        <v>655393</v>
      </c>
      <c r="AU21" s="12">
        <v>647525</v>
      </c>
      <c r="AV21" s="12">
        <v>650237</v>
      </c>
      <c r="AW21" s="13">
        <f>AV21</f>
        <v>650237</v>
      </c>
      <c r="AX21" s="12">
        <v>650237</v>
      </c>
      <c r="AY21" s="12">
        <v>651721</v>
      </c>
      <c r="AZ21" s="12">
        <v>655068</v>
      </c>
      <c r="BA21" s="12">
        <v>657987</v>
      </c>
      <c r="BB21" s="13">
        <f>BA21</f>
        <v>657987</v>
      </c>
      <c r="BC21" s="12">
        <v>657727</v>
      </c>
      <c r="BD21" s="12">
        <v>740146</v>
      </c>
      <c r="BE21" s="12">
        <v>749502</v>
      </c>
      <c r="BF21" s="12">
        <v>753718</v>
      </c>
      <c r="BG21" s="13">
        <f>BF21</f>
        <v>753718</v>
      </c>
      <c r="BH21" s="12">
        <v>834572</v>
      </c>
      <c r="BI21" s="12">
        <v>835911</v>
      </c>
      <c r="BJ21" s="12">
        <v>826040</v>
      </c>
      <c r="BK21" s="12">
        <v>840117</v>
      </c>
      <c r="BL21" s="13">
        <f>BK21</f>
        <v>840117</v>
      </c>
      <c r="BM21" s="12">
        <v>840028</v>
      </c>
      <c r="BN21" s="12">
        <v>840028</v>
      </c>
      <c r="BO21" s="12">
        <v>840028</v>
      </c>
      <c r="BP21" s="12">
        <v>838428</v>
      </c>
      <c r="BQ21" s="13">
        <f>BP21</f>
        <v>838428</v>
      </c>
      <c r="BR21" s="12">
        <v>851629</v>
      </c>
      <c r="BS21" s="12">
        <v>2309434</v>
      </c>
      <c r="BT21" s="12">
        <v>2355144</v>
      </c>
      <c r="BU21" s="12">
        <v>2359674</v>
      </c>
      <c r="BV21" s="13">
        <f>BU21</f>
        <v>2359674</v>
      </c>
      <c r="BW21" s="12">
        <v>2440843</v>
      </c>
      <c r="BX21" s="12">
        <v>2449638</v>
      </c>
      <c r="BY21" s="12">
        <v>2449405</v>
      </c>
      <c r="BZ21" s="12">
        <v>2489308</v>
      </c>
      <c r="CA21" s="13">
        <f>BZ21</f>
        <v>2489308</v>
      </c>
      <c r="CB21" s="12">
        <v>2489084</v>
      </c>
      <c r="CC21" s="12">
        <v>2489084</v>
      </c>
      <c r="CD21" s="12">
        <v>2510488</v>
      </c>
      <c r="CE21" s="12">
        <v>2532109</v>
      </c>
      <c r="CF21" s="13">
        <f t="shared" ref="CF21:CP23" si="23">CE21</f>
        <v>2532109</v>
      </c>
      <c r="CG21" s="12">
        <v>2532125</v>
      </c>
      <c r="CH21" s="12">
        <v>2531899</v>
      </c>
      <c r="CI21" s="12">
        <v>2531653</v>
      </c>
      <c r="CJ21" s="12">
        <v>2531653</v>
      </c>
      <c r="CK21" s="13">
        <f t="shared" si="23"/>
        <v>2531653</v>
      </c>
      <c r="CL21" s="12">
        <v>2542017</v>
      </c>
      <c r="CM21" s="12">
        <v>2542019</v>
      </c>
      <c r="CN21" s="12">
        <v>2554457</v>
      </c>
      <c r="CO21" s="12">
        <v>2590013</v>
      </c>
      <c r="CP21" s="13">
        <f t="shared" si="23"/>
        <v>2590013</v>
      </c>
      <c r="CQ21" s="12">
        <f t="shared" si="18"/>
        <v>2590013</v>
      </c>
      <c r="CR21" s="12">
        <f t="shared" si="19"/>
        <v>2590013</v>
      </c>
      <c r="CS21" s="12">
        <f t="shared" si="20"/>
        <v>2590013</v>
      </c>
      <c r="CT21" s="12">
        <f t="shared" si="21"/>
        <v>2590013</v>
      </c>
      <c r="CU21" s="13">
        <f t="shared" si="22"/>
        <v>2590013</v>
      </c>
    </row>
    <row r="22" spans="2:99">
      <c r="B22" s="8"/>
      <c r="C22" s="7" t="s">
        <v>763</v>
      </c>
      <c r="D22" s="13"/>
      <c r="E22" s="12"/>
      <c r="F22" s="12"/>
      <c r="G22" s="12"/>
      <c r="H22" s="12"/>
      <c r="I22" s="13"/>
      <c r="J22" s="12"/>
      <c r="K22" s="12"/>
      <c r="L22" s="12"/>
      <c r="M22" s="12"/>
      <c r="N22" s="13"/>
      <c r="O22" s="12"/>
      <c r="P22" s="12"/>
      <c r="Q22" s="12"/>
      <c r="R22" s="12"/>
      <c r="S22" s="13"/>
      <c r="T22" s="12"/>
      <c r="U22" s="12"/>
      <c r="V22" s="12"/>
      <c r="W22" s="12"/>
      <c r="X22" s="13"/>
      <c r="Y22" s="12"/>
      <c r="Z22" s="12"/>
      <c r="AA22" s="12"/>
      <c r="AB22" s="12"/>
      <c r="AC22" s="13"/>
      <c r="AD22" s="12"/>
      <c r="AE22" s="12"/>
      <c r="AF22" s="12"/>
      <c r="AG22" s="12"/>
      <c r="AH22" s="13"/>
      <c r="AI22" s="12"/>
      <c r="AJ22" s="12"/>
      <c r="AK22" s="12"/>
      <c r="AL22" s="12"/>
      <c r="AM22" s="13"/>
      <c r="AN22" s="12"/>
      <c r="AO22" s="12"/>
      <c r="AP22" s="12"/>
      <c r="AQ22" s="12"/>
      <c r="AR22" s="13"/>
      <c r="AS22" s="12"/>
      <c r="AT22" s="12"/>
      <c r="AU22" s="12"/>
      <c r="AV22" s="12"/>
      <c r="AW22" s="13"/>
      <c r="AX22" s="12"/>
      <c r="AY22" s="12"/>
      <c r="AZ22" s="12"/>
      <c r="BA22" s="12"/>
      <c r="BB22" s="13"/>
      <c r="BC22" s="12"/>
      <c r="BD22" s="12"/>
      <c r="BE22" s="12"/>
      <c r="BF22" s="12"/>
      <c r="BG22" s="13"/>
      <c r="BH22" s="12"/>
      <c r="BI22" s="12"/>
      <c r="BJ22" s="12"/>
      <c r="BK22" s="12"/>
      <c r="BL22" s="13"/>
      <c r="BM22" s="12"/>
      <c r="BN22" s="12"/>
      <c r="BO22" s="12"/>
      <c r="BP22" s="12"/>
      <c r="BQ22" s="13"/>
      <c r="BR22" s="12"/>
      <c r="BS22" s="12">
        <v>17179</v>
      </c>
      <c r="BT22" s="12">
        <v>22570</v>
      </c>
      <c r="BU22" s="12">
        <v>28489</v>
      </c>
      <c r="BV22" s="13">
        <f>BU22</f>
        <v>28489</v>
      </c>
      <c r="BW22" s="12">
        <v>36311</v>
      </c>
      <c r="BX22" s="12">
        <v>43505</v>
      </c>
      <c r="BY22" s="12">
        <v>51092</v>
      </c>
      <c r="BZ22" s="12">
        <v>48189</v>
      </c>
      <c r="CA22" s="13"/>
      <c r="CB22" s="12">
        <v>54565</v>
      </c>
      <c r="CC22" s="12">
        <v>61228</v>
      </c>
      <c r="CD22" s="12">
        <v>66434</v>
      </c>
      <c r="CE22" s="12">
        <v>67124</v>
      </c>
      <c r="CF22" s="13">
        <f>CE22</f>
        <v>67124</v>
      </c>
      <c r="CG22" s="12">
        <v>69795</v>
      </c>
      <c r="CH22" s="12">
        <v>74069</v>
      </c>
      <c r="CI22" s="12">
        <v>76580</v>
      </c>
      <c r="CJ22" s="12">
        <v>76117</v>
      </c>
      <c r="CK22" s="13">
        <f t="shared" si="23"/>
        <v>76117</v>
      </c>
      <c r="CL22" s="12">
        <v>75837</v>
      </c>
      <c r="CM22" s="12">
        <v>74719</v>
      </c>
      <c r="CN22" s="12">
        <v>71777</v>
      </c>
      <c r="CO22" s="12">
        <v>68371</v>
      </c>
      <c r="CP22" s="13">
        <f t="shared" si="23"/>
        <v>68371</v>
      </c>
      <c r="CQ22" s="12"/>
      <c r="CR22" s="12"/>
      <c r="CS22" s="12"/>
      <c r="CT22" s="12"/>
      <c r="CU22" s="13"/>
    </row>
    <row r="23" spans="2:99">
      <c r="B23" s="8"/>
      <c r="C23" s="7" t="s">
        <v>764</v>
      </c>
      <c r="D23" s="13"/>
      <c r="E23" s="12"/>
      <c r="F23" s="12"/>
      <c r="G23" s="12"/>
      <c r="H23" s="12"/>
      <c r="I23" s="13"/>
      <c r="J23" s="12"/>
      <c r="K23" s="12"/>
      <c r="L23" s="12"/>
      <c r="M23" s="12"/>
      <c r="N23" s="13"/>
      <c r="O23" s="12"/>
      <c r="P23" s="12"/>
      <c r="Q23" s="12"/>
      <c r="R23" s="12"/>
      <c r="S23" s="13"/>
      <c r="T23" s="12"/>
      <c r="U23" s="12"/>
      <c r="V23" s="12"/>
      <c r="W23" s="12"/>
      <c r="X23" s="13"/>
      <c r="Y23" s="12"/>
      <c r="Z23" s="12"/>
      <c r="AA23" s="12"/>
      <c r="AB23" s="12"/>
      <c r="AC23" s="13"/>
      <c r="AD23" s="12"/>
      <c r="AE23" s="12"/>
      <c r="AF23" s="12"/>
      <c r="AG23" s="12"/>
      <c r="AH23" s="13"/>
      <c r="AI23" s="12"/>
      <c r="AJ23" s="12"/>
      <c r="AK23" s="12"/>
      <c r="AL23" s="12"/>
      <c r="AM23" s="13"/>
      <c r="AN23" s="12"/>
      <c r="AO23" s="12"/>
      <c r="AP23" s="12"/>
      <c r="AQ23" s="12"/>
      <c r="AR23" s="13"/>
      <c r="AS23" s="12"/>
      <c r="AT23" s="12"/>
      <c r="AU23" s="12"/>
      <c r="AV23" s="12"/>
      <c r="AW23" s="13"/>
      <c r="AX23" s="12"/>
      <c r="AY23" s="12"/>
      <c r="AZ23" s="12"/>
      <c r="BA23" s="12"/>
      <c r="BB23" s="13"/>
      <c r="BC23" s="12"/>
      <c r="BD23" s="12"/>
      <c r="BE23" s="12"/>
      <c r="BF23" s="12"/>
      <c r="BG23" s="13"/>
      <c r="BH23" s="12"/>
      <c r="BI23" s="12"/>
      <c r="BJ23" s="12"/>
      <c r="BK23" s="12"/>
      <c r="BL23" s="13"/>
      <c r="BM23" s="12"/>
      <c r="BN23" s="12"/>
      <c r="BO23" s="12"/>
      <c r="BP23" s="12"/>
      <c r="BQ23" s="13"/>
      <c r="BR23" s="12"/>
      <c r="BS23" s="12">
        <v>39139</v>
      </c>
      <c r="BT23" s="12">
        <v>43484</v>
      </c>
      <c r="BU23" s="12">
        <v>45971</v>
      </c>
      <c r="BV23" s="13"/>
      <c r="BW23" s="12">
        <v>45313</v>
      </c>
      <c r="BX23" s="12">
        <v>46217</v>
      </c>
      <c r="BY23" s="12">
        <v>50443</v>
      </c>
      <c r="BZ23" s="12">
        <v>49960</v>
      </c>
      <c r="CA23" s="13"/>
      <c r="CB23" s="12">
        <v>49828</v>
      </c>
      <c r="CC23" s="12">
        <v>48396</v>
      </c>
      <c r="CD23" s="12">
        <v>52313</v>
      </c>
      <c r="CE23" s="12">
        <v>63182</v>
      </c>
      <c r="CF23" s="13">
        <f>CE23</f>
        <v>63182</v>
      </c>
      <c r="CG23" s="12">
        <v>63153</v>
      </c>
      <c r="CH23" s="12">
        <v>76818</v>
      </c>
      <c r="CI23" s="12">
        <v>83384</v>
      </c>
      <c r="CJ23" s="12">
        <v>86381</v>
      </c>
      <c r="CK23" s="13">
        <f t="shared" si="23"/>
        <v>86381</v>
      </c>
      <c r="CL23" s="12">
        <v>85889</v>
      </c>
      <c r="CM23" s="12">
        <v>85575</v>
      </c>
      <c r="CN23" s="12">
        <v>87636</v>
      </c>
      <c r="CO23" s="12">
        <v>93599</v>
      </c>
      <c r="CP23" s="13">
        <f t="shared" si="23"/>
        <v>93599</v>
      </c>
      <c r="CQ23" s="12"/>
      <c r="CR23" s="12"/>
      <c r="CS23" s="12"/>
      <c r="CT23" s="12"/>
      <c r="CU23" s="13"/>
    </row>
    <row r="24" spans="2:99" s="27" customFormat="1" ht="13.15">
      <c r="B24" s="34" t="s">
        <v>71</v>
      </c>
      <c r="D24" s="70">
        <f t="shared" ref="D24:V24" si="24">D13+SUM(D14:D17)</f>
        <v>241508</v>
      </c>
      <c r="E24" s="71">
        <f t="shared" si="24"/>
        <v>247448</v>
      </c>
      <c r="F24" s="71">
        <f t="shared" si="24"/>
        <v>268288</v>
      </c>
      <c r="G24" s="71">
        <f t="shared" si="24"/>
        <v>264076</v>
      </c>
      <c r="H24" s="71">
        <f t="shared" si="24"/>
        <v>251761</v>
      </c>
      <c r="I24" s="70">
        <f t="shared" si="24"/>
        <v>251761</v>
      </c>
      <c r="J24" s="71">
        <f t="shared" si="24"/>
        <v>241001</v>
      </c>
      <c r="K24" s="71">
        <f t="shared" si="24"/>
        <v>261766</v>
      </c>
      <c r="L24" s="71">
        <f t="shared" si="24"/>
        <v>263629</v>
      </c>
      <c r="M24" s="71">
        <f t="shared" si="24"/>
        <v>270670</v>
      </c>
      <c r="N24" s="70">
        <f t="shared" si="24"/>
        <v>270670</v>
      </c>
      <c r="O24" s="71">
        <f t="shared" si="24"/>
        <v>253655</v>
      </c>
      <c r="P24" s="71">
        <f t="shared" si="24"/>
        <v>276999</v>
      </c>
      <c r="Q24" s="71">
        <f t="shared" si="24"/>
        <v>264760</v>
      </c>
      <c r="R24" s="71">
        <f t="shared" si="24"/>
        <v>264032</v>
      </c>
      <c r="S24" s="70">
        <f t="shared" si="24"/>
        <v>264032</v>
      </c>
      <c r="T24" s="71">
        <f t="shared" si="24"/>
        <v>252403</v>
      </c>
      <c r="U24" s="71">
        <f t="shared" si="24"/>
        <v>275154</v>
      </c>
      <c r="V24" s="71">
        <f t="shared" si="24"/>
        <v>261736</v>
      </c>
      <c r="W24" s="71">
        <f t="shared" ref="W24:AN24" si="25">W13+SUM(W14:W18)</f>
        <v>295391</v>
      </c>
      <c r="X24" s="70">
        <f t="shared" si="25"/>
        <v>295391</v>
      </c>
      <c r="Y24" s="71">
        <f t="shared" si="25"/>
        <v>277763</v>
      </c>
      <c r="Z24" s="71">
        <f t="shared" si="25"/>
        <v>320446</v>
      </c>
      <c r="AA24" s="71">
        <f t="shared" si="25"/>
        <v>296094</v>
      </c>
      <c r="AB24" s="71">
        <f t="shared" si="25"/>
        <v>338315</v>
      </c>
      <c r="AC24" s="70">
        <f t="shared" si="25"/>
        <v>338315</v>
      </c>
      <c r="AD24" s="71">
        <f t="shared" si="25"/>
        <v>315374</v>
      </c>
      <c r="AE24" s="71">
        <f t="shared" si="25"/>
        <v>368928</v>
      </c>
      <c r="AF24" s="71">
        <f t="shared" si="25"/>
        <v>393415</v>
      </c>
      <c r="AG24" s="71">
        <f t="shared" si="25"/>
        <v>444488</v>
      </c>
      <c r="AH24" s="70">
        <f t="shared" si="25"/>
        <v>444488</v>
      </c>
      <c r="AI24" s="71">
        <f t="shared" si="25"/>
        <v>434241</v>
      </c>
      <c r="AJ24" s="71">
        <f t="shared" si="25"/>
        <v>486817</v>
      </c>
      <c r="AK24" s="71">
        <f t="shared" si="25"/>
        <v>522263</v>
      </c>
      <c r="AL24" s="71">
        <f t="shared" si="25"/>
        <v>573982</v>
      </c>
      <c r="AM24" s="70">
        <f t="shared" si="25"/>
        <v>573982</v>
      </c>
      <c r="AN24" s="71">
        <f t="shared" si="25"/>
        <v>568382</v>
      </c>
      <c r="AO24" s="71">
        <f>AO13+SUM(AO14:AO19)</f>
        <v>646034</v>
      </c>
      <c r="AP24" s="71">
        <f>AP13+SUM(AP14:AP19)</f>
        <v>678382</v>
      </c>
      <c r="AQ24" s="71">
        <f t="shared" ref="AQ24:BR24" si="26">AQ13+SUM(AQ14:AQ21)</f>
        <v>1356570</v>
      </c>
      <c r="AR24" s="70">
        <f t="shared" si="26"/>
        <v>1356570</v>
      </c>
      <c r="AS24" s="71">
        <f t="shared" si="26"/>
        <v>1318009</v>
      </c>
      <c r="AT24" s="71">
        <f t="shared" si="26"/>
        <v>1413052</v>
      </c>
      <c r="AU24" s="71">
        <f t="shared" si="26"/>
        <v>1352766</v>
      </c>
      <c r="AV24" s="71">
        <f t="shared" si="26"/>
        <v>1357945</v>
      </c>
      <c r="AW24" s="70">
        <f t="shared" si="26"/>
        <v>1357945</v>
      </c>
      <c r="AX24" s="71">
        <f t="shared" si="26"/>
        <v>1355681</v>
      </c>
      <c r="AY24" s="71">
        <f t="shared" si="26"/>
        <v>1438509</v>
      </c>
      <c r="AZ24" s="71">
        <f t="shared" si="26"/>
        <v>1493118</v>
      </c>
      <c r="BA24" s="71">
        <f t="shared" si="26"/>
        <v>1589592</v>
      </c>
      <c r="BB24" s="70">
        <f t="shared" si="26"/>
        <v>1589592</v>
      </c>
      <c r="BC24" s="71">
        <f t="shared" si="26"/>
        <v>1625624</v>
      </c>
      <c r="BD24" s="71">
        <f t="shared" si="26"/>
        <v>1759759</v>
      </c>
      <c r="BE24" s="71">
        <f t="shared" si="26"/>
        <v>1864622</v>
      </c>
      <c r="BF24" s="71">
        <f t="shared" si="26"/>
        <v>1790963</v>
      </c>
      <c r="BG24" s="70">
        <f t="shared" si="26"/>
        <v>1790963</v>
      </c>
      <c r="BH24" s="71">
        <f t="shared" si="26"/>
        <v>1909302</v>
      </c>
      <c r="BI24" s="71">
        <f t="shared" si="26"/>
        <v>1949431</v>
      </c>
      <c r="BJ24" s="71">
        <f t="shared" si="26"/>
        <v>2055089</v>
      </c>
      <c r="BK24" s="71">
        <f t="shared" si="26"/>
        <v>2191614</v>
      </c>
      <c r="BL24" s="70">
        <f t="shared" si="26"/>
        <v>2191614</v>
      </c>
      <c r="BM24" s="71">
        <f t="shared" si="26"/>
        <v>2219376</v>
      </c>
      <c r="BN24" s="71">
        <f t="shared" si="26"/>
        <v>2382596</v>
      </c>
      <c r="BO24" s="71">
        <f t="shared" si="26"/>
        <v>2492163</v>
      </c>
      <c r="BP24" s="71">
        <f t="shared" si="26"/>
        <v>2607274</v>
      </c>
      <c r="BQ24" s="70">
        <f t="shared" si="26"/>
        <v>2607274</v>
      </c>
      <c r="BR24" s="71">
        <f t="shared" si="26"/>
        <v>3231790</v>
      </c>
      <c r="BS24" s="71">
        <f t="shared" ref="BS24:CA24" si="27">SUM(BS13:BS23)</f>
        <v>4641003</v>
      </c>
      <c r="BT24" s="71">
        <f t="shared" si="27"/>
        <v>4682938</v>
      </c>
      <c r="BU24" s="71">
        <f t="shared" si="27"/>
        <v>4732161</v>
      </c>
      <c r="BV24" s="70">
        <f t="shared" si="27"/>
        <v>4686190</v>
      </c>
      <c r="BW24" s="71">
        <f>SUM(BW13:BW23)</f>
        <v>4723806</v>
      </c>
      <c r="BX24" s="71">
        <f t="shared" si="27"/>
        <v>4787046</v>
      </c>
      <c r="BY24" s="71">
        <f t="shared" si="27"/>
        <v>4675373</v>
      </c>
      <c r="BZ24" s="71">
        <f t="shared" si="27"/>
        <v>4687417</v>
      </c>
      <c r="CA24" s="70">
        <f t="shared" si="27"/>
        <v>4589268</v>
      </c>
      <c r="CB24" s="71">
        <f t="shared" ref="CB24:CP24" si="28">SUM(CB13:CB23)</f>
        <v>4555635</v>
      </c>
      <c r="CC24" s="71">
        <f t="shared" si="28"/>
        <v>4635549</v>
      </c>
      <c r="CD24" s="71">
        <f t="shared" si="28"/>
        <v>4637429</v>
      </c>
      <c r="CE24" s="71">
        <f t="shared" si="28"/>
        <v>4676663</v>
      </c>
      <c r="CF24" s="70">
        <f t="shared" si="28"/>
        <v>4676663</v>
      </c>
      <c r="CG24" s="71">
        <f t="shared" si="28"/>
        <v>4608755</v>
      </c>
      <c r="CH24" s="71">
        <f>SUM(CH13:CH23)</f>
        <v>4819478</v>
      </c>
      <c r="CI24" s="71">
        <f>SUM(CI13:CI23)</f>
        <v>4996508</v>
      </c>
      <c r="CJ24" s="71">
        <f t="shared" ref="CJ24" si="29">SUM(CJ13:CJ23)</f>
        <v>5180015</v>
      </c>
      <c r="CK24" s="70">
        <f t="shared" si="28"/>
        <v>5180015</v>
      </c>
      <c r="CL24" s="71">
        <f t="shared" ref="CL24" si="30">SUM(CL13:CL23)</f>
        <v>5192134</v>
      </c>
      <c r="CM24" s="71">
        <f t="shared" si="28"/>
        <v>5425755</v>
      </c>
      <c r="CN24" s="71">
        <f t="shared" si="28"/>
        <v>5457369</v>
      </c>
      <c r="CO24" s="71">
        <f t="shared" si="28"/>
        <v>5638908</v>
      </c>
      <c r="CP24" s="70">
        <f t="shared" si="28"/>
        <v>5638908</v>
      </c>
      <c r="CQ24" s="71">
        <f t="shared" ref="CQ24:CU24" si="31">SUM(CQ13:CQ23)</f>
        <v>5484879.8032873496</v>
      </c>
      <c r="CR24" s="71">
        <f t="shared" si="31"/>
        <v>5728983.5338335</v>
      </c>
      <c r="CS24" s="71">
        <f t="shared" si="31"/>
        <v>5878799.548986</v>
      </c>
      <c r="CT24" s="71">
        <f t="shared" si="31"/>
        <v>6088132.5865543392</v>
      </c>
      <c r="CU24" s="70">
        <f t="shared" si="31"/>
        <v>6088132.5865543392</v>
      </c>
    </row>
    <row r="25" spans="2:99">
      <c r="B25" s="8"/>
      <c r="D25" s="13"/>
      <c r="E25" s="12"/>
      <c r="F25" s="12"/>
      <c r="G25" s="12"/>
      <c r="H25" s="12"/>
      <c r="I25" s="13"/>
      <c r="J25" s="12"/>
      <c r="K25" s="12"/>
      <c r="L25" s="12"/>
      <c r="M25" s="12"/>
      <c r="N25" s="13"/>
      <c r="O25" s="12"/>
      <c r="P25" s="12"/>
      <c r="Q25" s="12"/>
      <c r="R25" s="12"/>
      <c r="S25" s="13"/>
      <c r="T25" s="12"/>
      <c r="U25" s="12"/>
      <c r="V25" s="12"/>
      <c r="W25" s="12"/>
      <c r="X25" s="13"/>
      <c r="Y25" s="12"/>
      <c r="Z25" s="12"/>
      <c r="AA25" s="12"/>
      <c r="AB25" s="12"/>
      <c r="AC25" s="13"/>
      <c r="AD25" s="12"/>
      <c r="AE25" s="12"/>
      <c r="AF25" s="12"/>
      <c r="AG25" s="12"/>
      <c r="AH25" s="13"/>
      <c r="AI25" s="12"/>
      <c r="AJ25" s="12"/>
      <c r="AK25" s="12"/>
      <c r="AL25" s="12"/>
      <c r="AM25" s="13"/>
      <c r="AN25" s="12"/>
      <c r="AO25" s="12"/>
      <c r="AP25" s="12"/>
      <c r="AQ25" s="12"/>
      <c r="AR25" s="13"/>
      <c r="AS25" s="12"/>
      <c r="AT25" s="12"/>
      <c r="AU25" s="12"/>
      <c r="AV25" s="12"/>
      <c r="AW25" s="13"/>
      <c r="AX25" s="12"/>
      <c r="AY25" s="12"/>
      <c r="AZ25" s="12"/>
      <c r="BA25" s="12"/>
      <c r="BB25" s="13"/>
      <c r="BC25" s="12"/>
      <c r="BD25" s="12"/>
      <c r="BE25" s="12"/>
      <c r="BF25" s="12"/>
      <c r="BG25" s="13"/>
      <c r="BH25" s="12"/>
      <c r="BI25" s="12"/>
      <c r="BJ25" s="12"/>
      <c r="BK25" s="12"/>
      <c r="BL25" s="13"/>
      <c r="BM25" s="12"/>
      <c r="BN25" s="12"/>
      <c r="BO25" s="12"/>
      <c r="BP25" s="12"/>
      <c r="BQ25" s="13"/>
      <c r="BR25" s="12"/>
      <c r="BS25" s="12"/>
      <c r="BT25" s="12"/>
      <c r="BU25" s="12"/>
      <c r="BV25" s="13"/>
      <c r="BW25" s="12"/>
      <c r="BX25" s="12"/>
      <c r="BY25" s="12"/>
      <c r="BZ25" s="12"/>
      <c r="CA25" s="13"/>
      <c r="CB25" s="12"/>
      <c r="CC25" s="12"/>
      <c r="CD25" s="12"/>
      <c r="CE25" s="12"/>
      <c r="CF25" s="13"/>
      <c r="CG25" s="12"/>
      <c r="CH25" s="12"/>
      <c r="CI25" s="12"/>
      <c r="CJ25" s="12"/>
      <c r="CK25" s="13"/>
      <c r="CL25" s="12"/>
      <c r="CM25" s="12"/>
      <c r="CN25" s="12"/>
      <c r="CO25" s="12"/>
      <c r="CP25" s="13"/>
      <c r="CQ25" s="12"/>
      <c r="CR25" s="12"/>
      <c r="CS25" s="12"/>
      <c r="CT25" s="12"/>
      <c r="CU25" s="13"/>
    </row>
    <row r="26" spans="2:99" ht="13.15">
      <c r="B26" s="34" t="s">
        <v>73</v>
      </c>
      <c r="D26" s="13"/>
      <c r="E26" s="12"/>
      <c r="F26" s="12"/>
      <c r="G26" s="12"/>
      <c r="H26" s="12"/>
      <c r="I26" s="13"/>
      <c r="J26" s="12"/>
      <c r="K26" s="12"/>
      <c r="L26" s="12"/>
      <c r="M26" s="12"/>
      <c r="N26" s="13"/>
      <c r="O26" s="12"/>
      <c r="P26" s="12"/>
      <c r="Q26" s="12"/>
      <c r="R26" s="12"/>
      <c r="S26" s="13"/>
      <c r="T26" s="12"/>
      <c r="U26" s="12"/>
      <c r="V26" s="12"/>
      <c r="W26" s="12"/>
      <c r="X26" s="13"/>
      <c r="Y26" s="12"/>
      <c r="Z26" s="203"/>
      <c r="AA26" s="12"/>
      <c r="AB26" s="12"/>
      <c r="AC26" s="13"/>
      <c r="AD26" s="12"/>
      <c r="AE26" s="12"/>
      <c r="AF26" s="12"/>
      <c r="AG26" s="12"/>
      <c r="AH26" s="13"/>
      <c r="AI26" s="12"/>
      <c r="AJ26" s="12"/>
      <c r="AK26" s="12"/>
      <c r="AL26" s="12"/>
      <c r="AM26" s="13"/>
      <c r="AN26" s="12"/>
      <c r="AO26" s="12"/>
      <c r="AP26" s="12"/>
      <c r="AQ26" s="12"/>
      <c r="AR26" s="13"/>
      <c r="AS26" s="12"/>
      <c r="AT26" s="12"/>
      <c r="AU26" s="12"/>
      <c r="AV26" s="12"/>
      <c r="AW26" s="13"/>
      <c r="AX26" s="12"/>
      <c r="AY26" s="12"/>
      <c r="AZ26" s="12"/>
      <c r="BA26" s="12"/>
      <c r="BB26" s="13"/>
      <c r="BC26" s="12"/>
      <c r="BD26" s="12"/>
      <c r="BE26" s="12"/>
      <c r="BF26" s="12"/>
      <c r="BG26" s="13"/>
      <c r="BH26" s="12"/>
      <c r="BI26" s="12"/>
      <c r="BJ26" s="12"/>
      <c r="BK26" s="12"/>
      <c r="BL26" s="13"/>
      <c r="BM26" s="12"/>
      <c r="BN26" s="12"/>
      <c r="BO26" s="12"/>
      <c r="BP26" s="12"/>
      <c r="BQ26" s="13"/>
      <c r="BR26" s="12"/>
      <c r="BS26" s="12"/>
      <c r="BT26" s="12"/>
      <c r="BU26" s="12"/>
      <c r="BV26" s="13"/>
      <c r="BW26" s="12"/>
      <c r="BX26" s="12"/>
      <c r="BY26" s="12"/>
      <c r="BZ26" s="12"/>
      <c r="CA26" s="13"/>
      <c r="CB26" s="12"/>
      <c r="CC26" s="12"/>
      <c r="CD26" s="12"/>
      <c r="CE26" s="12"/>
      <c r="CF26" s="13"/>
      <c r="CG26" s="12"/>
      <c r="CH26" s="12"/>
      <c r="CI26" s="12"/>
      <c r="CJ26" s="12"/>
      <c r="CK26" s="13"/>
      <c r="CL26" s="12"/>
      <c r="CM26" s="12"/>
      <c r="CN26" s="12"/>
      <c r="CO26" s="12"/>
      <c r="CP26" s="13"/>
      <c r="CQ26" s="12"/>
      <c r="CR26" s="12"/>
      <c r="CS26" s="12"/>
      <c r="CT26" s="12"/>
      <c r="CU26" s="13"/>
    </row>
    <row r="27" spans="2:99">
      <c r="B27" s="8"/>
      <c r="C27" s="7" t="s">
        <v>82</v>
      </c>
      <c r="D27" s="13">
        <v>22228</v>
      </c>
      <c r="E27" s="12">
        <v>20583</v>
      </c>
      <c r="F27" s="12">
        <v>23948</v>
      </c>
      <c r="G27" s="12">
        <v>28855</v>
      </c>
      <c r="H27" s="12">
        <v>25530</v>
      </c>
      <c r="I27" s="13">
        <f>H27</f>
        <v>25530</v>
      </c>
      <c r="J27" s="12">
        <v>21980</v>
      </c>
      <c r="K27" s="12">
        <v>23089</v>
      </c>
      <c r="L27" s="12">
        <v>29309</v>
      </c>
      <c r="M27" s="12">
        <v>29917</v>
      </c>
      <c r="N27" s="13">
        <f>M27</f>
        <v>29917</v>
      </c>
      <c r="O27" s="12">
        <v>20436</v>
      </c>
      <c r="P27" s="12">
        <v>19895</v>
      </c>
      <c r="Q27" s="12">
        <v>42750</v>
      </c>
      <c r="R27" s="12">
        <v>22059</v>
      </c>
      <c r="S27" s="13">
        <f>R27</f>
        <v>22059</v>
      </c>
      <c r="T27" s="12">
        <v>22354</v>
      </c>
      <c r="U27" s="12">
        <v>22797</v>
      </c>
      <c r="V27" s="12">
        <v>24938</v>
      </c>
      <c r="W27" s="12">
        <v>27962</v>
      </c>
      <c r="X27" s="13">
        <f>W27</f>
        <v>27962</v>
      </c>
      <c r="Y27" s="12">
        <v>17515</v>
      </c>
      <c r="Z27" s="12">
        <v>24291</v>
      </c>
      <c r="AA27" s="12">
        <v>24527</v>
      </c>
      <c r="AB27" s="12">
        <v>29245</v>
      </c>
      <c r="AC27" s="13">
        <f t="shared" si="0"/>
        <v>29245</v>
      </c>
      <c r="AD27" s="12">
        <v>24428</v>
      </c>
      <c r="AE27" s="12">
        <v>27359</v>
      </c>
      <c r="AF27" s="12">
        <v>30136</v>
      </c>
      <c r="AG27" s="12">
        <v>35372</v>
      </c>
      <c r="AH27" s="13">
        <f t="shared" si="1"/>
        <v>35372</v>
      </c>
      <c r="AI27" s="12">
        <v>22084</v>
      </c>
      <c r="AJ27" s="12">
        <v>31186</v>
      </c>
      <c r="AK27" s="12">
        <v>35517</v>
      </c>
      <c r="AL27" s="12">
        <v>43627</v>
      </c>
      <c r="AM27" s="13">
        <f t="shared" ref="AM27:AM33" si="32">AL27</f>
        <v>43627</v>
      </c>
      <c r="AN27" s="12">
        <v>28132</v>
      </c>
      <c r="AO27" s="12">
        <v>39195</v>
      </c>
      <c r="AP27" s="12">
        <v>41584</v>
      </c>
      <c r="AQ27" s="12">
        <v>55945</v>
      </c>
      <c r="AR27" s="13">
        <f t="shared" ref="AR27:AR36" si="33">AQ27</f>
        <v>55945</v>
      </c>
      <c r="AS27" s="12">
        <v>39576</v>
      </c>
      <c r="AT27" s="12">
        <v>56449</v>
      </c>
      <c r="AU27" s="12">
        <v>60176</v>
      </c>
      <c r="AV27" s="12">
        <v>63284</v>
      </c>
      <c r="AW27" s="13">
        <f t="shared" ref="AW27:AW35" si="34">AV27</f>
        <v>63284</v>
      </c>
      <c r="AX27" s="12">
        <v>47356</v>
      </c>
      <c r="AY27" s="12">
        <v>55454</v>
      </c>
      <c r="AZ27" s="12">
        <v>62146</v>
      </c>
      <c r="BA27" s="12">
        <v>72849</v>
      </c>
      <c r="BB27" s="13">
        <f t="shared" ref="BB27:BB40" si="35">BA27</f>
        <v>72849</v>
      </c>
      <c r="BC27" s="12">
        <v>51417</v>
      </c>
      <c r="BD27" s="12">
        <v>57798</v>
      </c>
      <c r="BE27" s="12">
        <v>70617</v>
      </c>
      <c r="BF27" s="12">
        <v>73390</v>
      </c>
      <c r="BG27" s="13">
        <f t="shared" ref="BG27:BG40" si="36">BF27</f>
        <v>73390</v>
      </c>
      <c r="BH27" s="12">
        <v>69835</v>
      </c>
      <c r="BI27" s="12">
        <v>78956</v>
      </c>
      <c r="BJ27" s="12">
        <v>78841</v>
      </c>
      <c r="BK27" s="12">
        <v>90211</v>
      </c>
      <c r="BL27" s="13">
        <f t="shared" ref="BL27:BL38" si="37">BK27</f>
        <v>90211</v>
      </c>
      <c r="BM27" s="12">
        <v>72723</v>
      </c>
      <c r="BN27" s="12">
        <v>65008</v>
      </c>
      <c r="BO27" s="12">
        <v>92761</v>
      </c>
      <c r="BP27" s="12">
        <v>97095</v>
      </c>
      <c r="BQ27" s="13">
        <f t="shared" ref="BQ27:BQ38" si="38">BP27</f>
        <v>97095</v>
      </c>
      <c r="BR27" s="12">
        <v>98908</v>
      </c>
      <c r="BS27" s="12">
        <v>241631</v>
      </c>
      <c r="BT27" s="12">
        <v>280850</v>
      </c>
      <c r="BU27" s="12">
        <v>278412</v>
      </c>
      <c r="BV27" s="13">
        <f t="shared" ref="BV27:BV39" si="39">BU27</f>
        <v>278412</v>
      </c>
      <c r="BW27" s="12">
        <v>269222</v>
      </c>
      <c r="BX27" s="12">
        <v>264908</v>
      </c>
      <c r="BY27" s="12">
        <v>242434</v>
      </c>
      <c r="BZ27" s="12">
        <v>236754</v>
      </c>
      <c r="CA27" s="13">
        <f t="shared" ref="CA27:CA33" si="40">BZ27</f>
        <v>236754</v>
      </c>
      <c r="CB27" s="12">
        <v>226883</v>
      </c>
      <c r="CC27" s="12">
        <v>245091</v>
      </c>
      <c r="CD27" s="12">
        <v>267068</v>
      </c>
      <c r="CE27" s="12">
        <v>304897</v>
      </c>
      <c r="CF27" s="13">
        <f t="shared" ref="CF27:CF33" si="41">CE27</f>
        <v>304897</v>
      </c>
      <c r="CG27" s="12">
        <v>251614</v>
      </c>
      <c r="CH27" s="12">
        <v>303476</v>
      </c>
      <c r="CI27" s="12">
        <v>306075</v>
      </c>
      <c r="CJ27" s="12">
        <v>354526</v>
      </c>
      <c r="CK27" s="13">
        <f t="shared" ref="CK27:CK33" si="42">CJ27</f>
        <v>354526</v>
      </c>
      <c r="CL27" s="12">
        <v>298741</v>
      </c>
      <c r="CM27" s="12">
        <v>344192</v>
      </c>
      <c r="CN27" s="12">
        <v>320953</v>
      </c>
      <c r="CO27" s="12">
        <v>365346</v>
      </c>
      <c r="CP27" s="13">
        <f t="shared" ref="CP27:CP33" si="43">CO27</f>
        <v>365346</v>
      </c>
      <c r="CQ27" s="12">
        <f>CQ62*'Income Statement'!CQ23</f>
        <v>334689.77850000001</v>
      </c>
      <c r="CR27" s="12">
        <f>CR62*'Income Statement'!CR23</f>
        <v>356924.60649999999</v>
      </c>
      <c r="CS27" s="12">
        <f>CS62*'Income Statement'!CS23</f>
        <v>350352.27700000006</v>
      </c>
      <c r="CT27" s="12">
        <f>CT62*'Income Statement'!CT23</f>
        <v>420676.74609840004</v>
      </c>
      <c r="CU27" s="13">
        <f t="shared" ref="CU27:CU39" si="44">CT27</f>
        <v>420676.74609840004</v>
      </c>
    </row>
    <row r="28" spans="2:99">
      <c r="B28" s="8"/>
      <c r="C28" s="7" t="s">
        <v>84</v>
      </c>
      <c r="D28" s="13">
        <v>0</v>
      </c>
      <c r="E28" s="12">
        <v>0</v>
      </c>
      <c r="F28" s="12">
        <v>0</v>
      </c>
      <c r="G28" s="12">
        <v>0</v>
      </c>
      <c r="H28" s="12">
        <v>8000</v>
      </c>
      <c r="I28" s="13">
        <f>H28</f>
        <v>8000</v>
      </c>
      <c r="J28" s="12">
        <v>7500</v>
      </c>
      <c r="K28" s="12">
        <v>15425</v>
      </c>
      <c r="L28" s="12">
        <v>2101</v>
      </c>
      <c r="M28" s="12">
        <v>0</v>
      </c>
      <c r="N28" s="13">
        <f>M28</f>
        <v>0</v>
      </c>
      <c r="O28" s="12">
        <v>0</v>
      </c>
      <c r="P28" s="12">
        <v>14650</v>
      </c>
      <c r="Q28" s="12">
        <v>0</v>
      </c>
      <c r="R28" s="12">
        <v>0</v>
      </c>
      <c r="S28" s="13">
        <f>R28</f>
        <v>0</v>
      </c>
      <c r="T28" s="12">
        <v>0</v>
      </c>
      <c r="U28" s="12">
        <v>0</v>
      </c>
      <c r="V28" s="12">
        <v>0</v>
      </c>
      <c r="W28" s="12">
        <v>0</v>
      </c>
      <c r="X28" s="13">
        <f>W28</f>
        <v>0</v>
      </c>
      <c r="Y28" s="12">
        <v>0</v>
      </c>
      <c r="Z28" s="12">
        <v>0</v>
      </c>
      <c r="AA28" s="12">
        <v>0</v>
      </c>
      <c r="AB28" s="12">
        <v>0</v>
      </c>
      <c r="AC28" s="13">
        <f t="shared" si="0"/>
        <v>0</v>
      </c>
      <c r="AD28" s="12">
        <v>0</v>
      </c>
      <c r="AE28" s="12">
        <v>0</v>
      </c>
      <c r="AF28" s="12">
        <v>0</v>
      </c>
      <c r="AG28" s="12">
        <v>0</v>
      </c>
      <c r="AH28" s="13">
        <f t="shared" si="1"/>
        <v>0</v>
      </c>
      <c r="AI28" s="12">
        <v>0</v>
      </c>
      <c r="AJ28" s="12">
        <v>0</v>
      </c>
      <c r="AK28" s="12">
        <v>0</v>
      </c>
      <c r="AL28" s="12">
        <v>0</v>
      </c>
      <c r="AM28" s="13">
        <f t="shared" si="32"/>
        <v>0</v>
      </c>
      <c r="AN28" s="12">
        <v>0</v>
      </c>
      <c r="AO28" s="12">
        <v>0</v>
      </c>
      <c r="AP28" s="12">
        <v>0</v>
      </c>
      <c r="AQ28" s="12">
        <v>0</v>
      </c>
      <c r="AR28" s="13">
        <f t="shared" si="33"/>
        <v>0</v>
      </c>
      <c r="AS28" s="12">
        <v>0</v>
      </c>
      <c r="AT28" s="12">
        <v>0</v>
      </c>
      <c r="AU28" s="12">
        <v>0</v>
      </c>
      <c r="AV28" s="12">
        <v>0</v>
      </c>
      <c r="AW28" s="13">
        <f t="shared" si="34"/>
        <v>0</v>
      </c>
      <c r="AX28" s="12">
        <v>0</v>
      </c>
      <c r="AY28" s="12">
        <v>0</v>
      </c>
      <c r="AZ28" s="12">
        <v>0</v>
      </c>
      <c r="BA28" s="12">
        <v>0</v>
      </c>
      <c r="BB28" s="13">
        <f t="shared" si="35"/>
        <v>0</v>
      </c>
      <c r="BC28" s="12">
        <v>0</v>
      </c>
      <c r="BD28" s="12">
        <v>0</v>
      </c>
      <c r="BE28" s="12">
        <v>0</v>
      </c>
      <c r="BF28" s="12">
        <v>0</v>
      </c>
      <c r="BG28" s="13">
        <f t="shared" si="36"/>
        <v>0</v>
      </c>
      <c r="BH28" s="12">
        <v>0</v>
      </c>
      <c r="BI28" s="12">
        <v>0</v>
      </c>
      <c r="BJ28" s="12">
        <v>0</v>
      </c>
      <c r="BK28" s="12">
        <v>0</v>
      </c>
      <c r="BL28" s="13">
        <f t="shared" si="37"/>
        <v>0</v>
      </c>
      <c r="BM28" s="12">
        <v>0</v>
      </c>
      <c r="BN28" s="12">
        <v>0</v>
      </c>
      <c r="BO28" s="12">
        <v>0</v>
      </c>
      <c r="BP28" s="12">
        <v>0</v>
      </c>
      <c r="BQ28" s="13">
        <f t="shared" si="38"/>
        <v>0</v>
      </c>
      <c r="BR28" s="12">
        <v>0</v>
      </c>
      <c r="BS28" s="12">
        <v>30000</v>
      </c>
      <c r="BT28" s="12">
        <v>30000</v>
      </c>
      <c r="BU28" s="12">
        <v>30000</v>
      </c>
      <c r="BV28" s="13">
        <f t="shared" si="39"/>
        <v>30000</v>
      </c>
      <c r="BW28" s="12">
        <v>30000</v>
      </c>
      <c r="BX28" s="12">
        <v>30000</v>
      </c>
      <c r="BY28" s="12">
        <v>30000</v>
      </c>
      <c r="BZ28" s="12">
        <v>30000</v>
      </c>
      <c r="CA28" s="13">
        <f t="shared" si="40"/>
        <v>30000</v>
      </c>
      <c r="CB28" s="12">
        <v>30000</v>
      </c>
      <c r="CC28" s="12">
        <v>30000</v>
      </c>
      <c r="CD28" s="12">
        <v>30000</v>
      </c>
      <c r="CE28" s="12">
        <v>49801</v>
      </c>
      <c r="CF28" s="13">
        <f t="shared" si="41"/>
        <v>49801</v>
      </c>
      <c r="CG28" s="12">
        <v>0</v>
      </c>
      <c r="CH28" s="12"/>
      <c r="CI28" s="12"/>
      <c r="CJ28" s="12"/>
      <c r="CK28" s="13">
        <f t="shared" si="42"/>
        <v>0</v>
      </c>
      <c r="CL28" s="12"/>
      <c r="CM28" s="12">
        <v>0</v>
      </c>
      <c r="CN28" s="12">
        <v>0</v>
      </c>
      <c r="CO28" s="12">
        <v>0</v>
      </c>
      <c r="CP28" s="13">
        <f t="shared" si="43"/>
        <v>0</v>
      </c>
      <c r="CQ28" s="12">
        <v>0</v>
      </c>
      <c r="CR28" s="12">
        <v>0</v>
      </c>
      <c r="CS28" s="12">
        <v>0</v>
      </c>
      <c r="CT28" s="12">
        <v>0</v>
      </c>
      <c r="CU28" s="13">
        <f t="shared" si="44"/>
        <v>0</v>
      </c>
    </row>
    <row r="29" spans="2:99">
      <c r="B29" s="8"/>
      <c r="C29" s="7" t="s">
        <v>44</v>
      </c>
      <c r="D29" s="13">
        <v>73714</v>
      </c>
      <c r="E29" s="12">
        <v>83426</v>
      </c>
      <c r="F29" s="12">
        <v>92973</v>
      </c>
      <c r="G29" s="12">
        <v>91029</v>
      </c>
      <c r="H29" s="12">
        <v>95773</v>
      </c>
      <c r="I29" s="13">
        <f>H29</f>
        <v>95773</v>
      </c>
      <c r="J29" s="12">
        <v>87042</v>
      </c>
      <c r="K29" s="12">
        <v>92441</v>
      </c>
      <c r="L29" s="12">
        <v>99670</v>
      </c>
      <c r="M29" s="12">
        <v>99116</v>
      </c>
      <c r="N29" s="13">
        <f>M29</f>
        <v>99116</v>
      </c>
      <c r="O29" s="12">
        <v>85828</v>
      </c>
      <c r="P29" s="12">
        <v>97838</v>
      </c>
      <c r="Q29" s="12">
        <v>98357</v>
      </c>
      <c r="R29" s="12">
        <v>102590</v>
      </c>
      <c r="S29" s="13">
        <f>R29</f>
        <v>102590</v>
      </c>
      <c r="T29" s="12">
        <v>91792</v>
      </c>
      <c r="U29" s="12">
        <v>110455</v>
      </c>
      <c r="V29" s="12">
        <v>108114</v>
      </c>
      <c r="W29" s="12">
        <v>123678</v>
      </c>
      <c r="X29" s="13">
        <f>W29</f>
        <v>123678</v>
      </c>
      <c r="Y29" s="12">
        <v>109381</v>
      </c>
      <c r="Z29" s="12">
        <v>125721</v>
      </c>
      <c r="AA29" s="12">
        <v>120127</v>
      </c>
      <c r="AB29" s="12">
        <v>140550</v>
      </c>
      <c r="AC29" s="13">
        <f t="shared" si="0"/>
        <v>140550</v>
      </c>
      <c r="AD29" s="12">
        <v>125385</v>
      </c>
      <c r="AE29" s="12">
        <v>155903</v>
      </c>
      <c r="AF29" s="12">
        <v>151510</v>
      </c>
      <c r="AG29" s="12">
        <v>156738</v>
      </c>
      <c r="AH29" s="13">
        <f t="shared" si="1"/>
        <v>156738</v>
      </c>
      <c r="AI29" s="12">
        <v>139298</v>
      </c>
      <c r="AJ29" s="12">
        <v>184578</v>
      </c>
      <c r="AK29" s="12">
        <v>185844</v>
      </c>
      <c r="AL29" s="12">
        <v>189212</v>
      </c>
      <c r="AM29" s="13">
        <f t="shared" si="32"/>
        <v>189212</v>
      </c>
      <c r="AN29" s="12">
        <v>164706</v>
      </c>
      <c r="AO29" s="12">
        <v>201549</v>
      </c>
      <c r="AP29" s="12">
        <v>200890</v>
      </c>
      <c r="AQ29" s="12">
        <v>281627</v>
      </c>
      <c r="AR29" s="13">
        <f t="shared" si="33"/>
        <v>281627</v>
      </c>
      <c r="AS29" s="12">
        <v>250108</v>
      </c>
      <c r="AT29" s="12">
        <v>296481</v>
      </c>
      <c r="AU29" s="12">
        <v>288316</v>
      </c>
      <c r="AV29" s="12">
        <v>298217</v>
      </c>
      <c r="AW29" s="13">
        <f t="shared" si="34"/>
        <v>298217</v>
      </c>
      <c r="AX29" s="12">
        <v>270208</v>
      </c>
      <c r="AY29" s="12">
        <v>304128</v>
      </c>
      <c r="AZ29" s="12">
        <v>297163</v>
      </c>
      <c r="BA29" s="12">
        <v>309461</v>
      </c>
      <c r="BB29" s="13">
        <f t="shared" si="35"/>
        <v>309461</v>
      </c>
      <c r="BC29" s="12">
        <v>268132</v>
      </c>
      <c r="BD29" s="12">
        <v>316084</v>
      </c>
      <c r="BE29" s="12">
        <v>326421</v>
      </c>
      <c r="BF29" s="12">
        <v>350512</v>
      </c>
      <c r="BG29" s="13">
        <f t="shared" si="36"/>
        <v>350512</v>
      </c>
      <c r="BH29" s="12">
        <v>319900</v>
      </c>
      <c r="BI29" s="12">
        <v>368488</v>
      </c>
      <c r="BJ29" s="12">
        <v>391560</v>
      </c>
      <c r="BK29" s="12">
        <v>412495</v>
      </c>
      <c r="BL29" s="13">
        <f t="shared" si="37"/>
        <v>412495</v>
      </c>
      <c r="BM29" s="12">
        <v>365959</v>
      </c>
      <c r="BN29" s="12">
        <v>423037</v>
      </c>
      <c r="BO29" s="12">
        <v>436504</v>
      </c>
      <c r="BP29" s="12">
        <v>461278</v>
      </c>
      <c r="BQ29" s="13">
        <f t="shared" si="38"/>
        <v>461278</v>
      </c>
      <c r="BR29" s="12">
        <v>420535</v>
      </c>
      <c r="BS29" s="12">
        <v>484482</v>
      </c>
      <c r="BT29" s="12">
        <v>495250</v>
      </c>
      <c r="BU29" s="12">
        <v>510529</v>
      </c>
      <c r="BV29" s="13">
        <f t="shared" si="39"/>
        <v>510529</v>
      </c>
      <c r="BW29" s="12">
        <v>454678</v>
      </c>
      <c r="BX29" s="12">
        <v>528588</v>
      </c>
      <c r="BY29" s="12">
        <v>529233</v>
      </c>
      <c r="BZ29" s="12">
        <v>568538</v>
      </c>
      <c r="CA29" s="13">
        <f t="shared" si="40"/>
        <v>568538</v>
      </c>
      <c r="CB29" s="12">
        <v>497395</v>
      </c>
      <c r="CC29" s="12">
        <v>565840</v>
      </c>
      <c r="CD29" s="12">
        <v>600439</v>
      </c>
      <c r="CE29" s="12">
        <v>632914</v>
      </c>
      <c r="CF29" s="13">
        <f t="shared" si="41"/>
        <v>632914</v>
      </c>
      <c r="CG29" s="12">
        <v>571871</v>
      </c>
      <c r="CH29" s="12">
        <v>652302</v>
      </c>
      <c r="CI29" s="12">
        <v>682422</v>
      </c>
      <c r="CJ29" s="12">
        <v>701438</v>
      </c>
      <c r="CK29" s="13">
        <f t="shared" si="42"/>
        <v>701438</v>
      </c>
      <c r="CL29" s="12">
        <v>642379</v>
      </c>
      <c r="CM29" s="12">
        <v>720497</v>
      </c>
      <c r="CN29" s="12">
        <v>761050</v>
      </c>
      <c r="CO29" s="12">
        <v>780838</v>
      </c>
      <c r="CP29" s="13">
        <f t="shared" si="43"/>
        <v>780838</v>
      </c>
      <c r="CQ29" s="12">
        <f>CQ63*'Income Statement'!CQ23</f>
        <v>730232.24399999995</v>
      </c>
      <c r="CR29" s="12">
        <f>CR63*'Income Statement'!CR23</f>
        <v>811192.28749999998</v>
      </c>
      <c r="CS29" s="12">
        <f>CS63*'Income Statement'!CS23</f>
        <v>859955.58900000004</v>
      </c>
      <c r="CT29" s="12">
        <f>CT63*'Income Statement'!CT23</f>
        <v>866849.05256640015</v>
      </c>
      <c r="CU29" s="13">
        <f t="shared" si="44"/>
        <v>866849.05256640015</v>
      </c>
    </row>
    <row r="30" spans="2:99">
      <c r="B30" s="8"/>
      <c r="C30" s="7" t="s">
        <v>74</v>
      </c>
      <c r="D30" s="13">
        <v>632</v>
      </c>
      <c r="E30" s="12">
        <v>1233</v>
      </c>
      <c r="F30" s="12">
        <v>0</v>
      </c>
      <c r="G30" s="12">
        <v>0</v>
      </c>
      <c r="H30" s="12">
        <v>166</v>
      </c>
      <c r="I30" s="13">
        <f>H30</f>
        <v>166</v>
      </c>
      <c r="J30" s="12">
        <v>2755</v>
      </c>
      <c r="K30" s="12">
        <v>0</v>
      </c>
      <c r="L30" s="12">
        <v>0</v>
      </c>
      <c r="M30" s="12">
        <v>220</v>
      </c>
      <c r="N30" s="13">
        <f>M30</f>
        <v>220</v>
      </c>
      <c r="O30" s="12">
        <v>1384</v>
      </c>
      <c r="P30" s="12">
        <v>0</v>
      </c>
      <c r="Q30" s="12">
        <v>0</v>
      </c>
      <c r="R30" s="12">
        <v>0</v>
      </c>
      <c r="S30" s="13">
        <f>R30</f>
        <v>0</v>
      </c>
      <c r="T30" s="12">
        <v>1448</v>
      </c>
      <c r="U30" s="12">
        <v>0</v>
      </c>
      <c r="V30" s="12">
        <v>0</v>
      </c>
      <c r="W30" s="12">
        <v>0</v>
      </c>
      <c r="X30" s="13">
        <f>W30</f>
        <v>0</v>
      </c>
      <c r="Y30" s="12">
        <v>2126</v>
      </c>
      <c r="Z30" s="12">
        <v>0</v>
      </c>
      <c r="AA30" s="12">
        <f>Z30</f>
        <v>0</v>
      </c>
      <c r="AB30" s="12">
        <f>AA30</f>
        <v>0</v>
      </c>
      <c r="AC30" s="13">
        <f t="shared" si="0"/>
        <v>0</v>
      </c>
      <c r="AD30" s="12">
        <f>AC30</f>
        <v>0</v>
      </c>
      <c r="AE30" s="12">
        <f>AD30</f>
        <v>0</v>
      </c>
      <c r="AF30" s="12">
        <f>AE30</f>
        <v>0</v>
      </c>
      <c r="AG30" s="12">
        <f>AF30</f>
        <v>0</v>
      </c>
      <c r="AH30" s="13">
        <f t="shared" si="1"/>
        <v>0</v>
      </c>
      <c r="AI30" s="12">
        <f>AH30</f>
        <v>0</v>
      </c>
      <c r="AJ30" s="12">
        <f>AI30</f>
        <v>0</v>
      </c>
      <c r="AK30" s="12">
        <f>AJ30</f>
        <v>0</v>
      </c>
      <c r="AL30" s="12">
        <f>AK30</f>
        <v>0</v>
      </c>
      <c r="AM30" s="13">
        <f t="shared" si="32"/>
        <v>0</v>
      </c>
      <c r="AN30" s="12">
        <v>4816</v>
      </c>
      <c r="AO30" s="12"/>
      <c r="AP30" s="12">
        <f>AO30</f>
        <v>0</v>
      </c>
      <c r="AQ30" s="12">
        <f>AP30</f>
        <v>0</v>
      </c>
      <c r="AR30" s="13">
        <f t="shared" si="33"/>
        <v>0</v>
      </c>
      <c r="AS30" s="12">
        <f>AR30</f>
        <v>0</v>
      </c>
      <c r="AT30" s="12">
        <f>AS30</f>
        <v>0</v>
      </c>
      <c r="AU30" s="12">
        <f>AT30</f>
        <v>0</v>
      </c>
      <c r="AV30" s="12">
        <f>AU30</f>
        <v>0</v>
      </c>
      <c r="AW30" s="13">
        <f t="shared" si="34"/>
        <v>0</v>
      </c>
      <c r="AX30" s="12">
        <v>4681</v>
      </c>
      <c r="AY30" s="12">
        <v>0</v>
      </c>
      <c r="AZ30" s="12">
        <f>AY30</f>
        <v>0</v>
      </c>
      <c r="BA30" s="12">
        <f>AZ30</f>
        <v>0</v>
      </c>
      <c r="BB30" s="13">
        <f t="shared" si="35"/>
        <v>0</v>
      </c>
      <c r="BC30" s="12">
        <f>BB30</f>
        <v>0</v>
      </c>
      <c r="BD30" s="12">
        <f>BC30</f>
        <v>0</v>
      </c>
      <c r="BE30" s="12">
        <f>BD30</f>
        <v>0</v>
      </c>
      <c r="BF30" s="12">
        <f>BE30</f>
        <v>0</v>
      </c>
      <c r="BG30" s="13">
        <f t="shared" si="36"/>
        <v>0</v>
      </c>
      <c r="BH30" s="12">
        <v>7868</v>
      </c>
      <c r="BI30" s="12">
        <v>249</v>
      </c>
      <c r="BJ30" s="12"/>
      <c r="BK30" s="12">
        <f>BJ30</f>
        <v>0</v>
      </c>
      <c r="BL30" s="13">
        <f t="shared" si="37"/>
        <v>0</v>
      </c>
      <c r="BM30" s="12">
        <f>BL30</f>
        <v>0</v>
      </c>
      <c r="BN30" s="12">
        <f>BM30</f>
        <v>0</v>
      </c>
      <c r="BO30" s="12">
        <f>BN30</f>
        <v>0</v>
      </c>
      <c r="BP30" s="12">
        <f>BO30</f>
        <v>0</v>
      </c>
      <c r="BQ30" s="13">
        <f t="shared" si="38"/>
        <v>0</v>
      </c>
      <c r="BR30" s="12">
        <f>BQ30</f>
        <v>0</v>
      </c>
      <c r="BS30" s="12">
        <f>BR30</f>
        <v>0</v>
      </c>
      <c r="BT30" s="12">
        <f>BS30</f>
        <v>0</v>
      </c>
      <c r="BU30" s="12">
        <f>BT30</f>
        <v>0</v>
      </c>
      <c r="BV30" s="13">
        <f t="shared" si="39"/>
        <v>0</v>
      </c>
      <c r="BW30" s="12">
        <v>1374</v>
      </c>
      <c r="BX30" s="12"/>
      <c r="BY30" s="12">
        <f>BX30</f>
        <v>0</v>
      </c>
      <c r="BZ30" s="12">
        <v>43667</v>
      </c>
      <c r="CA30" s="13">
        <f t="shared" si="40"/>
        <v>43667</v>
      </c>
      <c r="CB30" s="12">
        <v>69337</v>
      </c>
      <c r="CC30" s="12">
        <v>1905</v>
      </c>
      <c r="CD30" s="12">
        <v>0</v>
      </c>
      <c r="CE30" s="12">
        <v>2466</v>
      </c>
      <c r="CF30" s="13">
        <f t="shared" si="41"/>
        <v>2466</v>
      </c>
      <c r="CG30" s="12">
        <v>38293</v>
      </c>
      <c r="CH30" s="12">
        <v>20375</v>
      </c>
      <c r="CI30" s="12">
        <v>22485</v>
      </c>
      <c r="CJ30" s="12"/>
      <c r="CK30" s="13">
        <f t="shared" si="42"/>
        <v>0</v>
      </c>
      <c r="CL30" s="12">
        <v>12533</v>
      </c>
      <c r="CM30" s="12"/>
      <c r="CN30" s="12">
        <f t="shared" ref="CN30:CO30" si="45">CM30</f>
        <v>0</v>
      </c>
      <c r="CO30" s="12">
        <f t="shared" si="45"/>
        <v>0</v>
      </c>
      <c r="CP30" s="13">
        <f t="shared" si="43"/>
        <v>0</v>
      </c>
      <c r="CQ30" s="12">
        <f t="shared" ref="CQ30:CQ31" si="46">CP30</f>
        <v>0</v>
      </c>
      <c r="CR30" s="12">
        <f t="shared" ref="CR30:CR31" si="47">CQ30</f>
        <v>0</v>
      </c>
      <c r="CS30" s="12">
        <f t="shared" ref="CS30:CS31" si="48">CR30</f>
        <v>0</v>
      </c>
      <c r="CT30" s="12">
        <f t="shared" ref="CT30:CT31" si="49">CS30</f>
        <v>0</v>
      </c>
      <c r="CU30" s="13">
        <f t="shared" si="44"/>
        <v>0</v>
      </c>
    </row>
    <row r="31" spans="2:99">
      <c r="B31" s="8"/>
      <c r="C31" s="7" t="s">
        <v>671</v>
      </c>
      <c r="D31" s="13"/>
      <c r="E31" s="12"/>
      <c r="F31" s="12"/>
      <c r="G31" s="12"/>
      <c r="H31" s="12"/>
      <c r="I31" s="13"/>
      <c r="J31" s="12"/>
      <c r="K31" s="12"/>
      <c r="L31" s="12"/>
      <c r="M31" s="12"/>
      <c r="N31" s="13"/>
      <c r="O31" s="12"/>
      <c r="P31" s="12"/>
      <c r="Q31" s="12"/>
      <c r="R31" s="12"/>
      <c r="S31" s="13"/>
      <c r="T31" s="12"/>
      <c r="U31" s="12"/>
      <c r="V31" s="12"/>
      <c r="W31" s="12"/>
      <c r="X31" s="13"/>
      <c r="Y31" s="12"/>
      <c r="Z31" s="12"/>
      <c r="AA31" s="12"/>
      <c r="AB31" s="12"/>
      <c r="AC31" s="13"/>
      <c r="AD31" s="12"/>
      <c r="AE31" s="12"/>
      <c r="AF31" s="12"/>
      <c r="AG31" s="12"/>
      <c r="AH31" s="13"/>
      <c r="AI31" s="12"/>
      <c r="AJ31" s="12"/>
      <c r="AK31" s="12"/>
      <c r="AL31" s="12"/>
      <c r="AM31" s="13"/>
      <c r="AN31" s="12"/>
      <c r="AO31" s="12"/>
      <c r="AP31" s="12"/>
      <c r="AQ31" s="12"/>
      <c r="AR31" s="13"/>
      <c r="AS31" s="12"/>
      <c r="AT31" s="12"/>
      <c r="AU31" s="12"/>
      <c r="AV31" s="12"/>
      <c r="AW31" s="13"/>
      <c r="AX31" s="12"/>
      <c r="AY31" s="12"/>
      <c r="AZ31" s="12"/>
      <c r="BA31" s="12"/>
      <c r="BB31" s="13"/>
      <c r="BC31" s="12"/>
      <c r="BD31" s="12"/>
      <c r="BE31" s="12"/>
      <c r="BF31" s="12"/>
      <c r="BG31" s="13"/>
      <c r="BH31" s="12">
        <v>5777</v>
      </c>
      <c r="BI31" s="12">
        <v>6039</v>
      </c>
      <c r="BJ31" s="12">
        <v>6413</v>
      </c>
      <c r="BK31" s="12">
        <v>6387</v>
      </c>
      <c r="BL31" s="13">
        <f t="shared" si="37"/>
        <v>6387</v>
      </c>
      <c r="BM31" s="12">
        <v>6373</v>
      </c>
      <c r="BN31" s="12">
        <v>6217</v>
      </c>
      <c r="BO31" s="12">
        <v>5780</v>
      </c>
      <c r="BP31" s="12">
        <v>5904</v>
      </c>
      <c r="BQ31" s="13">
        <f t="shared" si="38"/>
        <v>5904</v>
      </c>
      <c r="BR31" s="12">
        <v>5913</v>
      </c>
      <c r="BS31" s="12">
        <v>9666</v>
      </c>
      <c r="BT31" s="12">
        <v>10125</v>
      </c>
      <c r="BU31" s="12">
        <v>10560</v>
      </c>
      <c r="BV31" s="13">
        <f t="shared" si="39"/>
        <v>10560</v>
      </c>
      <c r="BW31" s="12">
        <v>11186</v>
      </c>
      <c r="BX31" s="12">
        <v>10363</v>
      </c>
      <c r="BY31" s="12">
        <v>10581</v>
      </c>
      <c r="BZ31" s="12">
        <v>10736</v>
      </c>
      <c r="CA31" s="13">
        <f t="shared" si="40"/>
        <v>10736</v>
      </c>
      <c r="CB31" s="12">
        <v>11413</v>
      </c>
      <c r="CC31" s="12">
        <v>11381</v>
      </c>
      <c r="CD31" s="12">
        <v>11527</v>
      </c>
      <c r="CE31" s="12">
        <v>11060</v>
      </c>
      <c r="CF31" s="13">
        <f t="shared" si="41"/>
        <v>11060</v>
      </c>
      <c r="CG31" s="12">
        <v>11147</v>
      </c>
      <c r="CH31" s="12">
        <v>11179</v>
      </c>
      <c r="CI31" s="12">
        <v>10653</v>
      </c>
      <c r="CJ31" s="12">
        <v>9643</v>
      </c>
      <c r="CK31" s="13">
        <f t="shared" si="42"/>
        <v>9643</v>
      </c>
      <c r="CL31" s="12">
        <v>9281</v>
      </c>
      <c r="CM31" s="12">
        <v>8998</v>
      </c>
      <c r="CN31" s="12">
        <v>9661</v>
      </c>
      <c r="CO31" s="12">
        <v>9598</v>
      </c>
      <c r="CP31" s="13">
        <f t="shared" si="43"/>
        <v>9598</v>
      </c>
      <c r="CQ31" s="12">
        <f t="shared" si="46"/>
        <v>9598</v>
      </c>
      <c r="CR31" s="12">
        <f t="shared" si="47"/>
        <v>9598</v>
      </c>
      <c r="CS31" s="12">
        <f t="shared" si="48"/>
        <v>9598</v>
      </c>
      <c r="CT31" s="12">
        <f t="shared" si="49"/>
        <v>9598</v>
      </c>
      <c r="CU31" s="13">
        <f t="shared" si="44"/>
        <v>9598</v>
      </c>
    </row>
    <row r="32" spans="2:99">
      <c r="B32" s="8"/>
      <c r="C32" s="7" t="s">
        <v>996</v>
      </c>
      <c r="D32" s="13"/>
      <c r="E32" s="12"/>
      <c r="F32" s="12"/>
      <c r="G32" s="12"/>
      <c r="H32" s="12"/>
      <c r="I32" s="13"/>
      <c r="J32" s="12"/>
      <c r="K32" s="12"/>
      <c r="L32" s="12"/>
      <c r="M32" s="12"/>
      <c r="N32" s="13"/>
      <c r="O32" s="12"/>
      <c r="P32" s="12"/>
      <c r="Q32" s="12"/>
      <c r="R32" s="12"/>
      <c r="S32" s="13"/>
      <c r="T32" s="12"/>
      <c r="U32" s="12"/>
      <c r="V32" s="12"/>
      <c r="W32" s="12"/>
      <c r="X32" s="13"/>
      <c r="Y32" s="12"/>
      <c r="Z32" s="12"/>
      <c r="AA32" s="12"/>
      <c r="AB32" s="12"/>
      <c r="AC32" s="13"/>
      <c r="AD32" s="12"/>
      <c r="AE32" s="12"/>
      <c r="AF32" s="12"/>
      <c r="AG32" s="12"/>
      <c r="AH32" s="13"/>
      <c r="AI32" s="12"/>
      <c r="AJ32" s="12"/>
      <c r="AK32" s="12"/>
      <c r="AL32" s="12"/>
      <c r="AM32" s="13"/>
      <c r="AN32" s="12"/>
      <c r="AO32" s="12"/>
      <c r="AP32" s="12"/>
      <c r="AQ32" s="12"/>
      <c r="AR32" s="13"/>
      <c r="AS32" s="12"/>
      <c r="AT32" s="12"/>
      <c r="AU32" s="12"/>
      <c r="AV32" s="12"/>
      <c r="AW32" s="13"/>
      <c r="AX32" s="12"/>
      <c r="AY32" s="12"/>
      <c r="AZ32" s="12"/>
      <c r="BA32" s="12"/>
      <c r="BB32" s="13"/>
      <c r="BC32" s="12"/>
      <c r="BD32" s="12"/>
      <c r="BE32" s="12"/>
      <c r="BF32" s="12"/>
      <c r="BG32" s="13"/>
      <c r="BH32" s="12"/>
      <c r="BI32" s="12"/>
      <c r="BJ32" s="12"/>
      <c r="BK32" s="12"/>
      <c r="BL32" s="13"/>
      <c r="BM32" s="12"/>
      <c r="BN32" s="12"/>
      <c r="BO32" s="12"/>
      <c r="BP32" s="12"/>
      <c r="BQ32" s="13"/>
      <c r="BR32" s="12"/>
      <c r="BS32" s="12"/>
      <c r="BT32" s="12"/>
      <c r="BU32" s="12"/>
      <c r="BV32" s="13"/>
      <c r="BW32" s="12"/>
      <c r="BX32" s="12"/>
      <c r="BY32" s="12"/>
      <c r="BZ32" s="12"/>
      <c r="CA32" s="13"/>
      <c r="CB32" s="12"/>
      <c r="CC32" s="12"/>
      <c r="CD32" s="12"/>
      <c r="CE32" s="12"/>
      <c r="CF32" s="13"/>
      <c r="CG32" s="12"/>
      <c r="CH32" s="12"/>
      <c r="CI32" s="12"/>
      <c r="CJ32" s="12"/>
      <c r="CK32" s="13"/>
      <c r="CL32" s="12">
        <v>598366</v>
      </c>
      <c r="CM32" s="12">
        <v>598798</v>
      </c>
      <c r="CN32" s="12">
        <v>599231</v>
      </c>
      <c r="CO32" s="12">
        <v>599663</v>
      </c>
      <c r="CP32" s="13">
        <f t="shared" ref="CP32:CU32" si="50">CO32</f>
        <v>599663</v>
      </c>
      <c r="CQ32" s="12">
        <f t="shared" si="50"/>
        <v>599663</v>
      </c>
      <c r="CR32" s="12">
        <f t="shared" si="50"/>
        <v>599663</v>
      </c>
      <c r="CS32" s="12">
        <f t="shared" si="50"/>
        <v>599663</v>
      </c>
      <c r="CT32" s="12">
        <f t="shared" si="50"/>
        <v>599663</v>
      </c>
      <c r="CU32" s="13">
        <f t="shared" si="50"/>
        <v>599663</v>
      </c>
    </row>
    <row r="33" spans="2:99" s="27" customFormat="1" ht="13.15">
      <c r="B33" s="34" t="s">
        <v>75</v>
      </c>
      <c r="D33" s="70">
        <f t="shared" ref="D33:AB33" si="51">SUM(D27:D30)</f>
        <v>96574</v>
      </c>
      <c r="E33" s="71">
        <f t="shared" si="51"/>
        <v>105242</v>
      </c>
      <c r="F33" s="71">
        <f t="shared" si="51"/>
        <v>116921</v>
      </c>
      <c r="G33" s="71">
        <f t="shared" si="51"/>
        <v>119884</v>
      </c>
      <c r="H33" s="71">
        <f t="shared" si="51"/>
        <v>129469</v>
      </c>
      <c r="I33" s="70">
        <f t="shared" si="51"/>
        <v>129469</v>
      </c>
      <c r="J33" s="71">
        <f t="shared" si="51"/>
        <v>119277</v>
      </c>
      <c r="K33" s="71">
        <f t="shared" si="51"/>
        <v>130955</v>
      </c>
      <c r="L33" s="71">
        <f t="shared" si="51"/>
        <v>131080</v>
      </c>
      <c r="M33" s="71">
        <f t="shared" si="51"/>
        <v>129253</v>
      </c>
      <c r="N33" s="70">
        <f t="shared" si="51"/>
        <v>129253</v>
      </c>
      <c r="O33" s="71">
        <f t="shared" si="51"/>
        <v>107648</v>
      </c>
      <c r="P33" s="71">
        <f t="shared" si="51"/>
        <v>132383</v>
      </c>
      <c r="Q33" s="71">
        <f t="shared" si="51"/>
        <v>141107</v>
      </c>
      <c r="R33" s="71">
        <f t="shared" si="51"/>
        <v>124649</v>
      </c>
      <c r="S33" s="70">
        <f t="shared" si="51"/>
        <v>124649</v>
      </c>
      <c r="T33" s="71">
        <f t="shared" si="51"/>
        <v>115594</v>
      </c>
      <c r="U33" s="71">
        <f t="shared" si="51"/>
        <v>133252</v>
      </c>
      <c r="V33" s="71">
        <f t="shared" si="51"/>
        <v>133052</v>
      </c>
      <c r="W33" s="71">
        <f t="shared" si="51"/>
        <v>151640</v>
      </c>
      <c r="X33" s="70">
        <f t="shared" si="51"/>
        <v>151640</v>
      </c>
      <c r="Y33" s="71">
        <f t="shared" si="51"/>
        <v>129022</v>
      </c>
      <c r="Z33" s="71">
        <f t="shared" si="51"/>
        <v>150012</v>
      </c>
      <c r="AA33" s="71">
        <f t="shared" si="51"/>
        <v>144654</v>
      </c>
      <c r="AB33" s="71">
        <f t="shared" si="51"/>
        <v>169795</v>
      </c>
      <c r="AC33" s="70">
        <f t="shared" si="0"/>
        <v>169795</v>
      </c>
      <c r="AD33" s="71">
        <f>SUM(AD27:AD30)</f>
        <v>149813</v>
      </c>
      <c r="AE33" s="71">
        <f>SUM(AE27:AE30)</f>
        <v>183262</v>
      </c>
      <c r="AF33" s="71">
        <f>SUM(AF27:AF30)</f>
        <v>181646</v>
      </c>
      <c r="AG33" s="71">
        <f>SUM(AG27:AG30)</f>
        <v>192110</v>
      </c>
      <c r="AH33" s="70">
        <f t="shared" si="1"/>
        <v>192110</v>
      </c>
      <c r="AI33" s="71">
        <f>SUM(AI27:AI30)</f>
        <v>161382</v>
      </c>
      <c r="AJ33" s="71">
        <f>SUM(AJ27:AJ30)</f>
        <v>215764</v>
      </c>
      <c r="AK33" s="71">
        <f>SUM(AK27:AK30)</f>
        <v>221361</v>
      </c>
      <c r="AL33" s="71">
        <f>SUM(AL27:AL30)</f>
        <v>232839</v>
      </c>
      <c r="AM33" s="70">
        <f t="shared" si="32"/>
        <v>232839</v>
      </c>
      <c r="AN33" s="71">
        <f>SUM(AN27:AN30)</f>
        <v>197654</v>
      </c>
      <c r="AO33" s="71">
        <f>SUM(AO27:AO30)</f>
        <v>240744</v>
      </c>
      <c r="AP33" s="71">
        <f>SUM(AP27:AP30)</f>
        <v>242474</v>
      </c>
      <c r="AQ33" s="71">
        <f>SUM(AQ27:AQ30)</f>
        <v>337572</v>
      </c>
      <c r="AR33" s="70">
        <f t="shared" si="33"/>
        <v>337572</v>
      </c>
      <c r="AS33" s="71">
        <f>SUM(AS27:AS30)</f>
        <v>289684</v>
      </c>
      <c r="AT33" s="71">
        <f>SUM(AT27:AT30)</f>
        <v>352930</v>
      </c>
      <c r="AU33" s="71">
        <f>SUM(AU27:AU30)</f>
        <v>348492</v>
      </c>
      <c r="AV33" s="71">
        <f>SUM(AV27:AV30)</f>
        <v>361501</v>
      </c>
      <c r="AW33" s="70">
        <f t="shared" si="34"/>
        <v>361501</v>
      </c>
      <c r="AX33" s="71">
        <f>SUM(AX27:AX30)</f>
        <v>322245</v>
      </c>
      <c r="AY33" s="71">
        <f>SUM(AY27:AY30)</f>
        <v>359582</v>
      </c>
      <c r="AZ33" s="71">
        <f>SUM(AZ27:AZ30)</f>
        <v>359309</v>
      </c>
      <c r="BA33" s="71">
        <f>SUM(BA27:BA30)</f>
        <v>382310</v>
      </c>
      <c r="BB33" s="70">
        <f t="shared" si="35"/>
        <v>382310</v>
      </c>
      <c r="BC33" s="71">
        <f>SUM(BC27:BC30)</f>
        <v>319549</v>
      </c>
      <c r="BD33" s="71">
        <f>SUM(BD27:BD30)</f>
        <v>373882</v>
      </c>
      <c r="BE33" s="71">
        <f>SUM(BE27:BE30)</f>
        <v>397038</v>
      </c>
      <c r="BF33" s="71">
        <v>423902</v>
      </c>
      <c r="BG33" s="70">
        <f t="shared" si="36"/>
        <v>423902</v>
      </c>
      <c r="BH33" s="71">
        <f>SUM(BH27:BH32)</f>
        <v>403380</v>
      </c>
      <c r="BI33" s="71">
        <f>SUM(BI27:BI32)</f>
        <v>453732</v>
      </c>
      <c r="BJ33" s="71">
        <f>SUM(BJ27:BJ32)</f>
        <v>476814</v>
      </c>
      <c r="BK33" s="71">
        <f>SUM(BK27:BK32)</f>
        <v>509093</v>
      </c>
      <c r="BL33" s="70">
        <f t="shared" si="37"/>
        <v>509093</v>
      </c>
      <c r="BM33" s="71">
        <f>SUM(BM27:BM32)</f>
        <v>445055</v>
      </c>
      <c r="BN33" s="71">
        <f>SUM(BN27:BN32)</f>
        <v>494262</v>
      </c>
      <c r="BO33" s="71">
        <f>SUM(BO27:BO30)</f>
        <v>529265</v>
      </c>
      <c r="BP33" s="71">
        <f>SUM(BP27:BP32)</f>
        <v>564277</v>
      </c>
      <c r="BQ33" s="70">
        <f t="shared" si="38"/>
        <v>564277</v>
      </c>
      <c r="BR33" s="71">
        <f>SUM(BR27:BR32)</f>
        <v>525356</v>
      </c>
      <c r="BS33" s="71">
        <f>SUM(BS27:BS32)</f>
        <v>765779</v>
      </c>
      <c r="BT33" s="71">
        <f>SUM(BT27:BT32)</f>
        <v>816225</v>
      </c>
      <c r="BU33" s="71">
        <f>SUM(BU27:BU32)</f>
        <v>829501</v>
      </c>
      <c r="BV33" s="70">
        <f>BU33</f>
        <v>829501</v>
      </c>
      <c r="BW33" s="71">
        <f>SUM(BW27:BW32)</f>
        <v>766460</v>
      </c>
      <c r="BX33" s="71">
        <f>SUM(BX27:BX32)</f>
        <v>833859</v>
      </c>
      <c r="BY33" s="71">
        <f>SUM(BY27:BY32)</f>
        <v>812248</v>
      </c>
      <c r="BZ33" s="71">
        <f>SUM(BZ27:BZ32)</f>
        <v>889695</v>
      </c>
      <c r="CA33" s="70">
        <f t="shared" si="40"/>
        <v>889695</v>
      </c>
      <c r="CB33" s="71">
        <f>SUM(CB27:CB32)</f>
        <v>835028</v>
      </c>
      <c r="CC33" s="71">
        <f>SUM(CC27:CC32)</f>
        <v>854217</v>
      </c>
      <c r="CD33" s="71">
        <f>SUM(CD27:CD32)</f>
        <v>909034</v>
      </c>
      <c r="CE33" s="71">
        <f>SUM(CE27:CE32)</f>
        <v>1001138</v>
      </c>
      <c r="CF33" s="70">
        <f t="shared" si="41"/>
        <v>1001138</v>
      </c>
      <c r="CG33" s="71">
        <f>SUM(CG27:CG32)</f>
        <v>872925</v>
      </c>
      <c r="CH33" s="71">
        <f>SUM(CH27:CH32)</f>
        <v>987332</v>
      </c>
      <c r="CI33" s="71">
        <f>SUM(CI27:CI32)</f>
        <v>1021635</v>
      </c>
      <c r="CJ33" s="71">
        <f>SUM(CJ27:CJ32)</f>
        <v>1065607</v>
      </c>
      <c r="CK33" s="70">
        <f t="shared" si="42"/>
        <v>1065607</v>
      </c>
      <c r="CL33" s="71">
        <f>SUM(CL27:CL32)</f>
        <v>1561300</v>
      </c>
      <c r="CM33" s="71">
        <f>SUM(CM27:CM32)</f>
        <v>1672485</v>
      </c>
      <c r="CN33" s="71">
        <f>SUM(CN27:CN32)</f>
        <v>1690895</v>
      </c>
      <c r="CO33" s="71">
        <f>SUM(CO27:CO32)</f>
        <v>1755445</v>
      </c>
      <c r="CP33" s="70">
        <f t="shared" si="43"/>
        <v>1755445</v>
      </c>
      <c r="CQ33" s="71">
        <f>SUM(CQ27:CQ32)</f>
        <v>1674183.0225</v>
      </c>
      <c r="CR33" s="71">
        <f>SUM(CR27:CR32)</f>
        <v>1777377.8939999999</v>
      </c>
      <c r="CS33" s="71">
        <f>SUM(CS27:CS32)</f>
        <v>1819568.8660000002</v>
      </c>
      <c r="CT33" s="71">
        <f>SUM(CT27:CT32)</f>
        <v>1896786.7986648001</v>
      </c>
      <c r="CU33" s="70">
        <f t="shared" si="44"/>
        <v>1896786.7986648001</v>
      </c>
    </row>
    <row r="34" spans="2:99" ht="18" customHeight="1">
      <c r="B34" s="8"/>
      <c r="C34" s="7" t="s">
        <v>600</v>
      </c>
      <c r="D34" s="13"/>
      <c r="E34" s="12"/>
      <c r="F34" s="12"/>
      <c r="G34" s="12"/>
      <c r="H34" s="12"/>
      <c r="I34" s="13"/>
      <c r="J34" s="12"/>
      <c r="K34" s="12"/>
      <c r="L34" s="12"/>
      <c r="M34" s="12"/>
      <c r="N34" s="13"/>
      <c r="O34" s="12"/>
      <c r="P34" s="12"/>
      <c r="Q34" s="12"/>
      <c r="R34" s="12"/>
      <c r="S34" s="13"/>
      <c r="T34" s="12"/>
      <c r="U34" s="12"/>
      <c r="V34" s="12"/>
      <c r="W34" s="12"/>
      <c r="X34" s="13"/>
      <c r="Y34" s="12"/>
      <c r="Z34" s="12"/>
      <c r="AA34" s="12"/>
      <c r="AB34" s="12"/>
      <c r="AC34" s="13"/>
      <c r="AD34" s="12"/>
      <c r="AE34" s="12"/>
      <c r="AF34" s="12"/>
      <c r="AG34" s="12"/>
      <c r="AH34" s="13"/>
      <c r="AI34" s="12"/>
      <c r="AJ34" s="12"/>
      <c r="AK34" s="12"/>
      <c r="AL34" s="12"/>
      <c r="AM34" s="13"/>
      <c r="AN34" s="12"/>
      <c r="AO34" s="12"/>
      <c r="AP34" s="12"/>
      <c r="AQ34" s="12"/>
      <c r="AR34" s="13">
        <f t="shared" si="33"/>
        <v>0</v>
      </c>
      <c r="AS34" s="12"/>
      <c r="AT34" s="12">
        <f>AS34</f>
        <v>0</v>
      </c>
      <c r="AU34" s="12">
        <f>AT34</f>
        <v>0</v>
      </c>
      <c r="AV34" s="12">
        <f>AU34</f>
        <v>0</v>
      </c>
      <c r="AW34" s="13">
        <f t="shared" si="34"/>
        <v>0</v>
      </c>
      <c r="AX34" s="12"/>
      <c r="AY34" s="12">
        <f>AX34</f>
        <v>0</v>
      </c>
      <c r="AZ34" s="12">
        <f>AY34</f>
        <v>0</v>
      </c>
      <c r="BA34" s="12">
        <f>AZ34</f>
        <v>0</v>
      </c>
      <c r="BB34" s="13">
        <f t="shared" si="35"/>
        <v>0</v>
      </c>
      <c r="BC34" s="12"/>
      <c r="BD34" s="12">
        <f>BC34</f>
        <v>0</v>
      </c>
      <c r="BE34" s="12">
        <f>BD34</f>
        <v>0</v>
      </c>
      <c r="BF34" s="12">
        <f>BE34</f>
        <v>0</v>
      </c>
      <c r="BG34" s="13">
        <f t="shared" si="36"/>
        <v>0</v>
      </c>
      <c r="BH34" s="12"/>
      <c r="BI34" s="12">
        <f>BH34</f>
        <v>0</v>
      </c>
      <c r="BJ34" s="12">
        <f>BI34</f>
        <v>0</v>
      </c>
      <c r="BK34" s="12">
        <f>BJ34</f>
        <v>0</v>
      </c>
      <c r="BL34" s="13">
        <f t="shared" si="37"/>
        <v>0</v>
      </c>
      <c r="BM34" s="12"/>
      <c r="BN34" s="12">
        <f>BM34</f>
        <v>0</v>
      </c>
      <c r="BO34" s="12">
        <f>BN34</f>
        <v>0</v>
      </c>
      <c r="BP34" s="12">
        <f>BO34</f>
        <v>0</v>
      </c>
      <c r="BQ34" s="13">
        <f t="shared" si="38"/>
        <v>0</v>
      </c>
      <c r="BR34" s="12">
        <v>591483</v>
      </c>
      <c r="BS34" s="12">
        <f>862559+591906</f>
        <v>1454465</v>
      </c>
      <c r="BT34" s="12">
        <f>805535+592335</f>
        <v>1397870</v>
      </c>
      <c r="BU34" s="12">
        <f>718511+592765</f>
        <v>1311276</v>
      </c>
      <c r="BV34" s="13">
        <f t="shared" si="39"/>
        <v>1311276</v>
      </c>
      <c r="BW34" s="12">
        <f>698988+593194</f>
        <v>1292182</v>
      </c>
      <c r="BX34" s="12">
        <f>639464+593624</f>
        <v>1233088</v>
      </c>
      <c r="BY34" s="12">
        <f>452138+594054</f>
        <v>1046192</v>
      </c>
      <c r="BZ34" s="12">
        <f>362905+594484</f>
        <v>957389</v>
      </c>
      <c r="CA34" s="13">
        <f t="shared" ref="CA34:CA39" si="52">BZ34</f>
        <v>957389</v>
      </c>
      <c r="CB34" s="12">
        <f>243603+594914</f>
        <v>838517</v>
      </c>
      <c r="CC34" s="12">
        <f>243729+595345</f>
        <v>839074</v>
      </c>
      <c r="CD34" s="12">
        <f>109395+595775</f>
        <v>705170</v>
      </c>
      <c r="CE34" s="12">
        <v>596206</v>
      </c>
      <c r="CF34" s="13">
        <f t="shared" ref="CF34:CF39" si="53">CE34</f>
        <v>596206</v>
      </c>
      <c r="CG34" s="12">
        <v>596638</v>
      </c>
      <c r="CH34" s="12">
        <v>597069</v>
      </c>
      <c r="CI34" s="12">
        <f>597502</f>
        <v>597502</v>
      </c>
      <c r="CJ34" s="12">
        <v>597934</v>
      </c>
      <c r="CK34" s="13">
        <f t="shared" ref="CK34:CK39" si="54">CJ34</f>
        <v>597934</v>
      </c>
      <c r="CL34" s="12"/>
      <c r="CM34" s="12">
        <f t="shared" ref="CM34:CM36" si="55">CL34</f>
        <v>0</v>
      </c>
      <c r="CN34" s="12">
        <f t="shared" ref="CN34:CN36" si="56">CM34</f>
        <v>0</v>
      </c>
      <c r="CO34" s="12">
        <f t="shared" ref="CO34:CO36" si="57">CN34</f>
        <v>0</v>
      </c>
      <c r="CP34" s="13">
        <f t="shared" ref="CP34:CP39" si="58">CO34</f>
        <v>0</v>
      </c>
      <c r="CQ34" s="12">
        <f t="shared" ref="CQ34:CQ39" si="59">CP34</f>
        <v>0</v>
      </c>
      <c r="CR34" s="12">
        <f t="shared" ref="CR34:CR39" si="60">CQ34</f>
        <v>0</v>
      </c>
      <c r="CS34" s="12">
        <f t="shared" ref="CS34:CS39" si="61">CR34</f>
        <v>0</v>
      </c>
      <c r="CT34" s="12">
        <f t="shared" ref="CT34:CT39" si="62">CS34</f>
        <v>0</v>
      </c>
      <c r="CU34" s="13">
        <f t="shared" si="44"/>
        <v>0</v>
      </c>
    </row>
    <row r="35" spans="2:99">
      <c r="B35" s="8"/>
      <c r="C35" s="7" t="s">
        <v>601</v>
      </c>
      <c r="D35" s="13"/>
      <c r="E35" s="12"/>
      <c r="F35" s="12"/>
      <c r="G35" s="12"/>
      <c r="H35" s="12"/>
      <c r="I35" s="13"/>
      <c r="J35" s="12"/>
      <c r="K35" s="12"/>
      <c r="L35" s="12"/>
      <c r="M35" s="12"/>
      <c r="N35" s="13"/>
      <c r="O35" s="12"/>
      <c r="P35" s="12"/>
      <c r="Q35" s="12"/>
      <c r="R35" s="12"/>
      <c r="S35" s="13"/>
      <c r="T35" s="12"/>
      <c r="U35" s="12"/>
      <c r="V35" s="12"/>
      <c r="W35" s="12"/>
      <c r="X35" s="13"/>
      <c r="Y35" s="12"/>
      <c r="Z35" s="12"/>
      <c r="AA35" s="12"/>
      <c r="AB35" s="12"/>
      <c r="AC35" s="13"/>
      <c r="AD35" s="12"/>
      <c r="AE35" s="12"/>
      <c r="AF35" s="12"/>
      <c r="AG35" s="12"/>
      <c r="AH35" s="13"/>
      <c r="AI35" s="12"/>
      <c r="AJ35" s="12"/>
      <c r="AK35" s="12"/>
      <c r="AL35" s="12"/>
      <c r="AM35" s="13"/>
      <c r="AN35" s="12"/>
      <c r="AO35" s="12"/>
      <c r="AP35" s="12"/>
      <c r="AQ35" s="12">
        <v>3115</v>
      </c>
      <c r="AR35" s="13">
        <f t="shared" si="33"/>
        <v>3115</v>
      </c>
      <c r="AS35" s="12">
        <v>4561</v>
      </c>
      <c r="AT35" s="12">
        <v>3704</v>
      </c>
      <c r="AU35" s="12">
        <v>2924</v>
      </c>
      <c r="AV35" s="12">
        <v>2140</v>
      </c>
      <c r="AW35" s="13">
        <f t="shared" si="34"/>
        <v>2140</v>
      </c>
      <c r="AX35" s="12">
        <v>1908</v>
      </c>
      <c r="AY35" s="12">
        <v>1643</v>
      </c>
      <c r="AZ35" s="12">
        <v>1468</v>
      </c>
      <c r="BA35" s="12">
        <v>1274</v>
      </c>
      <c r="BB35" s="13">
        <f t="shared" si="35"/>
        <v>1274</v>
      </c>
      <c r="BC35" s="12">
        <v>641</v>
      </c>
      <c r="BD35" s="12">
        <v>785</v>
      </c>
      <c r="BE35" s="12">
        <v>493</v>
      </c>
      <c r="BF35" s="12">
        <v>424</v>
      </c>
      <c r="BG35" s="13">
        <f t="shared" si="36"/>
        <v>424</v>
      </c>
      <c r="BH35" s="12">
        <v>442</v>
      </c>
      <c r="BI35" s="12">
        <v>551</v>
      </c>
      <c r="BJ35" s="12">
        <v>241</v>
      </c>
      <c r="BK35" s="12">
        <v>199</v>
      </c>
      <c r="BL35" s="13">
        <f t="shared" si="37"/>
        <v>199</v>
      </c>
      <c r="BM35" s="12">
        <v>167</v>
      </c>
      <c r="BN35" s="12">
        <v>167</v>
      </c>
      <c r="BO35" s="12">
        <v>118</v>
      </c>
      <c r="BP35" s="12">
        <v>100</v>
      </c>
      <c r="BQ35" s="13">
        <f t="shared" si="38"/>
        <v>100</v>
      </c>
      <c r="BR35" s="12">
        <v>83</v>
      </c>
      <c r="BS35" s="12">
        <v>68</v>
      </c>
      <c r="BT35" s="12">
        <v>53</v>
      </c>
      <c r="BU35" s="12">
        <v>38</v>
      </c>
      <c r="BV35" s="13">
        <f t="shared" si="39"/>
        <v>38</v>
      </c>
      <c r="BW35" s="12">
        <v>0</v>
      </c>
      <c r="BX35" s="12">
        <f>BW35</f>
        <v>0</v>
      </c>
      <c r="BY35" s="12">
        <v>2473</v>
      </c>
      <c r="BZ35" s="12">
        <v>2037</v>
      </c>
      <c r="CA35" s="13">
        <f t="shared" si="52"/>
        <v>2037</v>
      </c>
      <c r="CB35" s="12">
        <v>1600</v>
      </c>
      <c r="CC35" s="12">
        <v>1164</v>
      </c>
      <c r="CD35" s="12">
        <v>727</v>
      </c>
      <c r="CE35" s="12">
        <v>296</v>
      </c>
      <c r="CF35" s="13">
        <f t="shared" si="53"/>
        <v>296</v>
      </c>
      <c r="CG35" s="12"/>
      <c r="CH35" s="12"/>
      <c r="CI35" s="12"/>
      <c r="CJ35" s="12">
        <v>22376</v>
      </c>
      <c r="CK35" s="13">
        <f t="shared" si="54"/>
        <v>22376</v>
      </c>
      <c r="CL35" s="12">
        <v>22376</v>
      </c>
      <c r="CM35" s="12">
        <v>22878</v>
      </c>
      <c r="CN35" s="12">
        <v>22217</v>
      </c>
      <c r="CO35" s="12">
        <v>20988</v>
      </c>
      <c r="CP35" s="13">
        <f t="shared" si="58"/>
        <v>20988</v>
      </c>
      <c r="CQ35" s="12">
        <f t="shared" si="59"/>
        <v>20988</v>
      </c>
      <c r="CR35" s="12">
        <f t="shared" si="60"/>
        <v>20988</v>
      </c>
      <c r="CS35" s="12">
        <f t="shared" si="61"/>
        <v>20988</v>
      </c>
      <c r="CT35" s="12">
        <f t="shared" si="62"/>
        <v>20988</v>
      </c>
      <c r="CU35" s="13">
        <f t="shared" si="44"/>
        <v>20988</v>
      </c>
    </row>
    <row r="36" spans="2:99">
      <c r="B36" s="8"/>
      <c r="C36" s="7" t="s">
        <v>83</v>
      </c>
      <c r="D36" s="13">
        <v>0</v>
      </c>
      <c r="E36" s="12">
        <v>0</v>
      </c>
      <c r="F36" s="12">
        <v>0</v>
      </c>
      <c r="G36" s="12">
        <v>0</v>
      </c>
      <c r="H36" s="12">
        <v>0</v>
      </c>
      <c r="I36" s="13">
        <v>0</v>
      </c>
      <c r="J36" s="12">
        <v>0</v>
      </c>
      <c r="K36" s="12">
        <v>0</v>
      </c>
      <c r="L36" s="12">
        <v>0</v>
      </c>
      <c r="M36" s="12">
        <v>0</v>
      </c>
      <c r="N36" s="13">
        <v>0</v>
      </c>
      <c r="O36" s="12">
        <v>0</v>
      </c>
      <c r="P36" s="12">
        <v>0</v>
      </c>
      <c r="Q36" s="12">
        <v>16500</v>
      </c>
      <c r="R36" s="12">
        <v>26500</v>
      </c>
      <c r="S36" s="13">
        <f>R36</f>
        <v>26500</v>
      </c>
      <c r="T36" s="12">
        <v>22500</v>
      </c>
      <c r="U36" s="12">
        <v>31500</v>
      </c>
      <c r="V36" s="12">
        <v>58000</v>
      </c>
      <c r="W36" s="12">
        <v>60700</v>
      </c>
      <c r="X36" s="13">
        <f>W36</f>
        <v>60700</v>
      </c>
      <c r="Y36" s="12">
        <v>56000</v>
      </c>
      <c r="Z36" s="12">
        <v>65700</v>
      </c>
      <c r="AA36" s="12">
        <v>28000</v>
      </c>
      <c r="AB36" s="12">
        <v>18000</v>
      </c>
      <c r="AC36" s="13">
        <f t="shared" si="0"/>
        <v>18000</v>
      </c>
      <c r="AD36" s="12">
        <v>0</v>
      </c>
      <c r="AE36" s="12">
        <f>AD36</f>
        <v>0</v>
      </c>
      <c r="AF36" s="12">
        <f>AE36</f>
        <v>0</v>
      </c>
      <c r="AG36" s="12">
        <f>AF36</f>
        <v>0</v>
      </c>
      <c r="AH36" s="13">
        <f t="shared" si="1"/>
        <v>0</v>
      </c>
      <c r="AI36" s="12">
        <f t="shared" ref="AI36:AP36" si="63">AH36</f>
        <v>0</v>
      </c>
      <c r="AJ36" s="12">
        <f t="shared" si="63"/>
        <v>0</v>
      </c>
      <c r="AK36" s="12">
        <f t="shared" si="63"/>
        <v>0</v>
      </c>
      <c r="AL36" s="12">
        <f t="shared" si="63"/>
        <v>0</v>
      </c>
      <c r="AM36" s="13">
        <f t="shared" si="63"/>
        <v>0</v>
      </c>
      <c r="AN36" s="12">
        <f t="shared" si="63"/>
        <v>0</v>
      </c>
      <c r="AO36" s="12">
        <f t="shared" si="63"/>
        <v>0</v>
      </c>
      <c r="AP36" s="12">
        <f t="shared" si="63"/>
        <v>0</v>
      </c>
      <c r="AQ36" s="12">
        <v>66000</v>
      </c>
      <c r="AR36" s="13">
        <f t="shared" si="33"/>
        <v>66000</v>
      </c>
      <c r="AS36" s="12">
        <v>140000</v>
      </c>
      <c r="AT36" s="12">
        <v>135000</v>
      </c>
      <c r="AU36" s="12">
        <v>34000</v>
      </c>
      <c r="AV36" s="12">
        <v>10000</v>
      </c>
      <c r="AW36" s="13">
        <f>AV36</f>
        <v>10000</v>
      </c>
      <c r="AX36" s="12">
        <v>0</v>
      </c>
      <c r="AY36" s="12">
        <f>AX36</f>
        <v>0</v>
      </c>
      <c r="AZ36" s="12">
        <f>AY36</f>
        <v>0</v>
      </c>
      <c r="BA36" s="12">
        <f>AZ36</f>
        <v>0</v>
      </c>
      <c r="BB36" s="13">
        <f t="shared" si="35"/>
        <v>0</v>
      </c>
      <c r="BC36" s="12">
        <f>BB36</f>
        <v>0</v>
      </c>
      <c r="BD36" s="12">
        <f>BC36</f>
        <v>0</v>
      </c>
      <c r="BE36" s="12">
        <f>BD36</f>
        <v>0</v>
      </c>
      <c r="BF36" s="12">
        <f>BE36</f>
        <v>0</v>
      </c>
      <c r="BG36" s="13">
        <f t="shared" si="36"/>
        <v>0</v>
      </c>
      <c r="BH36" s="12">
        <v>85000</v>
      </c>
      <c r="BI36" s="12">
        <v>15000</v>
      </c>
      <c r="BJ36" s="12"/>
      <c r="BK36" s="12">
        <f>BJ36</f>
        <v>0</v>
      </c>
      <c r="BL36" s="13">
        <f t="shared" si="37"/>
        <v>0</v>
      </c>
      <c r="BM36" s="12">
        <f>BL36</f>
        <v>0</v>
      </c>
      <c r="BN36" s="12">
        <f>BM36</f>
        <v>0</v>
      </c>
      <c r="BO36" s="12">
        <f>BN36</f>
        <v>0</v>
      </c>
      <c r="BP36" s="12">
        <f>BO36</f>
        <v>0</v>
      </c>
      <c r="BQ36" s="13">
        <f t="shared" si="38"/>
        <v>0</v>
      </c>
      <c r="BR36" s="12">
        <f>BQ36</f>
        <v>0</v>
      </c>
      <c r="BS36" s="12">
        <v>65000</v>
      </c>
      <c r="BT36" s="12"/>
      <c r="BU36" s="12">
        <f>BT36</f>
        <v>0</v>
      </c>
      <c r="BV36" s="13">
        <f t="shared" si="39"/>
        <v>0</v>
      </c>
      <c r="BW36" s="12">
        <f>BV36</f>
        <v>0</v>
      </c>
      <c r="BX36" s="12">
        <f>BW36</f>
        <v>0</v>
      </c>
      <c r="BY36" s="12">
        <f>BX36</f>
        <v>0</v>
      </c>
      <c r="BZ36" s="12">
        <f>BY36</f>
        <v>0</v>
      </c>
      <c r="CA36" s="13">
        <f t="shared" si="52"/>
        <v>0</v>
      </c>
      <c r="CB36" s="12">
        <f>CA36</f>
        <v>0</v>
      </c>
      <c r="CC36" s="12">
        <f>CB36</f>
        <v>0</v>
      </c>
      <c r="CD36" s="12">
        <f>CC36</f>
        <v>0</v>
      </c>
      <c r="CE36" s="12">
        <f>CD36</f>
        <v>0</v>
      </c>
      <c r="CF36" s="13">
        <f t="shared" si="53"/>
        <v>0</v>
      </c>
      <c r="CG36" s="12">
        <f>CF36</f>
        <v>0</v>
      </c>
      <c r="CH36" s="12"/>
      <c r="CI36" s="12"/>
      <c r="CJ36" s="12"/>
      <c r="CK36" s="13">
        <f t="shared" si="54"/>
        <v>0</v>
      </c>
      <c r="CL36" s="12"/>
      <c r="CM36" s="12">
        <f t="shared" si="55"/>
        <v>0</v>
      </c>
      <c r="CN36" s="12">
        <f t="shared" si="56"/>
        <v>0</v>
      </c>
      <c r="CO36" s="12">
        <f t="shared" si="57"/>
        <v>0</v>
      </c>
      <c r="CP36" s="13">
        <f t="shared" si="58"/>
        <v>0</v>
      </c>
      <c r="CQ36" s="12">
        <f t="shared" si="59"/>
        <v>0</v>
      </c>
      <c r="CR36" s="12">
        <f t="shared" si="60"/>
        <v>0</v>
      </c>
      <c r="CS36" s="12">
        <f t="shared" si="61"/>
        <v>0</v>
      </c>
      <c r="CT36" s="12">
        <f t="shared" si="62"/>
        <v>0</v>
      </c>
      <c r="CU36" s="13">
        <f t="shared" si="44"/>
        <v>0</v>
      </c>
    </row>
    <row r="37" spans="2:99">
      <c r="B37" s="8"/>
      <c r="C37" s="7" t="s">
        <v>672</v>
      </c>
      <c r="D37" s="13"/>
      <c r="E37" s="12"/>
      <c r="F37" s="12"/>
      <c r="G37" s="12"/>
      <c r="H37" s="12"/>
      <c r="I37" s="13"/>
      <c r="J37" s="12"/>
      <c r="K37" s="12"/>
      <c r="L37" s="12"/>
      <c r="M37" s="12"/>
      <c r="N37" s="13"/>
      <c r="O37" s="12"/>
      <c r="P37" s="12"/>
      <c r="Q37" s="12"/>
      <c r="R37" s="12"/>
      <c r="S37" s="13"/>
      <c r="T37" s="12"/>
      <c r="U37" s="12"/>
      <c r="V37" s="12"/>
      <c r="W37" s="12"/>
      <c r="X37" s="13"/>
      <c r="Y37" s="12"/>
      <c r="Z37" s="12"/>
      <c r="AA37" s="12"/>
      <c r="AB37" s="12"/>
      <c r="AC37" s="13"/>
      <c r="AD37" s="12"/>
      <c r="AE37" s="12"/>
      <c r="AF37" s="12"/>
      <c r="AG37" s="12"/>
      <c r="AH37" s="13"/>
      <c r="AI37" s="12"/>
      <c r="AJ37" s="12"/>
      <c r="AK37" s="12"/>
      <c r="AL37" s="12"/>
      <c r="AM37" s="13"/>
      <c r="AN37" s="12"/>
      <c r="AO37" s="12"/>
      <c r="AP37" s="12"/>
      <c r="AQ37" s="12"/>
      <c r="AR37" s="13"/>
      <c r="AS37" s="12"/>
      <c r="AT37" s="12"/>
      <c r="AU37" s="12"/>
      <c r="AV37" s="12"/>
      <c r="AW37" s="13"/>
      <c r="AX37" s="12"/>
      <c r="AY37" s="12"/>
      <c r="AZ37" s="12"/>
      <c r="BA37" s="12"/>
      <c r="BB37" s="13"/>
      <c r="BC37" s="12"/>
      <c r="BD37" s="12"/>
      <c r="BE37" s="12"/>
      <c r="BF37" s="12"/>
      <c r="BG37" s="13"/>
      <c r="BH37" s="12">
        <v>18956</v>
      </c>
      <c r="BI37" s="12">
        <v>18769</v>
      </c>
      <c r="BJ37" s="12">
        <v>18134</v>
      </c>
      <c r="BK37" s="12">
        <v>16822</v>
      </c>
      <c r="BL37" s="13">
        <f t="shared" si="37"/>
        <v>16822</v>
      </c>
      <c r="BM37" s="12">
        <v>15548</v>
      </c>
      <c r="BN37" s="12">
        <v>14126</v>
      </c>
      <c r="BO37" s="12">
        <v>12870</v>
      </c>
      <c r="BP37" s="12">
        <v>16279</v>
      </c>
      <c r="BQ37" s="13">
        <f t="shared" si="38"/>
        <v>16279</v>
      </c>
      <c r="BR37" s="12">
        <v>16636</v>
      </c>
      <c r="BS37" s="12">
        <v>22118</v>
      </c>
      <c r="BT37" s="12">
        <v>37348</v>
      </c>
      <c r="BU37" s="12">
        <v>36336</v>
      </c>
      <c r="BV37" s="13">
        <f t="shared" si="39"/>
        <v>36336</v>
      </c>
      <c r="BW37" s="12">
        <v>38403</v>
      </c>
      <c r="BX37" s="12">
        <v>36018</v>
      </c>
      <c r="BY37" s="12">
        <v>49759</v>
      </c>
      <c r="BZ37" s="12">
        <v>48049</v>
      </c>
      <c r="CA37" s="13">
        <f t="shared" si="52"/>
        <v>48049</v>
      </c>
      <c r="CB37" s="12">
        <v>46567</v>
      </c>
      <c r="CC37" s="12">
        <v>44483</v>
      </c>
      <c r="CD37" s="12">
        <v>42098</v>
      </c>
      <c r="CE37" s="12">
        <v>39822</v>
      </c>
      <c r="CF37" s="13">
        <f t="shared" si="53"/>
        <v>39822</v>
      </c>
      <c r="CG37" s="12">
        <v>37631</v>
      </c>
      <c r="CH37" s="12">
        <v>35624</v>
      </c>
      <c r="CI37" s="12">
        <v>33674</v>
      </c>
      <c r="CJ37" s="12">
        <v>30791</v>
      </c>
      <c r="CK37" s="13">
        <f t="shared" si="54"/>
        <v>30791</v>
      </c>
      <c r="CL37" s="12">
        <v>32455</v>
      </c>
      <c r="CM37" s="12">
        <v>33922</v>
      </c>
      <c r="CN37" s="12">
        <v>34556</v>
      </c>
      <c r="CO37" s="12">
        <v>33347</v>
      </c>
      <c r="CP37" s="13">
        <f t="shared" si="58"/>
        <v>33347</v>
      </c>
      <c r="CQ37" s="12">
        <f t="shared" si="59"/>
        <v>33347</v>
      </c>
      <c r="CR37" s="12">
        <f t="shared" si="60"/>
        <v>33347</v>
      </c>
      <c r="CS37" s="12">
        <f t="shared" si="61"/>
        <v>33347</v>
      </c>
      <c r="CT37" s="12">
        <f t="shared" si="62"/>
        <v>33347</v>
      </c>
      <c r="CU37" s="13">
        <f t="shared" si="44"/>
        <v>33347</v>
      </c>
    </row>
    <row r="38" spans="2:99">
      <c r="B38" s="8"/>
      <c r="C38" s="7" t="s">
        <v>76</v>
      </c>
      <c r="D38" s="13">
        <v>7723</v>
      </c>
      <c r="E38" s="12">
        <v>9415</v>
      </c>
      <c r="F38" s="12">
        <v>9069</v>
      </c>
      <c r="G38" s="12">
        <v>8889</v>
      </c>
      <c r="H38" s="12">
        <v>8030</v>
      </c>
      <c r="I38" s="13">
        <f>H38</f>
        <v>8030</v>
      </c>
      <c r="J38" s="12">
        <v>8030</v>
      </c>
      <c r="K38" s="12">
        <v>8080</v>
      </c>
      <c r="L38" s="12">
        <v>8092</v>
      </c>
      <c r="M38" s="12">
        <v>7059</v>
      </c>
      <c r="N38" s="13">
        <f>M38</f>
        <v>7059</v>
      </c>
      <c r="O38" s="12">
        <v>7059</v>
      </c>
      <c r="P38" s="12">
        <v>7137</v>
      </c>
      <c r="Q38" s="12">
        <v>7237</v>
      </c>
      <c r="R38" s="12">
        <v>5911</v>
      </c>
      <c r="S38" s="13">
        <f>R38</f>
        <v>5911</v>
      </c>
      <c r="T38" s="12">
        <v>5911</v>
      </c>
      <c r="U38" s="12">
        <v>5952</v>
      </c>
      <c r="V38" s="12">
        <v>5972</v>
      </c>
      <c r="W38" s="12">
        <v>4941</v>
      </c>
      <c r="X38" s="13">
        <f>W38</f>
        <v>4941</v>
      </c>
      <c r="Y38" s="12">
        <v>4994</v>
      </c>
      <c r="Z38" s="12">
        <v>5127</v>
      </c>
      <c r="AA38" s="12">
        <v>5431</v>
      </c>
      <c r="AB38" s="12">
        <v>5221</v>
      </c>
      <c r="AC38" s="13">
        <f t="shared" si="0"/>
        <v>5221</v>
      </c>
      <c r="AD38" s="12">
        <v>5363</v>
      </c>
      <c r="AE38" s="12">
        <v>5511</v>
      </c>
      <c r="AF38" s="12">
        <v>4141</v>
      </c>
      <c r="AG38" s="12">
        <v>6059</v>
      </c>
      <c r="AH38" s="13">
        <f t="shared" si="1"/>
        <v>6059</v>
      </c>
      <c r="AI38" s="12">
        <v>6155</v>
      </c>
      <c r="AJ38" s="12">
        <v>4574</v>
      </c>
      <c r="AK38" s="12">
        <v>4911</v>
      </c>
      <c r="AL38" s="12">
        <v>4170</v>
      </c>
      <c r="AM38" s="13">
        <f>AL38</f>
        <v>4170</v>
      </c>
      <c r="AN38" s="12">
        <v>4340</v>
      </c>
      <c r="AO38" s="12">
        <v>4673</v>
      </c>
      <c r="AP38" s="12">
        <v>4813</v>
      </c>
      <c r="AQ38" s="12">
        <v>91062</v>
      </c>
      <c r="AR38" s="13">
        <f>AQ38</f>
        <v>91062</v>
      </c>
      <c r="AS38" s="12">
        <v>91775</v>
      </c>
      <c r="AT38" s="12">
        <v>92110</v>
      </c>
      <c r="AU38" s="12">
        <v>85095</v>
      </c>
      <c r="AV38" s="12">
        <v>68779</v>
      </c>
      <c r="AW38" s="13">
        <f>AV38</f>
        <v>68779</v>
      </c>
      <c r="AX38" s="12">
        <v>64691</v>
      </c>
      <c r="AY38" s="12">
        <v>59682</v>
      </c>
      <c r="AZ38" s="12">
        <v>54563</v>
      </c>
      <c r="BA38" s="12">
        <v>38914</v>
      </c>
      <c r="BB38" s="13">
        <f t="shared" si="35"/>
        <v>38914</v>
      </c>
      <c r="BC38" s="12">
        <v>44220</v>
      </c>
      <c r="BD38" s="12">
        <v>44803</v>
      </c>
      <c r="BE38" s="12">
        <v>44965</v>
      </c>
      <c r="BF38" s="12">
        <v>41791</v>
      </c>
      <c r="BG38" s="13">
        <f t="shared" si="36"/>
        <v>41791</v>
      </c>
      <c r="BH38" s="12">
        <v>42779</v>
      </c>
      <c r="BI38" s="12">
        <v>39749</v>
      </c>
      <c r="BJ38" s="12">
        <v>40303</v>
      </c>
      <c r="BK38" s="12">
        <v>48442</v>
      </c>
      <c r="BL38" s="13">
        <f t="shared" si="37"/>
        <v>48442</v>
      </c>
      <c r="BM38" s="12">
        <v>45774</v>
      </c>
      <c r="BN38" s="12">
        <v>44713</v>
      </c>
      <c r="BO38" s="12">
        <v>45985</v>
      </c>
      <c r="BP38" s="12">
        <v>40507</v>
      </c>
      <c r="BQ38" s="13">
        <f t="shared" si="38"/>
        <v>40507</v>
      </c>
      <c r="BR38" s="12">
        <v>37239</v>
      </c>
      <c r="BS38" s="12">
        <v>220680</v>
      </c>
      <c r="BT38" s="12">
        <v>227537</v>
      </c>
      <c r="BU38" s="12">
        <v>228085</v>
      </c>
      <c r="BV38" s="13">
        <f t="shared" si="39"/>
        <v>228085</v>
      </c>
      <c r="BW38" s="12">
        <v>230292</v>
      </c>
      <c r="BX38" s="12">
        <v>216947</v>
      </c>
      <c r="BY38" s="12">
        <v>203204</v>
      </c>
      <c r="BZ38" s="12">
        <v>148891</v>
      </c>
      <c r="CA38" s="13">
        <f t="shared" si="52"/>
        <v>148891</v>
      </c>
      <c r="CB38" s="12">
        <v>130367</v>
      </c>
      <c r="CC38" s="12">
        <v>109247</v>
      </c>
      <c r="CD38" s="12">
        <v>105002</v>
      </c>
      <c r="CE38" s="12">
        <v>78590</v>
      </c>
      <c r="CF38" s="13">
        <f t="shared" si="53"/>
        <v>78590</v>
      </c>
      <c r="CG38" s="12">
        <v>54274</v>
      </c>
      <c r="CH38" s="12">
        <v>41584</v>
      </c>
      <c r="CI38" s="12">
        <v>36660</v>
      </c>
      <c r="CJ38" s="12">
        <v>47503</v>
      </c>
      <c r="CK38" s="13">
        <f t="shared" si="54"/>
        <v>47503</v>
      </c>
      <c r="CL38" s="12">
        <v>36448</v>
      </c>
      <c r="CM38" s="12">
        <v>36437</v>
      </c>
      <c r="CN38" s="12">
        <v>75829</v>
      </c>
      <c r="CO38" s="12">
        <v>95063</v>
      </c>
      <c r="CP38" s="13">
        <f t="shared" si="58"/>
        <v>95063</v>
      </c>
      <c r="CQ38" s="12">
        <f t="shared" si="59"/>
        <v>95063</v>
      </c>
      <c r="CR38" s="12">
        <f t="shared" si="60"/>
        <v>95063</v>
      </c>
      <c r="CS38" s="12">
        <f t="shared" si="61"/>
        <v>95063</v>
      </c>
      <c r="CT38" s="12">
        <f t="shared" si="62"/>
        <v>95063</v>
      </c>
      <c r="CU38" s="13">
        <f t="shared" si="44"/>
        <v>95063</v>
      </c>
    </row>
    <row r="39" spans="2:99">
      <c r="B39" s="8"/>
      <c r="C39" s="7" t="s">
        <v>765</v>
      </c>
      <c r="D39" s="13"/>
      <c r="E39" s="12"/>
      <c r="F39" s="12"/>
      <c r="G39" s="12"/>
      <c r="H39" s="12"/>
      <c r="I39" s="13"/>
      <c r="J39" s="12"/>
      <c r="K39" s="12"/>
      <c r="L39" s="12"/>
      <c r="M39" s="12"/>
      <c r="N39" s="13"/>
      <c r="O39" s="12"/>
      <c r="P39" s="12"/>
      <c r="Q39" s="12"/>
      <c r="R39" s="12"/>
      <c r="S39" s="13"/>
      <c r="T39" s="12"/>
      <c r="U39" s="12"/>
      <c r="V39" s="12"/>
      <c r="W39" s="12"/>
      <c r="X39" s="13"/>
      <c r="Y39" s="12"/>
      <c r="Z39" s="12"/>
      <c r="AA39" s="12"/>
      <c r="AB39" s="12"/>
      <c r="AC39" s="13"/>
      <c r="AD39" s="12"/>
      <c r="AE39" s="12"/>
      <c r="AF39" s="12"/>
      <c r="AG39" s="12"/>
      <c r="AH39" s="13"/>
      <c r="AI39" s="12"/>
      <c r="AJ39" s="12"/>
      <c r="AK39" s="12"/>
      <c r="AL39" s="12"/>
      <c r="AM39" s="13"/>
      <c r="AN39" s="12"/>
      <c r="AO39" s="12"/>
      <c r="AP39" s="12"/>
      <c r="AQ39" s="12"/>
      <c r="AR39" s="13"/>
      <c r="AS39" s="12"/>
      <c r="AT39" s="12"/>
      <c r="AU39" s="12"/>
      <c r="AV39" s="12"/>
      <c r="AW39" s="13"/>
      <c r="AX39" s="12"/>
      <c r="AY39" s="12"/>
      <c r="AZ39" s="12"/>
      <c r="BA39" s="12"/>
      <c r="BB39" s="13"/>
      <c r="BC39" s="12"/>
      <c r="BD39" s="12"/>
      <c r="BE39" s="12"/>
      <c r="BF39" s="12"/>
      <c r="BG39" s="13"/>
      <c r="BH39" s="12"/>
      <c r="BI39" s="12"/>
      <c r="BJ39" s="12"/>
      <c r="BK39" s="12"/>
      <c r="BL39" s="13"/>
      <c r="BM39" s="12"/>
      <c r="BN39" s="12"/>
      <c r="BO39" s="12"/>
      <c r="BP39" s="12"/>
      <c r="BQ39" s="13"/>
      <c r="BR39" s="12"/>
      <c r="BS39" s="12">
        <v>4902</v>
      </c>
      <c r="BT39" s="12">
        <v>3132</v>
      </c>
      <c r="BU39" s="12">
        <v>2893</v>
      </c>
      <c r="BV39" s="13">
        <f t="shared" si="39"/>
        <v>2893</v>
      </c>
      <c r="BW39" s="12">
        <v>8735</v>
      </c>
      <c r="BX39" s="12">
        <v>8807</v>
      </c>
      <c r="BY39" s="12">
        <v>14199</v>
      </c>
      <c r="BZ39" s="12">
        <v>16967</v>
      </c>
      <c r="CA39" s="13">
        <f t="shared" si="52"/>
        <v>16967</v>
      </c>
      <c r="CB39" s="12">
        <v>17423</v>
      </c>
      <c r="CC39" s="12">
        <v>19113</v>
      </c>
      <c r="CD39" s="12">
        <v>22547</v>
      </c>
      <c r="CE39" s="12">
        <v>22621</v>
      </c>
      <c r="CF39" s="13">
        <f t="shared" si="53"/>
        <v>22621</v>
      </c>
      <c r="CG39" s="12">
        <v>24152</v>
      </c>
      <c r="CH39" s="12">
        <v>25762</v>
      </c>
      <c r="CI39" s="12">
        <v>31925</v>
      </c>
      <c r="CJ39" s="12">
        <v>27382</v>
      </c>
      <c r="CK39" s="13">
        <f t="shared" si="54"/>
        <v>27382</v>
      </c>
      <c r="CL39" s="12">
        <v>26851</v>
      </c>
      <c r="CM39" s="12">
        <v>25366</v>
      </c>
      <c r="CN39" s="12">
        <v>31105</v>
      </c>
      <c r="CO39" s="12">
        <v>31276</v>
      </c>
      <c r="CP39" s="13">
        <f t="shared" si="58"/>
        <v>31276</v>
      </c>
      <c r="CQ39" s="12">
        <f t="shared" si="59"/>
        <v>31276</v>
      </c>
      <c r="CR39" s="12">
        <f t="shared" si="60"/>
        <v>31276</v>
      </c>
      <c r="CS39" s="12">
        <f t="shared" si="61"/>
        <v>31276</v>
      </c>
      <c r="CT39" s="12">
        <f t="shared" si="62"/>
        <v>31276</v>
      </c>
      <c r="CU39" s="13">
        <f t="shared" si="44"/>
        <v>31276</v>
      </c>
    </row>
    <row r="40" spans="2:99" s="27" customFormat="1" ht="13.15">
      <c r="B40" s="34" t="s">
        <v>77</v>
      </c>
      <c r="D40" s="70">
        <f t="shared" ref="D40:AB40" si="64">D38+D36+D33</f>
        <v>104297</v>
      </c>
      <c r="E40" s="71">
        <f t="shared" si="64"/>
        <v>114657</v>
      </c>
      <c r="F40" s="71">
        <f t="shared" si="64"/>
        <v>125990</v>
      </c>
      <c r="G40" s="71">
        <f t="shared" si="64"/>
        <v>128773</v>
      </c>
      <c r="H40" s="71">
        <f t="shared" si="64"/>
        <v>137499</v>
      </c>
      <c r="I40" s="70">
        <f t="shared" si="64"/>
        <v>137499</v>
      </c>
      <c r="J40" s="71">
        <f t="shared" si="64"/>
        <v>127307</v>
      </c>
      <c r="K40" s="71">
        <f t="shared" si="64"/>
        <v>139035</v>
      </c>
      <c r="L40" s="71">
        <f t="shared" si="64"/>
        <v>139172</v>
      </c>
      <c r="M40" s="71">
        <f t="shared" si="64"/>
        <v>136312</v>
      </c>
      <c r="N40" s="70">
        <f t="shared" si="64"/>
        <v>136312</v>
      </c>
      <c r="O40" s="71">
        <f t="shared" si="64"/>
        <v>114707</v>
      </c>
      <c r="P40" s="71">
        <f t="shared" si="64"/>
        <v>139520</v>
      </c>
      <c r="Q40" s="71">
        <f t="shared" si="64"/>
        <v>164844</v>
      </c>
      <c r="R40" s="71">
        <f t="shared" si="64"/>
        <v>157060</v>
      </c>
      <c r="S40" s="70">
        <f t="shared" si="64"/>
        <v>157060</v>
      </c>
      <c r="T40" s="71">
        <f t="shared" si="64"/>
        <v>144005</v>
      </c>
      <c r="U40" s="71">
        <f t="shared" si="64"/>
        <v>170704</v>
      </c>
      <c r="V40" s="71">
        <f t="shared" si="64"/>
        <v>197024</v>
      </c>
      <c r="W40" s="71">
        <f t="shared" si="64"/>
        <v>217281</v>
      </c>
      <c r="X40" s="70">
        <f t="shared" si="64"/>
        <v>217281</v>
      </c>
      <c r="Y40" s="71">
        <f t="shared" si="64"/>
        <v>190016</v>
      </c>
      <c r="Z40" s="71">
        <f t="shared" si="64"/>
        <v>220839</v>
      </c>
      <c r="AA40" s="71">
        <f t="shared" si="64"/>
        <v>178085</v>
      </c>
      <c r="AB40" s="71">
        <f t="shared" si="64"/>
        <v>193016</v>
      </c>
      <c r="AC40" s="70">
        <f t="shared" si="0"/>
        <v>193016</v>
      </c>
      <c r="AD40" s="71">
        <f>AD38+AD36+AD33</f>
        <v>155176</v>
      </c>
      <c r="AE40" s="71">
        <f>AE38+AE36+AE33</f>
        <v>188773</v>
      </c>
      <c r="AF40" s="71">
        <f>AF38+AF36+AF33</f>
        <v>185787</v>
      </c>
      <c r="AG40" s="71">
        <f>AG38+AG36+AG33</f>
        <v>198169</v>
      </c>
      <c r="AH40" s="70">
        <f t="shared" si="1"/>
        <v>198169</v>
      </c>
      <c r="AI40" s="71">
        <f>AI38+AI36+AI33</f>
        <v>167537</v>
      </c>
      <c r="AJ40" s="71">
        <f>AJ38+AJ36+AJ33</f>
        <v>220338</v>
      </c>
      <c r="AK40" s="71">
        <f>AK38+AK36+AK33</f>
        <v>226272</v>
      </c>
      <c r="AL40" s="71">
        <f>AL38+AL36+AL33</f>
        <v>237009</v>
      </c>
      <c r="AM40" s="70">
        <f>AL40</f>
        <v>237009</v>
      </c>
      <c r="AN40" s="71">
        <f>AN38+AN36+AN33</f>
        <v>201994</v>
      </c>
      <c r="AO40" s="71">
        <f>AO38+AO36+AO33</f>
        <v>245417</v>
      </c>
      <c r="AP40" s="71">
        <f>AP38+AP36+AP33</f>
        <v>247287</v>
      </c>
      <c r="AQ40" s="71">
        <f>AQ38+AQ36+AQ33+AQ35+AQ34</f>
        <v>497749</v>
      </c>
      <c r="AR40" s="70">
        <f>AQ40</f>
        <v>497749</v>
      </c>
      <c r="AS40" s="71">
        <f>AS38+AS36+AS33+AS34+AS35</f>
        <v>526020</v>
      </c>
      <c r="AT40" s="71">
        <f>AT38+AT36+AT33+AT34+AT35</f>
        <v>583744</v>
      </c>
      <c r="AU40" s="71">
        <f>AU38+AU36+AU33+AU34+AU35</f>
        <v>470511</v>
      </c>
      <c r="AV40" s="71">
        <f>AV38+AV36+AV33+AV34+AV35</f>
        <v>442420</v>
      </c>
      <c r="AW40" s="70">
        <f>AV40</f>
        <v>442420</v>
      </c>
      <c r="AX40" s="71">
        <f>AX38+AX36+AX33+AX34+AX35</f>
        <v>388844</v>
      </c>
      <c r="AY40" s="71">
        <f>AY38+AY36+AY33+AY34+AY35</f>
        <v>420907</v>
      </c>
      <c r="AZ40" s="71">
        <f>AZ38+AZ36+AZ33+AZ34+AZ35</f>
        <v>415340</v>
      </c>
      <c r="BA40" s="71">
        <f>BA38+BA36+BA33+BA34+BA35</f>
        <v>422498</v>
      </c>
      <c r="BB40" s="70">
        <f t="shared" si="35"/>
        <v>422498</v>
      </c>
      <c r="BC40" s="71">
        <f>BC38+BC36+BC33+BC34+BC35</f>
        <v>364410</v>
      </c>
      <c r="BD40" s="71">
        <f>BD38+BD36+BD33+BD34+BD35</f>
        <v>419470</v>
      </c>
      <c r="BE40" s="71">
        <f>BE38+BE36+BE33+BE34+BE35</f>
        <v>442496</v>
      </c>
      <c r="BF40" s="71">
        <f>BF38+BF36+BF33+BF34+BF35</f>
        <v>466117</v>
      </c>
      <c r="BG40" s="70">
        <f t="shared" si="36"/>
        <v>466117</v>
      </c>
      <c r="BH40" s="71">
        <f>BH38+BH36+BH33+BH34+BH35+BH37</f>
        <v>550557</v>
      </c>
      <c r="BI40" s="71">
        <f>BI38+BI36+BI33+BI34+BI35+BI37</f>
        <v>527801</v>
      </c>
      <c r="BJ40" s="71">
        <f>BJ38+BJ36+BJ33+BJ34+BJ35+BJ37</f>
        <v>535492</v>
      </c>
      <c r="BK40" s="71">
        <f>BK38+BK36+BK33+BK34+BK35+BK37</f>
        <v>574556</v>
      </c>
      <c r="BL40" s="70">
        <f>BK40</f>
        <v>574556</v>
      </c>
      <c r="BM40" s="71">
        <f>BM38+BM36+BM33+BM34+BM35+BM37</f>
        <v>506544</v>
      </c>
      <c r="BN40" s="71">
        <f>BN38+BN36+BN33+BN34+BN35+BN37</f>
        <v>553268</v>
      </c>
      <c r="BO40" s="71">
        <f>BO38+BO36+BO33+BO34+BO35+BO37</f>
        <v>588238</v>
      </c>
      <c r="BP40" s="71">
        <f>BP38+BP36+BP33+BP34+BP35+BP37</f>
        <v>621163</v>
      </c>
      <c r="BQ40" s="70">
        <f>BP40</f>
        <v>621163</v>
      </c>
      <c r="BR40" s="71">
        <f>BR38+BR36+BR33+BR34+BR35+BR37</f>
        <v>1170797</v>
      </c>
      <c r="BS40" s="71">
        <f>SUM(BS33:BS39)</f>
        <v>2533012</v>
      </c>
      <c r="BT40" s="71">
        <f>SUM(BT33:BT39)</f>
        <v>2482165</v>
      </c>
      <c r="BU40" s="71">
        <f>SUM(BU33:BU39)</f>
        <v>2408129</v>
      </c>
      <c r="BV40" s="70">
        <f>BU40</f>
        <v>2408129</v>
      </c>
      <c r="BW40" s="71">
        <f>SUM(BW33:BW39)</f>
        <v>2336072</v>
      </c>
      <c r="BX40" s="71">
        <f>SUM(BX33:BX39)</f>
        <v>2328719</v>
      </c>
      <c r="BY40" s="71">
        <f>SUM(BY33:BY39)</f>
        <v>2128075</v>
      </c>
      <c r="BZ40" s="71">
        <f>SUM(BZ33:BZ39)</f>
        <v>2063028</v>
      </c>
      <c r="CA40" s="70">
        <f>BZ40</f>
        <v>2063028</v>
      </c>
      <c r="CB40" s="71">
        <f>SUM(CB33:CB39)</f>
        <v>1869502</v>
      </c>
      <c r="CC40" s="71">
        <f>SUM(CC33:CC39)</f>
        <v>1867298</v>
      </c>
      <c r="CD40" s="71">
        <f>SUM(CD33:CD39)</f>
        <v>1784578</v>
      </c>
      <c r="CE40" s="71">
        <f>SUM(CE33:CE39)</f>
        <v>1738673</v>
      </c>
      <c r="CF40" s="70">
        <f>CE40</f>
        <v>1738673</v>
      </c>
      <c r="CG40" s="71">
        <f>SUM(CG33:CG39)</f>
        <v>1585620</v>
      </c>
      <c r="CH40" s="71">
        <f>SUM(CH33:CH39)</f>
        <v>1687371</v>
      </c>
      <c r="CI40" s="71">
        <f>SUM(CI33:CI39)</f>
        <v>1721396</v>
      </c>
      <c r="CJ40" s="71">
        <f>SUM(CJ33:CJ39)</f>
        <v>1791593</v>
      </c>
      <c r="CK40" s="70">
        <f>CJ40</f>
        <v>1791593</v>
      </c>
      <c r="CL40" s="71">
        <f>SUM(CL33:CL39)</f>
        <v>1679430</v>
      </c>
      <c r="CM40" s="71">
        <f>SUM(CM33:CM39)</f>
        <v>1791088</v>
      </c>
      <c r="CN40" s="71">
        <f>SUM(CN33:CN39)</f>
        <v>1854602</v>
      </c>
      <c r="CO40" s="71">
        <f>SUM(CO33:CO39)</f>
        <v>1936119</v>
      </c>
      <c r="CP40" s="70">
        <f>CO40</f>
        <v>1936119</v>
      </c>
      <c r="CQ40" s="71">
        <f>SUM(CQ33:CQ39)</f>
        <v>1854857.0225</v>
      </c>
      <c r="CR40" s="71">
        <f>SUM(CR33:CR39)</f>
        <v>1958051.8939999999</v>
      </c>
      <c r="CS40" s="71">
        <f>SUM(CS33:CS39)</f>
        <v>2000242.8660000002</v>
      </c>
      <c r="CT40" s="71">
        <f>SUM(CT33:CT39)</f>
        <v>2077460.7986648001</v>
      </c>
      <c r="CU40" s="70">
        <f>CT40</f>
        <v>2077460.7986648001</v>
      </c>
    </row>
    <row r="41" spans="2:99">
      <c r="B41" s="8"/>
      <c r="D41" s="13"/>
      <c r="E41" s="12"/>
      <c r="F41" s="12"/>
      <c r="G41" s="12"/>
      <c r="H41" s="12"/>
      <c r="I41" s="13"/>
      <c r="J41" s="12"/>
      <c r="K41" s="12"/>
      <c r="L41" s="12"/>
      <c r="M41" s="12"/>
      <c r="N41" s="13"/>
      <c r="O41" s="12"/>
      <c r="P41" s="12"/>
      <c r="Q41" s="12"/>
      <c r="R41" s="12"/>
      <c r="S41" s="13"/>
      <c r="T41" s="12"/>
      <c r="U41" s="12"/>
      <c r="V41" s="12"/>
      <c r="W41" s="12"/>
      <c r="X41" s="13"/>
      <c r="Y41" s="12"/>
      <c r="Z41" s="12"/>
      <c r="AA41" s="12"/>
      <c r="AB41" s="12"/>
      <c r="AC41" s="13"/>
      <c r="AD41" s="12"/>
      <c r="AE41" s="12"/>
      <c r="AF41" s="12"/>
      <c r="AG41" s="12"/>
      <c r="AH41" s="13"/>
      <c r="AI41" s="12"/>
      <c r="AJ41" s="12"/>
      <c r="AK41" s="12"/>
      <c r="AL41" s="12"/>
      <c r="AM41" s="13"/>
      <c r="AN41" s="12"/>
      <c r="AO41" s="12"/>
      <c r="AP41" s="12"/>
      <c r="AQ41" s="12"/>
      <c r="AR41" s="13"/>
      <c r="AS41" s="12"/>
      <c r="AT41" s="12"/>
      <c r="AU41" s="12"/>
      <c r="AV41" s="12"/>
      <c r="AW41" s="13"/>
      <c r="AX41" s="12"/>
      <c r="AY41" s="12"/>
      <c r="AZ41" s="12"/>
      <c r="BA41" s="12"/>
      <c r="BB41" s="13"/>
      <c r="BC41" s="12"/>
      <c r="BD41" s="12"/>
      <c r="BE41" s="12"/>
      <c r="BF41" s="12"/>
      <c r="BG41" s="13"/>
      <c r="BH41" s="12"/>
      <c r="BI41" s="12"/>
      <c r="BJ41" s="12"/>
      <c r="BK41" s="12"/>
      <c r="BL41" s="13"/>
      <c r="BM41" s="12"/>
      <c r="BN41" s="12"/>
      <c r="BO41" s="12"/>
      <c r="BP41" s="12"/>
      <c r="BQ41" s="13"/>
      <c r="BR41" s="12"/>
      <c r="BS41" s="12"/>
      <c r="BT41" s="12"/>
      <c r="BU41" s="12"/>
      <c r="BV41" s="13"/>
      <c r="BW41" s="12"/>
      <c r="BX41" s="12"/>
      <c r="BY41" s="12"/>
      <c r="BZ41" s="12"/>
      <c r="CA41" s="13"/>
      <c r="CB41" s="12"/>
      <c r="CC41" s="12"/>
      <c r="CD41" s="12"/>
      <c r="CE41" s="12"/>
      <c r="CF41" s="13"/>
      <c r="CG41" s="12"/>
      <c r="CH41" s="12"/>
      <c r="CI41" s="12"/>
      <c r="CJ41" s="12"/>
      <c r="CK41" s="13"/>
      <c r="CL41" s="12"/>
      <c r="CM41" s="12"/>
      <c r="CN41" s="12"/>
      <c r="CO41" s="12"/>
      <c r="CP41" s="13"/>
      <c r="CQ41" s="12"/>
      <c r="CR41" s="12"/>
      <c r="CS41" s="12"/>
      <c r="CT41" s="12"/>
      <c r="CU41" s="13"/>
    </row>
    <row r="42" spans="2:99" ht="13.15">
      <c r="B42" s="34" t="s">
        <v>80</v>
      </c>
      <c r="D42" s="13"/>
      <c r="E42" s="12"/>
      <c r="F42" s="12"/>
      <c r="G42" s="12"/>
      <c r="H42" s="12"/>
      <c r="I42" s="13"/>
      <c r="J42" s="12"/>
      <c r="K42" s="12"/>
      <c r="L42" s="12"/>
      <c r="M42" s="12"/>
      <c r="N42" s="13"/>
      <c r="O42" s="12"/>
      <c r="P42" s="12"/>
      <c r="Q42" s="12"/>
      <c r="R42" s="12"/>
      <c r="S42" s="13"/>
      <c r="T42" s="12"/>
      <c r="U42" s="12"/>
      <c r="V42" s="12"/>
      <c r="W42" s="12"/>
      <c r="X42" s="13"/>
      <c r="Y42" s="12"/>
      <c r="Z42" s="12"/>
      <c r="AA42" s="12"/>
      <c r="AB42" s="12"/>
      <c r="AC42" s="13"/>
      <c r="AD42" s="12"/>
      <c r="AE42" s="12"/>
      <c r="AF42" s="12"/>
      <c r="AG42" s="12"/>
      <c r="AH42" s="13"/>
      <c r="AI42" s="12"/>
      <c r="AJ42" s="12"/>
      <c r="AK42" s="12"/>
      <c r="AL42" s="12"/>
      <c r="AM42" s="13"/>
      <c r="AN42" s="12"/>
      <c r="AO42" s="12"/>
      <c r="AP42" s="12"/>
      <c r="AQ42" s="12"/>
      <c r="AR42" s="13"/>
      <c r="AS42" s="12"/>
      <c r="AT42" s="12"/>
      <c r="AU42" s="12"/>
      <c r="AV42" s="12"/>
      <c r="AW42" s="13"/>
      <c r="AX42" s="12"/>
      <c r="AY42" s="12"/>
      <c r="AZ42" s="12"/>
      <c r="BA42" s="12"/>
      <c r="BB42" s="13"/>
      <c r="BC42" s="12"/>
      <c r="BD42" s="12"/>
      <c r="BE42" s="12"/>
      <c r="BF42" s="12"/>
      <c r="BG42" s="13"/>
      <c r="BH42" s="12"/>
      <c r="BI42" s="12"/>
      <c r="BJ42" s="12"/>
      <c r="BK42" s="12"/>
      <c r="BL42" s="13"/>
      <c r="BM42" s="12"/>
      <c r="BN42" s="12"/>
      <c r="BO42" s="12"/>
      <c r="BP42" s="12"/>
      <c r="BQ42" s="13"/>
      <c r="BR42" s="12"/>
      <c r="BS42" s="12"/>
      <c r="BT42" s="12"/>
      <c r="BU42" s="12"/>
      <c r="BV42" s="13"/>
      <c r="BW42" s="12"/>
      <c r="BX42" s="12"/>
      <c r="BY42" s="12"/>
      <c r="BZ42" s="12"/>
      <c r="CA42" s="13"/>
      <c r="CB42" s="12"/>
      <c r="CC42" s="12"/>
      <c r="CD42" s="12"/>
      <c r="CE42" s="12"/>
      <c r="CF42" s="13"/>
      <c r="CG42" s="12"/>
      <c r="CH42" s="12"/>
      <c r="CI42" s="12"/>
      <c r="CJ42" s="12"/>
      <c r="CK42" s="13"/>
      <c r="CL42" s="12"/>
      <c r="CM42" s="12"/>
      <c r="CN42" s="12"/>
      <c r="CO42" s="12"/>
      <c r="CP42" s="13"/>
      <c r="CQ42" s="12"/>
      <c r="CR42" s="12"/>
      <c r="CS42" s="12"/>
      <c r="CT42" s="12"/>
      <c r="CU42" s="13"/>
    </row>
    <row r="43" spans="2:99" ht="13.15">
      <c r="B43" s="8"/>
      <c r="C43" s="27" t="s">
        <v>78</v>
      </c>
      <c r="D43" s="13">
        <v>137211</v>
      </c>
      <c r="E43" s="12">
        <v>132791</v>
      </c>
      <c r="F43" s="12">
        <v>142298</v>
      </c>
      <c r="G43" s="12">
        <v>135303</v>
      </c>
      <c r="H43" s="12">
        <v>114262</v>
      </c>
      <c r="I43" s="13">
        <f>H43</f>
        <v>114262</v>
      </c>
      <c r="J43" s="12">
        <v>113694</v>
      </c>
      <c r="K43" s="12">
        <v>122731</v>
      </c>
      <c r="L43" s="12">
        <v>124457</v>
      </c>
      <c r="M43" s="12">
        <v>134358</v>
      </c>
      <c r="N43" s="13">
        <f>M43</f>
        <v>134358</v>
      </c>
      <c r="O43" s="12">
        <v>138948</v>
      </c>
      <c r="P43" s="12">
        <v>137479</v>
      </c>
      <c r="Q43" s="12">
        <v>99916</v>
      </c>
      <c r="R43" s="12">
        <v>106972</v>
      </c>
      <c r="S43" s="13">
        <f>R43</f>
        <v>106972</v>
      </c>
      <c r="T43" s="12">
        <v>108398</v>
      </c>
      <c r="U43" s="12">
        <v>104450</v>
      </c>
      <c r="V43" s="12">
        <v>64712</v>
      </c>
      <c r="W43" s="12">
        <v>78110</v>
      </c>
      <c r="X43" s="13">
        <f>W43</f>
        <v>78110</v>
      </c>
      <c r="Y43" s="12">
        <v>87747</v>
      </c>
      <c r="Z43" s="12">
        <f>Z24-Z40</f>
        <v>99607</v>
      </c>
      <c r="AA43" s="12">
        <f>AA24-AA40</f>
        <v>118009</v>
      </c>
      <c r="AB43" s="12">
        <f>AB24-AB40</f>
        <v>145299</v>
      </c>
      <c r="AC43" s="13">
        <f t="shared" si="0"/>
        <v>145299</v>
      </c>
      <c r="AD43" s="12">
        <f>AD24-AD40</f>
        <v>160198</v>
      </c>
      <c r="AE43" s="12">
        <v>180155</v>
      </c>
      <c r="AF43" s="12">
        <f>AF24-AF40</f>
        <v>207628</v>
      </c>
      <c r="AG43" s="12">
        <f>AG24-AG40</f>
        <v>246319</v>
      </c>
      <c r="AH43" s="13">
        <f t="shared" si="1"/>
        <v>246319</v>
      </c>
      <c r="AI43" s="12">
        <f>AI24-AI40</f>
        <v>266704</v>
      </c>
      <c r="AJ43" s="12">
        <f>AJ24-AJ40</f>
        <v>266479</v>
      </c>
      <c r="AK43" s="12">
        <f>AK24-AK40</f>
        <v>295991</v>
      </c>
      <c r="AL43" s="12">
        <f>AL24-AL40</f>
        <v>336973</v>
      </c>
      <c r="AM43" s="13">
        <f>AL43</f>
        <v>336973</v>
      </c>
      <c r="AN43" s="12">
        <f>AN24-AN40</f>
        <v>366388</v>
      </c>
      <c r="AO43" s="12">
        <f>AO24-AO40</f>
        <v>400617</v>
      </c>
      <c r="AP43" s="12">
        <f>AP24-AP40</f>
        <v>431095</v>
      </c>
      <c r="AQ43" s="12">
        <f>AQ24-AQ40</f>
        <v>858821</v>
      </c>
      <c r="AR43" s="13">
        <f>AQ43</f>
        <v>858821</v>
      </c>
      <c r="AS43" s="12">
        <f>AS24-AS40</f>
        <v>791989</v>
      </c>
      <c r="AT43" s="12">
        <f>AT24-AT40</f>
        <v>829308</v>
      </c>
      <c r="AU43" s="12">
        <f>AU24-AU40</f>
        <v>882255</v>
      </c>
      <c r="AV43" s="12">
        <f>AV24-AV40</f>
        <v>915525</v>
      </c>
      <c r="AW43" s="13">
        <f>AV43</f>
        <v>915525</v>
      </c>
      <c r="AX43" s="12">
        <f>AX24-AX40</f>
        <v>966837</v>
      </c>
      <c r="AY43" s="12">
        <f>AY24-AY40</f>
        <v>1017602</v>
      </c>
      <c r="AZ43" s="12">
        <f>AZ24-AZ40</f>
        <v>1077778</v>
      </c>
      <c r="BA43" s="12">
        <f>BA24-BA40</f>
        <v>1167094</v>
      </c>
      <c r="BB43" s="13">
        <f>BA43</f>
        <v>1167094</v>
      </c>
      <c r="BC43" s="12">
        <f>BC24-BC40</f>
        <v>1261214</v>
      </c>
      <c r="BD43" s="12">
        <f>BD24-BD40</f>
        <v>1340289</v>
      </c>
      <c r="BE43" s="12">
        <f>BE24-BE40</f>
        <v>1422126</v>
      </c>
      <c r="BF43" s="12">
        <f>BF24-BF40</f>
        <v>1324846</v>
      </c>
      <c r="BG43" s="13">
        <f>BF43</f>
        <v>1324846</v>
      </c>
      <c r="BH43" s="12">
        <f>BH24-BH40</f>
        <v>1358745</v>
      </c>
      <c r="BI43" s="12">
        <f>BI24-BI40</f>
        <v>1421630</v>
      </c>
      <c r="BJ43" s="12">
        <f>BJ24-BJ40</f>
        <v>1519597</v>
      </c>
      <c r="BK43" s="12">
        <f>BK24-BK40</f>
        <v>1617058</v>
      </c>
      <c r="BL43" s="13">
        <f>BK43</f>
        <v>1617058</v>
      </c>
      <c r="BM43" s="12">
        <f>BM24-BM40</f>
        <v>1712832</v>
      </c>
      <c r="BN43" s="12">
        <f>BN24-BN40</f>
        <v>1829328</v>
      </c>
      <c r="BO43" s="12">
        <f>BO24-BO40</f>
        <v>1903925</v>
      </c>
      <c r="BP43" s="12">
        <f>BP24-BP40</f>
        <v>1986111</v>
      </c>
      <c r="BQ43" s="13">
        <f>BP43</f>
        <v>1986111</v>
      </c>
      <c r="BR43" s="12">
        <f>BR24-BR40</f>
        <v>2060993</v>
      </c>
      <c r="BS43" s="12">
        <f>BS24-BS40</f>
        <v>2107991</v>
      </c>
      <c r="BT43" s="12">
        <f>BT24-BT40</f>
        <v>2200773</v>
      </c>
      <c r="BU43" s="12">
        <f>BU24-BU40</f>
        <v>2324032</v>
      </c>
      <c r="BV43" s="13">
        <f>BU43</f>
        <v>2324032</v>
      </c>
      <c r="BW43" s="12">
        <f>BW24-BW40</f>
        <v>2387734</v>
      </c>
      <c r="BX43" s="12">
        <f>BX24-BX40</f>
        <v>2458327</v>
      </c>
      <c r="BY43" s="12">
        <f>BY24-BY40</f>
        <v>2547298</v>
      </c>
      <c r="BZ43" s="12">
        <f>BZ24-BZ40</f>
        <v>2624389</v>
      </c>
      <c r="CA43" s="13">
        <f>BZ43</f>
        <v>2624389</v>
      </c>
      <c r="CB43" s="12">
        <f>CB24-CB40</f>
        <v>2686133</v>
      </c>
      <c r="CC43" s="12">
        <f>CC24-CC40</f>
        <v>2768251</v>
      </c>
      <c r="CD43" s="12">
        <f>CD24-CD40</f>
        <v>2852851</v>
      </c>
      <c r="CE43" s="12">
        <f>CE24-CE40</f>
        <v>2937990</v>
      </c>
      <c r="CF43" s="13">
        <f>CE43</f>
        <v>2937990</v>
      </c>
      <c r="CG43" s="12">
        <f>CG24-CG40</f>
        <v>3023135</v>
      </c>
      <c r="CH43" s="12">
        <f>CH24-CH40</f>
        <v>3132107</v>
      </c>
      <c r="CI43" s="12">
        <f>CI24-CI40</f>
        <v>3275112</v>
      </c>
      <c r="CJ43" s="12">
        <f>CJ24-CJ40</f>
        <v>3388422</v>
      </c>
      <c r="CK43" s="13">
        <f>CJ43</f>
        <v>3388422</v>
      </c>
      <c r="CL43" s="12">
        <f>CL24-CL40</f>
        <v>3512704</v>
      </c>
      <c r="CM43" s="12">
        <f>CM24-CM40</f>
        <v>3634667</v>
      </c>
      <c r="CN43" s="12">
        <f>CN24-CN40</f>
        <v>3602767</v>
      </c>
      <c r="CO43" s="12">
        <f>CO24-CO40</f>
        <v>3702789</v>
      </c>
      <c r="CP43" s="13">
        <f>CO43</f>
        <v>3702789</v>
      </c>
      <c r="CQ43" s="12">
        <f>CQ24-CQ40</f>
        <v>3630022.7807873497</v>
      </c>
      <c r="CR43" s="12">
        <f>CR24-CR40</f>
        <v>3770931.6398335001</v>
      </c>
      <c r="CS43" s="12">
        <f>CS24-CS40</f>
        <v>3878556.6829859996</v>
      </c>
      <c r="CT43" s="12">
        <f>CT24-CT40</f>
        <v>4010671.7878895393</v>
      </c>
      <c r="CU43" s="13">
        <f>CT43</f>
        <v>4010671.7878895393</v>
      </c>
    </row>
    <row r="44" spans="2:99" s="27" customFormat="1" ht="13.5" thickBot="1">
      <c r="B44" s="69" t="s">
        <v>79</v>
      </c>
      <c r="C44" s="72"/>
      <c r="D44" s="73">
        <f t="shared" ref="D44:L44" si="65">D40+D43</f>
        <v>241508</v>
      </c>
      <c r="E44" s="74">
        <f t="shared" si="65"/>
        <v>247448</v>
      </c>
      <c r="F44" s="74">
        <f t="shared" si="65"/>
        <v>268288</v>
      </c>
      <c r="G44" s="74">
        <f t="shared" si="65"/>
        <v>264076</v>
      </c>
      <c r="H44" s="74">
        <f t="shared" si="65"/>
        <v>251761</v>
      </c>
      <c r="I44" s="73">
        <f t="shared" si="65"/>
        <v>251761</v>
      </c>
      <c r="J44" s="74">
        <f t="shared" si="65"/>
        <v>241001</v>
      </c>
      <c r="K44" s="74">
        <f t="shared" si="65"/>
        <v>261766</v>
      </c>
      <c r="L44" s="74">
        <f t="shared" si="65"/>
        <v>263629</v>
      </c>
      <c r="M44" s="74">
        <f>M40+M43</f>
        <v>270670</v>
      </c>
      <c r="N44" s="73">
        <f t="shared" ref="N44:Y44" si="66">N40+N43</f>
        <v>270670</v>
      </c>
      <c r="O44" s="74">
        <f t="shared" si="66"/>
        <v>253655</v>
      </c>
      <c r="P44" s="74">
        <f t="shared" si="66"/>
        <v>276999</v>
      </c>
      <c r="Q44" s="74">
        <f t="shared" si="66"/>
        <v>264760</v>
      </c>
      <c r="R44" s="74">
        <f t="shared" si="66"/>
        <v>264032</v>
      </c>
      <c r="S44" s="73">
        <f t="shared" si="66"/>
        <v>264032</v>
      </c>
      <c r="T44" s="74">
        <f t="shared" si="66"/>
        <v>252403</v>
      </c>
      <c r="U44" s="74">
        <f t="shared" si="66"/>
        <v>275154</v>
      </c>
      <c r="V44" s="74">
        <f t="shared" si="66"/>
        <v>261736</v>
      </c>
      <c r="W44" s="74">
        <f t="shared" si="66"/>
        <v>295391</v>
      </c>
      <c r="X44" s="73">
        <f t="shared" si="66"/>
        <v>295391</v>
      </c>
      <c r="Y44" s="74">
        <f t="shared" si="66"/>
        <v>277763</v>
      </c>
      <c r="Z44" s="74">
        <f>Z43+Z40</f>
        <v>320446</v>
      </c>
      <c r="AA44" s="74">
        <f t="shared" ref="AA44:AG44" si="67">AA43+AA40</f>
        <v>296094</v>
      </c>
      <c r="AB44" s="74">
        <f t="shared" si="67"/>
        <v>338315</v>
      </c>
      <c r="AC44" s="73">
        <f t="shared" si="0"/>
        <v>338315</v>
      </c>
      <c r="AD44" s="74">
        <f t="shared" si="67"/>
        <v>315374</v>
      </c>
      <c r="AE44" s="74">
        <f t="shared" si="67"/>
        <v>368928</v>
      </c>
      <c r="AF44" s="74">
        <f t="shared" si="67"/>
        <v>393415</v>
      </c>
      <c r="AG44" s="74">
        <f t="shared" si="67"/>
        <v>444488</v>
      </c>
      <c r="AH44" s="73">
        <f t="shared" si="1"/>
        <v>444488</v>
      </c>
      <c r="AI44" s="74">
        <f>AI43+AI40</f>
        <v>434241</v>
      </c>
      <c r="AJ44" s="74">
        <f>AJ43+AJ40</f>
        <v>486817</v>
      </c>
      <c r="AK44" s="74">
        <f>AK43+AK40</f>
        <v>522263</v>
      </c>
      <c r="AL44" s="74">
        <f>AL43+AL40</f>
        <v>573982</v>
      </c>
      <c r="AM44" s="73">
        <f>AL44</f>
        <v>573982</v>
      </c>
      <c r="AN44" s="74">
        <f>AN43+AN40</f>
        <v>568382</v>
      </c>
      <c r="AO44" s="74">
        <f>AO43+AO40</f>
        <v>646034</v>
      </c>
      <c r="AP44" s="74">
        <f>AP43+AP40</f>
        <v>678382</v>
      </c>
      <c r="AQ44" s="74">
        <f>AQ43+AQ40</f>
        <v>1356570</v>
      </c>
      <c r="AR44" s="73">
        <f>AQ44</f>
        <v>1356570</v>
      </c>
      <c r="AS44" s="74">
        <f>AS43+AS40</f>
        <v>1318009</v>
      </c>
      <c r="AT44" s="74">
        <f>AT43+AT40</f>
        <v>1413052</v>
      </c>
      <c r="AU44" s="74">
        <f>AU43+AU40</f>
        <v>1352766</v>
      </c>
      <c r="AV44" s="74">
        <f>AV43+AV40</f>
        <v>1357945</v>
      </c>
      <c r="AW44" s="73">
        <f>AV44</f>
        <v>1357945</v>
      </c>
      <c r="AX44" s="74">
        <f>AX43+AX40</f>
        <v>1355681</v>
      </c>
      <c r="AY44" s="74">
        <f>AY43+AY40</f>
        <v>1438509</v>
      </c>
      <c r="AZ44" s="74">
        <f>AZ43+AZ40</f>
        <v>1493118</v>
      </c>
      <c r="BA44" s="74">
        <f>BA43+BA40</f>
        <v>1589592</v>
      </c>
      <c r="BB44" s="73">
        <f>BA44</f>
        <v>1589592</v>
      </c>
      <c r="BC44" s="74">
        <f>BC43+BC40</f>
        <v>1625624</v>
      </c>
      <c r="BD44" s="74">
        <f>BD43+BD40</f>
        <v>1759759</v>
      </c>
      <c r="BE44" s="74">
        <f>BE43+BE40</f>
        <v>1864622</v>
      </c>
      <c r="BF44" s="74">
        <f>BF43+BF40</f>
        <v>1790963</v>
      </c>
      <c r="BG44" s="73">
        <f>BF44</f>
        <v>1790963</v>
      </c>
      <c r="BH44" s="74">
        <f>BH43+BH40</f>
        <v>1909302</v>
      </c>
      <c r="BI44" s="74">
        <f>BI43+BI40</f>
        <v>1949431</v>
      </c>
      <c r="BJ44" s="74">
        <f>BJ43+BJ40</f>
        <v>2055089</v>
      </c>
      <c r="BK44" s="74">
        <f>BK43+BK40</f>
        <v>2191614</v>
      </c>
      <c r="BL44" s="73">
        <f>BK44</f>
        <v>2191614</v>
      </c>
      <c r="BM44" s="74">
        <f>BM43+BM40</f>
        <v>2219376</v>
      </c>
      <c r="BN44" s="74">
        <f>BN43+BN40</f>
        <v>2382596</v>
      </c>
      <c r="BO44" s="74">
        <f>BO43+BO40</f>
        <v>2492163</v>
      </c>
      <c r="BP44" s="74">
        <f>BP43+BP40</f>
        <v>2607274</v>
      </c>
      <c r="BQ44" s="73">
        <f>BP44</f>
        <v>2607274</v>
      </c>
      <c r="BR44" s="74">
        <f>BR43+BR40</f>
        <v>3231790</v>
      </c>
      <c r="BS44" s="74">
        <f>BS43+BS40</f>
        <v>4641003</v>
      </c>
      <c r="BT44" s="74">
        <f>BT43+BT40</f>
        <v>4682938</v>
      </c>
      <c r="BU44" s="74">
        <f>BU43+BU40</f>
        <v>4732161</v>
      </c>
      <c r="BV44" s="73">
        <f>BU44</f>
        <v>4732161</v>
      </c>
      <c r="BW44" s="74">
        <f>BW43+BW40</f>
        <v>4723806</v>
      </c>
      <c r="BX44" s="74">
        <f>BX43+BX40</f>
        <v>4787046</v>
      </c>
      <c r="BY44" s="74">
        <f>BY43+BY40</f>
        <v>4675373</v>
      </c>
      <c r="BZ44" s="74">
        <f>BZ43+BZ40</f>
        <v>4687417</v>
      </c>
      <c r="CA44" s="73">
        <f>BZ44</f>
        <v>4687417</v>
      </c>
      <c r="CB44" s="74">
        <f>CB43+CB40</f>
        <v>4555635</v>
      </c>
      <c r="CC44" s="74">
        <f>CC43+CC40</f>
        <v>4635549</v>
      </c>
      <c r="CD44" s="74">
        <f>CD43+CD40</f>
        <v>4637429</v>
      </c>
      <c r="CE44" s="74">
        <f>CE43+CE40</f>
        <v>4676663</v>
      </c>
      <c r="CF44" s="73">
        <f>CE44</f>
        <v>4676663</v>
      </c>
      <c r="CG44" s="74">
        <f>CG43+CG40</f>
        <v>4608755</v>
      </c>
      <c r="CH44" s="74">
        <f>CH43+CH40</f>
        <v>4819478</v>
      </c>
      <c r="CI44" s="74">
        <f>CI43+CI40</f>
        <v>4996508</v>
      </c>
      <c r="CJ44" s="74">
        <f>CJ43+CJ40</f>
        <v>5180015</v>
      </c>
      <c r="CK44" s="73">
        <f>CJ44</f>
        <v>5180015</v>
      </c>
      <c r="CL44" s="74">
        <f>CL43+CL40</f>
        <v>5192134</v>
      </c>
      <c r="CM44" s="74">
        <f>CM43+CM40</f>
        <v>5425755</v>
      </c>
      <c r="CN44" s="74">
        <f>CN43+CN40</f>
        <v>5457369</v>
      </c>
      <c r="CO44" s="74">
        <f>CO43+CO40</f>
        <v>5638908</v>
      </c>
      <c r="CP44" s="73">
        <f>CO44</f>
        <v>5638908</v>
      </c>
      <c r="CQ44" s="74">
        <f>CQ43+CQ40</f>
        <v>5484879.8032873496</v>
      </c>
      <c r="CR44" s="74">
        <f>CR43+CR40</f>
        <v>5728983.5338335</v>
      </c>
      <c r="CS44" s="74">
        <f>CS43+CS40</f>
        <v>5878799.548986</v>
      </c>
      <c r="CT44" s="74">
        <f>CT43+CT40</f>
        <v>6088132.5865543392</v>
      </c>
      <c r="CU44" s="73">
        <f>CT44</f>
        <v>6088132.5865543392</v>
      </c>
    </row>
    <row r="45" spans="2:99" s="27" customFormat="1" ht="13.15">
      <c r="B45" s="207" t="s">
        <v>900</v>
      </c>
      <c r="C45" s="43"/>
      <c r="D45" s="71"/>
      <c r="E45" s="71"/>
      <c r="F45" s="71"/>
      <c r="G45" s="71"/>
      <c r="H45" s="71"/>
      <c r="I45" s="71"/>
      <c r="J45" s="71"/>
      <c r="K45" s="71"/>
      <c r="L45" s="71"/>
      <c r="M45" s="71"/>
      <c r="N45" s="71"/>
      <c r="O45" s="71"/>
      <c r="P45" s="71"/>
      <c r="Q45" s="71"/>
      <c r="R45" s="71"/>
      <c r="S45" s="71"/>
      <c r="T45" s="71"/>
      <c r="U45" s="71"/>
      <c r="V45" s="71"/>
      <c r="W45" s="71"/>
      <c r="X45" s="71"/>
      <c r="Y45" s="71"/>
      <c r="Z45" s="71"/>
      <c r="AA45" s="71"/>
      <c r="AB45" s="71"/>
      <c r="AC45" s="71"/>
      <c r="AD45" s="71"/>
      <c r="AE45" s="71"/>
      <c r="AF45" s="71"/>
      <c r="AG45" s="71"/>
      <c r="AH45" s="71"/>
      <c r="AI45" s="71"/>
      <c r="AJ45" s="71"/>
      <c r="AK45" s="71"/>
      <c r="AL45" s="71"/>
      <c r="AM45" s="71"/>
      <c r="AN45" s="71"/>
      <c r="AO45" s="71"/>
      <c r="AP45" s="71"/>
      <c r="AQ45" s="71"/>
      <c r="AR45" s="208"/>
      <c r="AS45" s="71"/>
      <c r="AT45" s="71"/>
      <c r="AU45" s="71"/>
      <c r="AV45" s="71"/>
      <c r="AW45" s="208"/>
      <c r="BB45" s="208"/>
      <c r="BG45" s="208"/>
      <c r="BL45" s="208"/>
      <c r="BQ45" s="208"/>
      <c r="BV45" s="208"/>
      <c r="CA45" s="208"/>
      <c r="CF45" s="208"/>
      <c r="CK45" s="208"/>
      <c r="CP45" s="208"/>
      <c r="CU45" s="208" t="s">
        <v>501</v>
      </c>
    </row>
    <row r="46" spans="2:99" s="27" customFormat="1" ht="13.15">
      <c r="B46" s="207" t="s">
        <v>901</v>
      </c>
      <c r="C46" s="43"/>
      <c r="D46" s="71"/>
      <c r="E46" s="71"/>
      <c r="F46" s="71"/>
      <c r="G46" s="71"/>
      <c r="H46" s="71"/>
      <c r="I46" s="71"/>
      <c r="J46" s="71"/>
      <c r="K46" s="71"/>
      <c r="L46" s="71"/>
      <c r="M46" s="71"/>
      <c r="N46" s="71"/>
      <c r="O46" s="71"/>
      <c r="P46" s="71"/>
      <c r="Q46" s="71"/>
      <c r="R46" s="71"/>
      <c r="S46" s="71"/>
      <c r="T46" s="71"/>
      <c r="U46" s="71"/>
      <c r="V46" s="71"/>
      <c r="W46" s="71"/>
      <c r="X46" s="71"/>
      <c r="Y46" s="71"/>
      <c r="Z46" s="71"/>
      <c r="AA46" s="71"/>
      <c r="AB46" s="71"/>
      <c r="AC46" s="71"/>
      <c r="AD46" s="71"/>
      <c r="AE46" s="71"/>
      <c r="AF46" s="71"/>
      <c r="AG46" s="71"/>
      <c r="AH46" s="71"/>
      <c r="AI46" s="71"/>
      <c r="AJ46" s="71"/>
      <c r="AK46" s="71"/>
      <c r="AL46" s="71"/>
      <c r="AM46" s="71"/>
      <c r="AN46" s="71"/>
      <c r="AO46" s="71"/>
      <c r="AP46" s="71"/>
      <c r="AQ46" s="71"/>
      <c r="AR46" s="209"/>
      <c r="AS46" s="71"/>
      <c r="AT46" s="71"/>
      <c r="AU46" s="71"/>
      <c r="AV46" s="71"/>
      <c r="AW46" s="209"/>
      <c r="BB46" s="209"/>
      <c r="BG46" s="209"/>
      <c r="BL46" s="209"/>
      <c r="BQ46" s="209"/>
      <c r="BV46" s="209"/>
      <c r="CA46" s="209"/>
      <c r="CF46" s="209"/>
      <c r="CK46" s="209"/>
      <c r="CP46" s="209"/>
      <c r="CU46" s="209" t="s">
        <v>385</v>
      </c>
    </row>
    <row r="47" spans="2:99">
      <c r="C47" s="7" t="s">
        <v>81</v>
      </c>
      <c r="D47" s="75">
        <f t="shared" ref="D47:AI47" si="68">D24-D44</f>
        <v>0</v>
      </c>
      <c r="E47" s="75">
        <f t="shared" si="68"/>
        <v>0</v>
      </c>
      <c r="F47" s="75">
        <f t="shared" si="68"/>
        <v>0</v>
      </c>
      <c r="G47" s="75">
        <f t="shared" si="68"/>
        <v>0</v>
      </c>
      <c r="H47" s="75">
        <f t="shared" si="68"/>
        <v>0</v>
      </c>
      <c r="I47" s="75">
        <f t="shared" si="68"/>
        <v>0</v>
      </c>
      <c r="J47" s="75">
        <f t="shared" si="68"/>
        <v>0</v>
      </c>
      <c r="K47" s="75">
        <f t="shared" si="68"/>
        <v>0</v>
      </c>
      <c r="L47" s="75">
        <f t="shared" si="68"/>
        <v>0</v>
      </c>
      <c r="M47" s="75">
        <f t="shared" si="68"/>
        <v>0</v>
      </c>
      <c r="N47" s="75">
        <f t="shared" si="68"/>
        <v>0</v>
      </c>
      <c r="O47" s="75">
        <f t="shared" si="68"/>
        <v>0</v>
      </c>
      <c r="P47" s="75">
        <f t="shared" si="68"/>
        <v>0</v>
      </c>
      <c r="Q47" s="75">
        <f t="shared" si="68"/>
        <v>0</v>
      </c>
      <c r="R47" s="75">
        <f t="shared" si="68"/>
        <v>0</v>
      </c>
      <c r="S47" s="75">
        <f t="shared" si="68"/>
        <v>0</v>
      </c>
      <c r="T47" s="75">
        <f t="shared" si="68"/>
        <v>0</v>
      </c>
      <c r="U47" s="75">
        <f t="shared" si="68"/>
        <v>0</v>
      </c>
      <c r="V47" s="75">
        <f t="shared" si="68"/>
        <v>0</v>
      </c>
      <c r="W47" s="75">
        <f t="shared" si="68"/>
        <v>0</v>
      </c>
      <c r="X47" s="75">
        <f t="shared" si="68"/>
        <v>0</v>
      </c>
      <c r="Y47" s="75">
        <f t="shared" si="68"/>
        <v>0</v>
      </c>
      <c r="Z47" s="75">
        <f t="shared" si="68"/>
        <v>0</v>
      </c>
      <c r="AA47" s="75">
        <f t="shared" si="68"/>
        <v>0</v>
      </c>
      <c r="AB47" s="75">
        <f t="shared" si="68"/>
        <v>0</v>
      </c>
      <c r="AC47" s="75">
        <f t="shared" si="68"/>
        <v>0</v>
      </c>
      <c r="AD47" s="75">
        <f t="shared" si="68"/>
        <v>0</v>
      </c>
      <c r="AE47" s="75">
        <f t="shared" si="68"/>
        <v>0</v>
      </c>
      <c r="AF47" s="75">
        <f t="shared" si="68"/>
        <v>0</v>
      </c>
      <c r="AG47" s="75">
        <f t="shared" si="68"/>
        <v>0</v>
      </c>
      <c r="AH47" s="75">
        <f t="shared" si="68"/>
        <v>0</v>
      </c>
      <c r="AI47" s="75">
        <f t="shared" si="68"/>
        <v>0</v>
      </c>
      <c r="AJ47" s="75">
        <f t="shared" ref="AJ47:BP47" si="69">AJ24-AJ44</f>
        <v>0</v>
      </c>
      <c r="AK47" s="75">
        <f t="shared" si="69"/>
        <v>0</v>
      </c>
      <c r="AL47" s="75">
        <f t="shared" si="69"/>
        <v>0</v>
      </c>
      <c r="AM47" s="75">
        <f t="shared" si="69"/>
        <v>0</v>
      </c>
      <c r="AN47" s="75">
        <f t="shared" si="69"/>
        <v>0</v>
      </c>
      <c r="AO47" s="75">
        <f t="shared" si="69"/>
        <v>0</v>
      </c>
      <c r="AP47" s="75">
        <f t="shared" si="69"/>
        <v>0</v>
      </c>
      <c r="AQ47" s="75">
        <f t="shared" si="69"/>
        <v>0</v>
      </c>
      <c r="AR47" s="75">
        <f t="shared" si="69"/>
        <v>0</v>
      </c>
      <c r="AS47" s="75">
        <f t="shared" si="69"/>
        <v>0</v>
      </c>
      <c r="AT47" s="75">
        <f t="shared" si="69"/>
        <v>0</v>
      </c>
      <c r="AU47" s="75">
        <f t="shared" si="69"/>
        <v>0</v>
      </c>
      <c r="AV47" s="75">
        <f t="shared" si="69"/>
        <v>0</v>
      </c>
      <c r="AW47" s="75">
        <f t="shared" si="69"/>
        <v>0</v>
      </c>
      <c r="AX47" s="75">
        <f t="shared" si="69"/>
        <v>0</v>
      </c>
      <c r="AY47" s="75">
        <f t="shared" si="69"/>
        <v>0</v>
      </c>
      <c r="AZ47" s="75">
        <f t="shared" si="69"/>
        <v>0</v>
      </c>
      <c r="BA47" s="75">
        <f t="shared" si="69"/>
        <v>0</v>
      </c>
      <c r="BB47" s="75">
        <f t="shared" si="69"/>
        <v>0</v>
      </c>
      <c r="BC47" s="75">
        <f t="shared" si="69"/>
        <v>0</v>
      </c>
      <c r="BD47" s="75">
        <f t="shared" si="69"/>
        <v>0</v>
      </c>
      <c r="BE47" s="75">
        <f t="shared" si="69"/>
        <v>0</v>
      </c>
      <c r="BF47" s="75">
        <f t="shared" si="69"/>
        <v>0</v>
      </c>
      <c r="BG47" s="75">
        <f t="shared" si="69"/>
        <v>0</v>
      </c>
      <c r="BH47" s="75">
        <f t="shared" si="69"/>
        <v>0</v>
      </c>
      <c r="BI47" s="75">
        <f t="shared" si="69"/>
        <v>0</v>
      </c>
      <c r="BJ47" s="75">
        <f t="shared" si="69"/>
        <v>0</v>
      </c>
      <c r="BK47" s="75">
        <f t="shared" si="69"/>
        <v>0</v>
      </c>
      <c r="BL47" s="75">
        <f t="shared" si="69"/>
        <v>0</v>
      </c>
      <c r="BM47" s="75">
        <f t="shared" si="69"/>
        <v>0</v>
      </c>
      <c r="BN47" s="75">
        <f t="shared" si="69"/>
        <v>0</v>
      </c>
      <c r="BO47" s="75">
        <f t="shared" si="69"/>
        <v>0</v>
      </c>
      <c r="BP47" s="75">
        <f t="shared" si="69"/>
        <v>0</v>
      </c>
      <c r="BR47" s="75">
        <f>BR24-BR44</f>
        <v>0</v>
      </c>
      <c r="BS47" s="75">
        <f>BS24-BS44</f>
        <v>0</v>
      </c>
      <c r="BT47" s="75">
        <f>BT24-BT44</f>
        <v>0</v>
      </c>
      <c r="BU47" s="75">
        <f>BU24-BU44</f>
        <v>0</v>
      </c>
      <c r="BW47" s="75">
        <f>BW24-BW44</f>
        <v>0</v>
      </c>
      <c r="BX47" s="75">
        <f>BX24-BX44</f>
        <v>0</v>
      </c>
      <c r="BY47" s="75">
        <f>BY24-BY44</f>
        <v>0</v>
      </c>
      <c r="BZ47" s="75">
        <f>BZ24-BZ44</f>
        <v>0</v>
      </c>
      <c r="CB47" s="75">
        <f>CB24-CB44</f>
        <v>0</v>
      </c>
      <c r="CC47" s="75">
        <f>CC24-CC44</f>
        <v>0</v>
      </c>
      <c r="CD47" s="75">
        <f>CD24-CD44</f>
        <v>0</v>
      </c>
      <c r="CE47" s="75">
        <f>CE24-CE44</f>
        <v>0</v>
      </c>
      <c r="CG47" s="75">
        <f>CG24-CG44</f>
        <v>0</v>
      </c>
      <c r="CH47" s="75">
        <f>CH24-CH44</f>
        <v>0</v>
      </c>
      <c r="CI47" s="75">
        <f>CI24-CI44</f>
        <v>0</v>
      </c>
      <c r="CJ47" s="75">
        <f>CJ24-CJ44</f>
        <v>0</v>
      </c>
      <c r="CL47" s="75">
        <f>CL24-CL44</f>
        <v>0</v>
      </c>
      <c r="CM47" s="75">
        <f>CM24-CM44</f>
        <v>0</v>
      </c>
      <c r="CN47" s="75">
        <f>CN24-CN44</f>
        <v>0</v>
      </c>
      <c r="CO47" s="75">
        <f>CO24-CO44</f>
        <v>0</v>
      </c>
      <c r="CQ47" s="75">
        <f>CQ24-CQ44</f>
        <v>0</v>
      </c>
      <c r="CR47" s="75">
        <f>CR24-CR44</f>
        <v>0</v>
      </c>
      <c r="CS47" s="75">
        <f>CS24-CS44</f>
        <v>0</v>
      </c>
      <c r="CT47" s="75">
        <f>CT24-CT44</f>
        <v>0</v>
      </c>
    </row>
    <row r="48" spans="2:99">
      <c r="D48" s="75"/>
      <c r="E48" s="75"/>
      <c r="F48" s="75"/>
      <c r="G48" s="75"/>
      <c r="H48" s="75"/>
      <c r="I48" s="75"/>
      <c r="J48" s="75"/>
      <c r="K48" s="75"/>
      <c r="L48" s="75"/>
      <c r="M48" s="75"/>
      <c r="N48" s="75"/>
      <c r="O48" s="75"/>
      <c r="P48" s="75"/>
      <c r="Q48" s="75"/>
      <c r="R48" s="75"/>
      <c r="S48" s="75"/>
      <c r="T48" s="75"/>
      <c r="U48" s="75"/>
      <c r="V48" s="75"/>
      <c r="W48" s="75"/>
      <c r="X48" s="75"/>
      <c r="Y48" s="75"/>
      <c r="Z48" s="75"/>
      <c r="AA48" s="75"/>
      <c r="AB48" s="75"/>
      <c r="AC48" s="75"/>
      <c r="AD48" s="75"/>
      <c r="AE48" s="75"/>
      <c r="AF48" s="75"/>
      <c r="AG48" s="75"/>
      <c r="AH48" s="75"/>
      <c r="AI48" s="75"/>
      <c r="AJ48" s="75"/>
      <c r="AK48" s="75"/>
      <c r="AL48" s="75"/>
      <c r="AM48" s="75"/>
      <c r="AN48" s="75"/>
      <c r="AO48" s="75"/>
      <c r="AP48" s="75"/>
      <c r="AQ48" s="75"/>
      <c r="AR48" s="75"/>
      <c r="AS48" s="279"/>
    </row>
    <row r="49" spans="2:98">
      <c r="C49" s="7" t="s">
        <v>124</v>
      </c>
      <c r="D49" s="75"/>
      <c r="E49" s="75"/>
      <c r="F49" s="75"/>
      <c r="G49" s="75"/>
      <c r="H49" s="75"/>
      <c r="I49" s="75"/>
      <c r="J49" s="116">
        <f>J7/'Income Statement'!J23*365/4</f>
        <v>86.043772011787539</v>
      </c>
      <c r="K49" s="116">
        <f>K7/'Income Statement'!K23*365/4</f>
        <v>105.17165590533726</v>
      </c>
      <c r="L49" s="116">
        <f>L7/'Income Statement'!L23*365/4</f>
        <v>105.09856118495398</v>
      </c>
      <c r="M49" s="116">
        <f>M7/'Income Statement'!M23*365/4</f>
        <v>99.890944797014157</v>
      </c>
      <c r="N49" s="117"/>
      <c r="O49" s="116">
        <f>O7/'Income Statement'!O23*365/4</f>
        <v>82.436049842452022</v>
      </c>
      <c r="P49" s="116">
        <f>P7/'Income Statement'!P23*365/4</f>
        <v>112.49516184573002</v>
      </c>
      <c r="Q49" s="116">
        <f>Q7/'Income Statement'!Q23*365/4</f>
        <v>95.418587075871969</v>
      </c>
      <c r="R49" s="116">
        <f>R7/'Income Statement'!R23*365/4</f>
        <v>103.11745054459614</v>
      </c>
      <c r="S49" s="117"/>
      <c r="T49" s="116">
        <f>((T7+R7)/2)/'Income Statement'!T23*91</f>
        <v>91.95968280353712</v>
      </c>
      <c r="U49" s="116">
        <f>((U7+T7)/2)/'Income Statement'!U23*91</f>
        <v>93.069394669968077</v>
      </c>
      <c r="V49" s="116">
        <f>((V7+U7)/2)/'Income Statement'!V23*91</f>
        <v>97.822877798507477</v>
      </c>
      <c r="W49" s="116">
        <f>((W7+V7)/2)/'Income Statement'!W23*91</f>
        <v>91.726190621230771</v>
      </c>
      <c r="X49" s="117"/>
      <c r="Y49" s="116">
        <f>((Y7+W7)/2)/'Income Statement'!Y23*91</f>
        <v>81.899229960228723</v>
      </c>
      <c r="Z49" s="116">
        <f>((Z7+Y7)/2)/'Income Statement'!Z23*91</f>
        <v>79.353099553454157</v>
      </c>
      <c r="AA49" s="116">
        <f>((AA7+Z7)/2)/'Income Statement'!AA23*91</f>
        <v>86.630603654962968</v>
      </c>
      <c r="AB49" s="116">
        <f>((AB7+AA7)/2)/'Income Statement'!AB23*91</f>
        <v>85.183683206106863</v>
      </c>
      <c r="AC49" s="117"/>
      <c r="AD49" s="116">
        <f>((AD7+AB7)/2)/'Income Statement'!AD23*91</f>
        <v>83.851485923652646</v>
      </c>
      <c r="AE49" s="116">
        <f>((AE7+AD7)/2)/'Income Statement'!AE23*91</f>
        <v>87.160076827564794</v>
      </c>
      <c r="AF49" s="116">
        <f>((AF7+AE7)/2)/'Income Statement'!AF23*91</f>
        <v>90.02938208389007</v>
      </c>
      <c r="AG49" s="116">
        <f>((AG7+AF7)/2)/'Income Statement'!AG23*91</f>
        <v>80.975495552445025</v>
      </c>
      <c r="AH49" s="75"/>
      <c r="AI49" s="116">
        <f>((AI7+AG7)/2)/'Income Statement'!AI23*91</f>
        <v>76.315699749613771</v>
      </c>
      <c r="AJ49" s="116">
        <f>((AJ7+AI7)/2)/'Income Statement'!AJ23*91</f>
        <v>82.887843629141841</v>
      </c>
      <c r="AK49" s="116">
        <f>((AK7+AJ7)/2)/'Income Statement'!AK23*91</f>
        <v>90.543458154573159</v>
      </c>
      <c r="AL49" s="116">
        <f>((AL7+AK7)/2)/'Income Statement'!AL23*91</f>
        <v>80.140195386064022</v>
      </c>
      <c r="AM49" s="75"/>
      <c r="AN49" s="116">
        <f>((AN7+AL7)/2)/'Income Statement'!AN23*91</f>
        <v>73.644288191099974</v>
      </c>
      <c r="AO49" s="116">
        <f>((AO7+AN7)/2)/'Income Statement'!AO23*91</f>
        <v>80.232024334392833</v>
      </c>
      <c r="AP49" s="116">
        <f>((AP7+AO7)/2)/'Income Statement'!AP23*91</f>
        <v>84.881653352779338</v>
      </c>
      <c r="AQ49" s="116">
        <f>((AQ7+AP7)/2)/'Income Statement'!AQ23*91</f>
        <v>85.755148360357467</v>
      </c>
      <c r="AR49" s="75"/>
      <c r="AS49" s="402">
        <f>((AS7+AQ7)/2)/'Income Statement'!AS23*91</f>
        <v>77.156280407377778</v>
      </c>
      <c r="AT49" s="116">
        <f>((AT7+AS7)/2)/'Income Statement'!AT23*91</f>
        <v>81.446007463264337</v>
      </c>
      <c r="AU49" s="116">
        <f>((AU7+AT7)/2)/'Income Statement'!AU23*91</f>
        <v>91.551732682028955</v>
      </c>
      <c r="AV49" s="116">
        <f>((AV7+AU7)/2)/'Income Statement'!AV23*91</f>
        <v>90.685323701911244</v>
      </c>
      <c r="AX49" s="402">
        <f>((AX7+AV7)/2)/'Income Statement'!AX23*91</f>
        <v>82.882228293229659</v>
      </c>
      <c r="AY49" s="116">
        <f>((AY7+AX7)/2)/'Income Statement'!AY23*91</f>
        <v>86.37608515027361</v>
      </c>
      <c r="AZ49" s="116">
        <f>((AZ7+AY7)/2)/'Income Statement'!AZ23*91</f>
        <v>93.431739953733057</v>
      </c>
      <c r="BA49" s="116">
        <f>((BA7+AZ7)/2)/'Income Statement'!BA23*91</f>
        <v>90.457344808928596</v>
      </c>
      <c r="BC49" s="402">
        <f>((BC7+BA7)/2)/'Income Statement'!BC23*91</f>
        <v>91.179422725116879</v>
      </c>
      <c r="BD49" s="116">
        <f>((BD7+BC7)/2)/'Income Statement'!BD23*91</f>
        <v>98.718206560604401</v>
      </c>
      <c r="BE49" s="116">
        <f>((BE7+BD7)/2)/'Income Statement'!BE23*91</f>
        <v>111.23260708512932</v>
      </c>
      <c r="BF49" s="116">
        <f>((BF7+BE7)/2)/'Income Statement'!BF23*91</f>
        <v>108.66751634551686</v>
      </c>
      <c r="BH49" s="402">
        <f>((BH7+BF7)/2)/'Income Statement'!BH23*91</f>
        <v>109.35744463605921</v>
      </c>
      <c r="BI49" s="116">
        <f>((BI7+BH7)/2)/'Income Statement'!BI23*91</f>
        <v>111.36133224932638</v>
      </c>
      <c r="BJ49" s="116">
        <f>((BJ7+BI7)/2)/'Income Statement'!BJ23*91</f>
        <v>119.72396071965858</v>
      </c>
      <c r="BK49" s="116">
        <f>((BK7+BJ7)/2)/'Income Statement'!BK23*91</f>
        <v>114.30540314864747</v>
      </c>
      <c r="BM49" s="402">
        <f>((BM7+BK7)/2)/'Income Statement'!BM23*91</f>
        <v>113.79652250885179</v>
      </c>
      <c r="BN49" s="116">
        <f>((BN7+BM7)/2)/'Income Statement'!BN23*91</f>
        <v>121.38883974805495</v>
      </c>
      <c r="BO49" s="116">
        <f>((BO7+BN7)/2)/'Income Statement'!BO23*91</f>
        <v>122.27207042110675</v>
      </c>
      <c r="BP49" s="116">
        <f>((BP7+BO7)/2)/'Income Statement'!BP23*91</f>
        <v>119.6044677637893</v>
      </c>
      <c r="BR49" s="402">
        <f>((BR7+BP7)/2)/'Income Statement'!BR23*91</f>
        <v>110.06711793000048</v>
      </c>
      <c r="BS49" s="116">
        <f>((BS7+BR7)/2)/'Income Statement'!BS23*91</f>
        <v>102.70199796232019</v>
      </c>
      <c r="BT49" s="116">
        <f>((BT7+BS7)/2)/'Income Statement'!BT23*91</f>
        <v>110.85725559241376</v>
      </c>
      <c r="BU49" s="116">
        <f>((BU7+BT7)/2)/'Income Statement'!BU23*91</f>
        <v>110.99784188900354</v>
      </c>
      <c r="BW49" s="116">
        <f>((BW7+BV7)/2)/'Income Statement'!BW23*91</f>
        <v>101.97756781288642</v>
      </c>
      <c r="BX49" s="116">
        <f>((BX7+BW7)/2)/'Income Statement'!BX23*91</f>
        <v>106.66776192965425</v>
      </c>
      <c r="BY49" s="116">
        <f>((BY7+BX7)/2)/'Income Statement'!BY23*91</f>
        <v>111.47712023263334</v>
      </c>
      <c r="BZ49" s="116">
        <f>((BZ7+BY7)/2)/'Income Statement'!BZ23*91</f>
        <v>114.60391734111715</v>
      </c>
      <c r="CB49" s="116">
        <f>((CB7+CA7)/2)/'Income Statement'!CB23*91</f>
        <v>104.7153880551782</v>
      </c>
      <c r="CC49" s="116">
        <f>((CC7+CB7)/2)/'Income Statement'!CC23*91</f>
        <v>103.52822445511315</v>
      </c>
      <c r="CD49" s="116">
        <f>((CD7+CC7)/2)/'Income Statement'!CD23*91</f>
        <v>116.10730183308941</v>
      </c>
      <c r="CE49" s="116">
        <f>((CE7+CD7)/2)/'Income Statement'!CE23*91</f>
        <v>117.62696310312205</v>
      </c>
      <c r="CG49" s="116">
        <f>((CG7+CF7)/2)/'Income Statement'!CG23*91</f>
        <v>103.20419373915554</v>
      </c>
      <c r="CH49" s="116">
        <f>((CH7+CG7)/2)/'Income Statement'!CH23*91</f>
        <v>104.56767583035106</v>
      </c>
      <c r="CI49" s="116">
        <f>((CI7+CH7)/2)/'Income Statement'!CI23*91</f>
        <v>110.56701733914679</v>
      </c>
      <c r="CJ49" s="116">
        <f>((CJ7+CI7)/2)/'Income Statement'!CJ23*91</f>
        <v>101.50030399293333</v>
      </c>
      <c r="CL49" s="116">
        <f>((CL7+CK7)/2)/'Income Statement'!CL23*91</f>
        <v>92.382876682030911</v>
      </c>
      <c r="CM49" s="116">
        <f>((CM7+CL7)/2)/'Income Statement'!CM23*91</f>
        <v>97.262807469003562</v>
      </c>
      <c r="CN49" s="116">
        <f>((CN7+CM7)/2)/'Income Statement'!CN23*91</f>
        <v>105.09877760417803</v>
      </c>
      <c r="CO49" s="116">
        <f>((CO7+CN7)/2)/'Income Statement'!CO23*91</f>
        <v>100.28783578332173</v>
      </c>
      <c r="CQ49" s="116">
        <f>((CQ7+CP7)/2)/'Income Statement'!CQ23*91</f>
        <v>100.08839457286413</v>
      </c>
      <c r="CR49" s="116">
        <f>((CR7+CQ7)/2)/'Income Statement'!CR23*91</f>
        <v>101.39038339214362</v>
      </c>
      <c r="CS49" s="116">
        <f>((CS7+CR7)/2)/'Income Statement'!CS23*91</f>
        <v>103.35657529910247</v>
      </c>
      <c r="CT49" s="116">
        <f>((CT7+CS7)/2)/'Income Statement'!CT23*91</f>
        <v>99.159778729813738</v>
      </c>
    </row>
    <row r="50" spans="2:98">
      <c r="D50" s="75"/>
      <c r="E50" s="75"/>
      <c r="F50" s="75"/>
      <c r="G50" s="75"/>
      <c r="H50" s="75"/>
      <c r="I50" s="75"/>
      <c r="J50" s="116"/>
      <c r="K50" s="116"/>
      <c r="L50" s="116"/>
      <c r="M50" s="116"/>
      <c r="N50" s="117"/>
      <c r="O50" s="116"/>
      <c r="P50" s="116"/>
      <c r="Q50" s="116"/>
      <c r="R50" s="116"/>
      <c r="S50" s="117"/>
      <c r="T50" s="116"/>
      <c r="U50" s="116"/>
      <c r="V50" s="116"/>
      <c r="W50" s="116"/>
      <c r="X50" s="117"/>
      <c r="Y50" s="116"/>
      <c r="Z50" s="116"/>
      <c r="AA50" s="116"/>
      <c r="AB50" s="116"/>
      <c r="AC50" s="117"/>
      <c r="AD50" s="116"/>
      <c r="AE50" s="116"/>
      <c r="AF50" s="116"/>
      <c r="AG50" s="116"/>
      <c r="AH50" s="75"/>
      <c r="AI50" s="116"/>
      <c r="AJ50" s="116"/>
      <c r="AK50" s="116"/>
      <c r="AL50" s="116"/>
      <c r="AM50" s="75"/>
      <c r="AN50" s="116"/>
      <c r="AO50" s="116"/>
      <c r="AP50" s="116"/>
      <c r="AQ50" s="116"/>
      <c r="AR50" s="75"/>
      <c r="AS50" s="402"/>
      <c r="AT50" s="116"/>
      <c r="AU50" s="116"/>
      <c r="AV50" s="116"/>
      <c r="AX50" s="402"/>
      <c r="AY50" s="116"/>
      <c r="AZ50" s="116"/>
      <c r="BA50" s="116"/>
      <c r="BC50" s="402"/>
      <c r="BD50" s="116"/>
      <c r="BE50" s="116"/>
      <c r="BF50" s="116"/>
      <c r="BH50" s="402"/>
      <c r="BI50" s="116"/>
      <c r="BJ50" s="116"/>
      <c r="BK50" s="116"/>
      <c r="BM50" s="402"/>
      <c r="BN50" s="116"/>
      <c r="BO50" s="116"/>
      <c r="BP50" s="116"/>
      <c r="BR50" s="402"/>
      <c r="BS50" s="116"/>
      <c r="BT50" s="116"/>
      <c r="BU50" s="116"/>
      <c r="BW50" s="116"/>
      <c r="BX50" s="116"/>
      <c r="BY50" s="116"/>
      <c r="BZ50" s="116"/>
      <c r="CB50" s="116"/>
      <c r="CC50" s="116"/>
      <c r="CD50" s="116"/>
      <c r="CE50" s="116"/>
      <c r="CG50" s="116"/>
      <c r="CH50" s="116"/>
      <c r="CI50" s="116"/>
      <c r="CJ50" s="116"/>
      <c r="CL50" s="116"/>
      <c r="CM50" s="116"/>
      <c r="CN50" s="116"/>
      <c r="CO50" s="116"/>
      <c r="CQ50" s="116"/>
      <c r="CR50" s="116"/>
      <c r="CS50" s="116"/>
      <c r="CT50" s="116"/>
    </row>
    <row r="51" spans="2:98">
      <c r="C51" s="7" t="s">
        <v>407</v>
      </c>
      <c r="AC51" s="22">
        <f t="shared" ref="AC51:AL51" si="70">AC35+AC29</f>
        <v>140550</v>
      </c>
      <c r="AD51" s="22">
        <f t="shared" si="70"/>
        <v>125385</v>
      </c>
      <c r="AE51" s="22">
        <f t="shared" si="70"/>
        <v>155903</v>
      </c>
      <c r="AF51" s="22">
        <f t="shared" si="70"/>
        <v>151510</v>
      </c>
      <c r="AG51" s="22">
        <f t="shared" si="70"/>
        <v>156738</v>
      </c>
      <c r="AH51" s="22">
        <f t="shared" si="70"/>
        <v>156738</v>
      </c>
      <c r="AI51" s="22">
        <f t="shared" si="70"/>
        <v>139298</v>
      </c>
      <c r="AJ51" s="22">
        <f t="shared" si="70"/>
        <v>184578</v>
      </c>
      <c r="AK51" s="22">
        <f t="shared" si="70"/>
        <v>185844</v>
      </c>
      <c r="AL51" s="22">
        <f t="shared" si="70"/>
        <v>189212</v>
      </c>
      <c r="AM51" s="22"/>
      <c r="AN51" s="22">
        <f>AN35+AN29</f>
        <v>164706</v>
      </c>
      <c r="AO51" s="22">
        <f>AO35+AO29</f>
        <v>201549</v>
      </c>
      <c r="AP51" s="22">
        <f>AP35+AP29</f>
        <v>200890</v>
      </c>
      <c r="AQ51" s="22">
        <f>AQ35+AQ29</f>
        <v>284742</v>
      </c>
      <c r="AR51" s="22"/>
      <c r="AS51" s="22">
        <f>AS35+AS29</f>
        <v>254669</v>
      </c>
      <c r="AT51" s="22">
        <f>AT35+AT29</f>
        <v>300185</v>
      </c>
      <c r="AU51" s="22">
        <f>AU35+AU29</f>
        <v>291240</v>
      </c>
      <c r="AV51" s="22">
        <f>AV35+AV29</f>
        <v>300357</v>
      </c>
      <c r="AW51" s="22"/>
      <c r="AX51" s="22">
        <f>AX35+AX29</f>
        <v>272116</v>
      </c>
      <c r="AY51" s="22">
        <f>AY35+AY29</f>
        <v>305771</v>
      </c>
      <c r="AZ51" s="22">
        <f>AZ35+AZ29</f>
        <v>298631</v>
      </c>
      <c r="BA51" s="22">
        <f>BA35+BA29</f>
        <v>310735</v>
      </c>
      <c r="BB51" s="22"/>
      <c r="BC51" s="22">
        <f>BC35+BC29</f>
        <v>268773</v>
      </c>
      <c r="BD51" s="22">
        <f>BD35+BD29</f>
        <v>316869</v>
      </c>
      <c r="BE51" s="22">
        <f>BE35+BE29</f>
        <v>326914</v>
      </c>
      <c r="BF51" s="22">
        <f>BF35+BF29</f>
        <v>350936</v>
      </c>
      <c r="BH51" s="22">
        <f>BH35+BH29</f>
        <v>320342</v>
      </c>
      <c r="BI51" s="22">
        <f>BI35+BI29</f>
        <v>369039</v>
      </c>
      <c r="BJ51" s="22">
        <f>BJ35+BJ29</f>
        <v>391801</v>
      </c>
      <c r="BK51" s="22">
        <f>BK35+BK29</f>
        <v>412694</v>
      </c>
      <c r="BM51" s="22">
        <f>BM35+BM29</f>
        <v>366126</v>
      </c>
      <c r="BN51" s="22">
        <f>BN35+BN29</f>
        <v>423204</v>
      </c>
      <c r="BO51" s="22">
        <f>BO35+BO29</f>
        <v>436622</v>
      </c>
      <c r="BP51" s="22">
        <f>BP35+BP29</f>
        <v>461378</v>
      </c>
      <c r="BR51" s="22">
        <f>BR35+BR29</f>
        <v>420618</v>
      </c>
      <c r="BS51" s="22">
        <f>BS35+BS29</f>
        <v>484550</v>
      </c>
      <c r="BT51" s="22">
        <f>BT35+BT29</f>
        <v>495303</v>
      </c>
      <c r="BU51" s="22">
        <f>BU35+BU29</f>
        <v>510567</v>
      </c>
      <c r="BW51" s="22">
        <f>BW35+BW29</f>
        <v>454678</v>
      </c>
      <c r="BX51" s="22">
        <f>BX35+BX29</f>
        <v>528588</v>
      </c>
      <c r="BY51" s="22">
        <f>BY35+BY29</f>
        <v>531706</v>
      </c>
      <c r="BZ51" s="22">
        <f>BZ35+BZ29</f>
        <v>570575</v>
      </c>
      <c r="CB51" s="22">
        <f>CB35+CB29</f>
        <v>498995</v>
      </c>
      <c r="CC51" s="22">
        <f>CC35+CC29</f>
        <v>567004</v>
      </c>
      <c r="CD51" s="22">
        <f>CD35+CD29</f>
        <v>601166</v>
      </c>
      <c r="CE51" s="22">
        <f>CE35+CE29</f>
        <v>633210</v>
      </c>
      <c r="CG51" s="22">
        <f>CG35+CG29</f>
        <v>571871</v>
      </c>
      <c r="CH51" s="22">
        <f>CH35+CH29</f>
        <v>652302</v>
      </c>
      <c r="CI51" s="22">
        <f>CI35+CI29</f>
        <v>682422</v>
      </c>
      <c r="CJ51" s="22">
        <f>CJ35+CJ29</f>
        <v>723814</v>
      </c>
      <c r="CL51" s="22">
        <f>CL35+CL29</f>
        <v>664755</v>
      </c>
      <c r="CM51" s="22">
        <f>CM35+CM29</f>
        <v>743375</v>
      </c>
      <c r="CN51" s="22">
        <f>CN35+CN29</f>
        <v>783267</v>
      </c>
      <c r="CO51" s="22">
        <f>CO35+CO29</f>
        <v>801826</v>
      </c>
      <c r="CQ51" s="22">
        <f>CQ35+CQ29</f>
        <v>751220.24399999995</v>
      </c>
      <c r="CR51" s="22">
        <f>CR35+CR29</f>
        <v>832180.28749999998</v>
      </c>
      <c r="CS51" s="22">
        <f>CS35+CS29</f>
        <v>880943.58900000004</v>
      </c>
      <c r="CT51" s="22">
        <f>CT35+CT29</f>
        <v>887837.05256640015</v>
      </c>
    </row>
    <row r="52" spans="2:98">
      <c r="C52" s="7" t="s">
        <v>407</v>
      </c>
      <c r="U52" s="76">
        <f>U29/P29-1</f>
        <v>0.12895807355015432</v>
      </c>
      <c r="V52" s="76">
        <f>V29/Q29-1</f>
        <v>9.9199853594558629E-2</v>
      </c>
      <c r="Z52" s="76">
        <f>Z29/U29-1</f>
        <v>0.13821013082250699</v>
      </c>
      <c r="AA52" s="76">
        <f>AA29/V29-1</f>
        <v>0.111114194276412</v>
      </c>
      <c r="AB52" s="76">
        <f>AB29/W29-1</f>
        <v>0.13641876485712889</v>
      </c>
      <c r="AD52" s="76">
        <f>AD29/Y29-1</f>
        <v>0.14631425933205944</v>
      </c>
      <c r="AE52" s="76">
        <f>AE29/Z29-1</f>
        <v>0.24007126892086439</v>
      </c>
      <c r="AF52" s="76">
        <f>AF29/AA29-1</f>
        <v>0.26124851199147558</v>
      </c>
      <c r="AG52" s="76">
        <f>AG29/AB29-1</f>
        <v>0.11517609391675565</v>
      </c>
      <c r="AI52" s="281">
        <f>AI51/AD51-1</f>
        <v>0.11096223631215851</v>
      </c>
      <c r="AJ52" s="281">
        <f t="shared" ref="AJ52:BA52" si="71">AJ51/AE51-1</f>
        <v>0.1839284683424951</v>
      </c>
      <c r="AK52" s="281">
        <f t="shared" si="71"/>
        <v>0.22661210481156369</v>
      </c>
      <c r="AL52" s="281">
        <f t="shared" si="71"/>
        <v>0.2071865150761143</v>
      </c>
      <c r="AM52" s="281"/>
      <c r="AN52" s="281">
        <f t="shared" si="71"/>
        <v>0.18240032161265773</v>
      </c>
      <c r="AO52" s="281">
        <f t="shared" si="71"/>
        <v>9.194486883593922E-2</v>
      </c>
      <c r="AP52" s="281">
        <f t="shared" si="71"/>
        <v>8.0960375368588799E-2</v>
      </c>
      <c r="AQ52" s="281">
        <f t="shared" si="71"/>
        <v>0.50488341120013525</v>
      </c>
      <c r="AR52" s="281"/>
      <c r="AS52" s="281">
        <f t="shared" si="71"/>
        <v>0.54620353842604397</v>
      </c>
      <c r="AT52" s="281">
        <f t="shared" si="71"/>
        <v>0.48938967695200675</v>
      </c>
      <c r="AU52" s="281">
        <f t="shared" si="71"/>
        <v>0.44974861864702076</v>
      </c>
      <c r="AV52" s="281">
        <f t="shared" si="71"/>
        <v>5.4839117516910063E-2</v>
      </c>
      <c r="AW52" s="281"/>
      <c r="AX52" s="281">
        <f t="shared" si="71"/>
        <v>6.850853460766726E-2</v>
      </c>
      <c r="AY52" s="281">
        <f t="shared" si="71"/>
        <v>1.8608524743075172E-2</v>
      </c>
      <c r="AZ52" s="281">
        <f>AZ51/AU51-1</f>
        <v>2.5377695371514797E-2</v>
      </c>
      <c r="BA52" s="281">
        <f t="shared" si="71"/>
        <v>3.4552216196060082E-2</v>
      </c>
      <c r="BB52" s="281"/>
      <c r="BC52" s="281">
        <f>BC51/AX51-1</f>
        <v>-1.2285201899190024E-2</v>
      </c>
      <c r="BD52" s="281">
        <f>BD51/AY51-1</f>
        <v>3.6295135902358222E-2</v>
      </c>
      <c r="BE52" s="281">
        <f>BE51/AZ51-1</f>
        <v>9.4708854740465753E-2</v>
      </c>
      <c r="BF52" s="281">
        <f>BF51/BA51-1</f>
        <v>0.12937390380871161</v>
      </c>
      <c r="BH52" s="281">
        <f>BH51/BC51-1</f>
        <v>0.19186823081187465</v>
      </c>
      <c r="BI52" s="281">
        <f>BI51/BD51-1</f>
        <v>0.16464217073932752</v>
      </c>
      <c r="BJ52" s="281">
        <f>BJ51/BE51-1</f>
        <v>0.19848339318597552</v>
      </c>
      <c r="BK52" s="281">
        <f>BK51/BF51-1</f>
        <v>0.17598080561697849</v>
      </c>
      <c r="BM52" s="281">
        <f>BM51/BH51-1</f>
        <v>0.1429222518433424</v>
      </c>
      <c r="BN52" s="281">
        <f>BN51/BI51-1</f>
        <v>0.14677310528155552</v>
      </c>
      <c r="BO52" s="281">
        <f>BO51/BJ51-1</f>
        <v>0.11439735988422695</v>
      </c>
      <c r="BP52" s="281">
        <f>BP51/BK51-1</f>
        <v>0.11796633825546299</v>
      </c>
      <c r="BR52" s="281">
        <f>BR51/BM51-1</f>
        <v>0.14883400796447122</v>
      </c>
      <c r="BS52" s="281">
        <f>BS51/BN51-1</f>
        <v>0.14495609682328148</v>
      </c>
      <c r="BT52" s="281">
        <f>BT51/BO51-1</f>
        <v>0.1343977170183821</v>
      </c>
      <c r="BU52" s="281">
        <f>BU51/BP51-1</f>
        <v>0.10661323253384425</v>
      </c>
      <c r="BW52" s="281">
        <f>BW51/BR51-1</f>
        <v>8.0976087566390298E-2</v>
      </c>
      <c r="BX52" s="281">
        <f>BX51/BS51-1</f>
        <v>9.0884325662986321E-2</v>
      </c>
      <c r="BY52" s="281">
        <f>BY51/BT51-1</f>
        <v>7.3496425420399136E-2</v>
      </c>
      <c r="BZ52" s="281">
        <f>BZ51/BU51-1</f>
        <v>0.11753207708292934</v>
      </c>
      <c r="CB52" s="281">
        <f>CB51/BW51-1</f>
        <v>9.7468978046001853E-2</v>
      </c>
      <c r="CC52" s="281">
        <f>CC51/BX51-1</f>
        <v>7.2676640408030346E-2</v>
      </c>
      <c r="CD52" s="281">
        <f>CD51/BY51-1</f>
        <v>0.13063610341053145</v>
      </c>
      <c r="CE52" s="281">
        <f>CE51/BZ51-1</f>
        <v>0.10977522674495033</v>
      </c>
      <c r="CG52" s="281">
        <f>CG51/CB51-1</f>
        <v>0.14604555155863275</v>
      </c>
      <c r="CH52" s="281">
        <f>CH51/CC51-1</f>
        <v>0.15043632849150979</v>
      </c>
      <c r="CI52" s="281">
        <f>CI51/CD51-1</f>
        <v>0.13516399796395673</v>
      </c>
      <c r="CJ52" s="281">
        <f>CJ51/CE51-1</f>
        <v>0.14308681164226722</v>
      </c>
      <c r="CL52" s="281">
        <f>CL51/CG51-1</f>
        <v>0.16242124535078717</v>
      </c>
      <c r="CM52" s="281">
        <f>CM51/CH51-1</f>
        <v>0.13961784572176694</v>
      </c>
      <c r="CN52" s="281">
        <f>CN51/CI51-1</f>
        <v>0.14777513034456691</v>
      </c>
      <c r="CO52" s="281">
        <f>CO51/CJ51-1</f>
        <v>0.10777907031364409</v>
      </c>
      <c r="CQ52" s="281">
        <f>CQ51/CL51-1</f>
        <v>0.13007084414558734</v>
      </c>
      <c r="CR52" s="281">
        <f>CR51/CM51-1</f>
        <v>0.11946230031948879</v>
      </c>
      <c r="CS52" s="281">
        <f>CS51/CN51-1</f>
        <v>0.12470407791978988</v>
      </c>
      <c r="CT52" s="281">
        <f>CT51/CO51-1</f>
        <v>0.10726897427421922</v>
      </c>
    </row>
    <row r="53" spans="2:98">
      <c r="O53" s="7">
        <f>O29/N29-1</f>
        <v>-0.13406513580047619</v>
      </c>
      <c r="P53" s="7">
        <f>P29/O29-1</f>
        <v>0.13993102484037845</v>
      </c>
      <c r="Q53" s="7">
        <f>Q29/P29-1</f>
        <v>5.3046873402973205E-3</v>
      </c>
      <c r="R53" s="7">
        <f>R29/Q29-1</f>
        <v>4.3037099545533142E-2</v>
      </c>
      <c r="T53" s="7">
        <f>T29/S29-1</f>
        <v>-0.10525392338434547</v>
      </c>
      <c r="U53" s="7">
        <f>U29/T29-1</f>
        <v>0.20331837197141356</v>
      </c>
      <c r="V53" s="7">
        <f>V29/U29-1</f>
        <v>-2.1194151464397293E-2</v>
      </c>
      <c r="W53" s="7">
        <f>W29/V29-1</f>
        <v>0.14395915422609473</v>
      </c>
      <c r="AI53" s="420"/>
      <c r="AS53" s="279"/>
      <c r="AX53" s="279"/>
      <c r="BC53" s="279"/>
      <c r="BH53" s="279"/>
      <c r="BM53" s="279"/>
      <c r="BR53" s="279"/>
    </row>
    <row r="54" spans="2:98">
      <c r="B54" s="7" t="s">
        <v>85</v>
      </c>
      <c r="AS54" s="279"/>
      <c r="AX54" s="279"/>
      <c r="BC54" s="279"/>
      <c r="BH54" s="279"/>
      <c r="BM54" s="279"/>
      <c r="BR54" s="279"/>
    </row>
    <row r="55" spans="2:98">
      <c r="C55" s="7" t="s">
        <v>62</v>
      </c>
      <c r="D55" s="76"/>
      <c r="E55" s="76">
        <f>E7/'Income Statement'!E23</f>
        <v>0.99865208673821837</v>
      </c>
      <c r="F55" s="76">
        <f>F7/'Income Statement'!F23</f>
        <v>1.1786174133108378</v>
      </c>
      <c r="G55" s="76">
        <f>G7/'Income Statement'!G23</f>
        <v>0.96784533123533956</v>
      </c>
      <c r="H55" s="76">
        <f>H7/'Income Statement'!H23</f>
        <v>1.1070545266306224</v>
      </c>
      <c r="I55" s="76"/>
      <c r="J55" s="76">
        <f>J7/'Income Statement'!J23</f>
        <v>0.94294544670452096</v>
      </c>
      <c r="K55" s="76">
        <f>K7/'Income Statement'!K23</f>
        <v>1.152566092113285</v>
      </c>
      <c r="L55" s="76">
        <f>L7/'Income Statement'!L23</f>
        <v>1.1517650540816875</v>
      </c>
      <c r="M55" s="76">
        <f>M7/'Income Statement'!M23</f>
        <v>1.0946952854467304</v>
      </c>
      <c r="N55" s="76"/>
      <c r="O55" s="76">
        <f>O7/'Income Statement'!O23</f>
        <v>0.90340876539673443</v>
      </c>
      <c r="P55" s="76">
        <f>P7/'Income Statement'!P23</f>
        <v>1.232823691460055</v>
      </c>
      <c r="Q55" s="76">
        <f>Q7/'Income Statement'!Q23</f>
        <v>1.0456831460369531</v>
      </c>
      <c r="R55" s="76">
        <f>R7/'Income Statement'!R23</f>
        <v>1.1300542525435193</v>
      </c>
      <c r="S55" s="76"/>
      <c r="T55" s="76">
        <f>T7/'Income Statement'!T23</f>
        <v>0.90572670418159773</v>
      </c>
      <c r="U55" s="76">
        <f>U7/'Income Statement'!U23</f>
        <v>1.1792011468039356</v>
      </c>
      <c r="V55" s="76">
        <f>V7/'Income Statement'!V23</f>
        <v>0.97761194029850751</v>
      </c>
      <c r="W55" s="76">
        <f>W7/'Income Statement'!W23</f>
        <v>1.0966507876557949</v>
      </c>
      <c r="X55" s="76"/>
      <c r="Y55" s="76">
        <f>Y7/'Income Statement'!Y23</f>
        <v>0.71186973393131292</v>
      </c>
      <c r="Z55" s="76">
        <f>Z7/'Income Statement'!Z23</f>
        <v>1.0995096751597933</v>
      </c>
      <c r="AA55" s="76">
        <f>AA7/'Income Statement'!AA23</f>
        <v>0.83348073951728918</v>
      </c>
      <c r="AB55" s="76">
        <f>AB7/'Income Statement'!AB23</f>
        <v>1.0519985739451387</v>
      </c>
      <c r="AC55" s="90"/>
      <c r="AD55" s="76">
        <f>AD7/'Income Statement'!AD23</f>
        <v>0.79562417144229058</v>
      </c>
      <c r="AE55" s="76">
        <f>AE7/'Income Statement'!AE23</f>
        <v>1.1762377774328729</v>
      </c>
      <c r="AF55" s="76">
        <f>AF7/'Income Statement'!AF23</f>
        <v>0.84565645994711314</v>
      </c>
      <c r="AG55" s="76">
        <f>AG7/'Income Statement'!AG23</f>
        <v>0.96238768230460103</v>
      </c>
      <c r="AH55" s="90"/>
      <c r="AI55" s="76">
        <f>AI7/'Income Statement'!AI23</f>
        <v>0.73103901408200589</v>
      </c>
      <c r="AJ55" s="76">
        <f>AJ7/'Income Statement'!AJ23</f>
        <v>1.1597076488892104</v>
      </c>
      <c r="AK55" s="76">
        <f>AK7/'Income Statement'!AK23</f>
        <v>0.86895324255424988</v>
      </c>
      <c r="AL55" s="76">
        <f>AL7/'Income Statement'!AL23</f>
        <v>0.88402385436283737</v>
      </c>
      <c r="AM55" s="90"/>
      <c r="AN55" s="76">
        <f>AN7/'Income Statement'!AN23</f>
        <v>0.78382703792066155</v>
      </c>
      <c r="AO55" s="76">
        <f>AO7/'Income Statement'!AO23</f>
        <v>1.0402132677124987</v>
      </c>
      <c r="AP55" s="76">
        <f>AP7/'Income Statement'!AP23</f>
        <v>0.85669395737346288</v>
      </c>
      <c r="AQ55" s="76">
        <f>AQ7/'Income Statement'!AQ23</f>
        <v>1.087708694391849</v>
      </c>
      <c r="AR55" s="76"/>
      <c r="AS55" s="76">
        <f>AS7/'Income Statement'!AS23</f>
        <v>0.74238328972690115</v>
      </c>
      <c r="AT55" s="76">
        <f>AT7/'Income Statement'!AT23</f>
        <v>1.0812081610743798</v>
      </c>
      <c r="AU55" s="76">
        <f>AU7/'Income Statement'!AU23</f>
        <v>0.95283099966120033</v>
      </c>
      <c r="AV55" s="76">
        <f>AV7/'Income Statement'!AV23</f>
        <v>1.0270588959068165</v>
      </c>
      <c r="AW55" s="76"/>
      <c r="AX55" s="76">
        <f>AX7/'Income Statement'!AX23</f>
        <v>0.81920072852089243</v>
      </c>
      <c r="AY55" s="76">
        <f>AY7/'Income Statement'!AY23</f>
        <v>1.116575461517157</v>
      </c>
      <c r="AZ55" s="76">
        <f>AZ7/'Income Statement'!AZ23</f>
        <v>0.96285586358717956</v>
      </c>
      <c r="BA55" s="76">
        <f>BA7/'Income Statement'!BA23</f>
        <v>1.0414561228139358</v>
      </c>
      <c r="BB55" s="76"/>
      <c r="BC55" s="76">
        <f>BC7/'Income Statement'!BC23</f>
        <v>0.97800664001626125</v>
      </c>
      <c r="BD55" s="76">
        <f>BD7/'Income Statement'!BD23</f>
        <v>1.2588359512371594</v>
      </c>
      <c r="BE55" s="76">
        <f>BE7/'Income Statement'!BE23</f>
        <v>1.1850207098599137</v>
      </c>
      <c r="BF55" s="76">
        <f>BF7/'Income Statement'!BF23</f>
        <v>1.2299235083301445</v>
      </c>
      <c r="BH55" s="76">
        <f>BH7/'Income Statement'!BH23</f>
        <v>1.2018668371100203</v>
      </c>
      <c r="BI55" s="76">
        <f>BI7/'Income Statement'!BI23</f>
        <v>1.3719606735712153</v>
      </c>
      <c r="BJ55" s="76">
        <f>BJ7/'Income Statement'!BJ23</f>
        <v>1.2554051957703645</v>
      </c>
      <c r="BK55" s="76">
        <f>BK7/'Income Statement'!BK23</f>
        <v>1.3015186570409671</v>
      </c>
      <c r="BM55" s="76">
        <f>BM7/'Income Statement'!BM23</f>
        <v>1.1494472143941037</v>
      </c>
      <c r="BN55" s="76">
        <f>BN7/'Income Statement'!BN23</f>
        <v>1.4953469772858781</v>
      </c>
      <c r="BO55" s="76">
        <f>BO7/'Income Statement'!BO23</f>
        <v>1.2683458244298569</v>
      </c>
      <c r="BP55" s="76">
        <f>BP7/'Income Statement'!BP23</f>
        <v>1.3490056737989047</v>
      </c>
      <c r="BR55" s="76">
        <f>BR7/'Income Statement'!BR23</f>
        <v>1.1221904871744426</v>
      </c>
      <c r="BS55" s="76">
        <f>BS7/'Income Statement'!BS23</f>
        <v>1.441068869137045</v>
      </c>
      <c r="BT55" s="76">
        <f>BT7/'Income Statement'!BT23</f>
        <v>1.1682391712112266</v>
      </c>
      <c r="BU55" s="76">
        <f>BU7/'Income Statement'!BU23</f>
        <v>1.2001100936025944</v>
      </c>
      <c r="BW55" s="76">
        <f>BW7/'Income Statement'!BW23</f>
        <v>1.0988625500977838</v>
      </c>
      <c r="BX55" s="76">
        <f>BX7/'Income Statement'!BX23</f>
        <v>1.2749714627094957</v>
      </c>
      <c r="BY55" s="76">
        <f>BY7/'Income Statement'!BY23</f>
        <v>1.1872161558440462</v>
      </c>
      <c r="BZ55" s="76">
        <f>BZ7/'Income Statement'!BZ23</f>
        <v>1.2764959532970679</v>
      </c>
      <c r="CB55" s="76">
        <f>CB7/'Income Statement'!CB23</f>
        <v>1.0780539701983456</v>
      </c>
      <c r="CC55" s="76">
        <f>CC7/'Income Statement'!CC23</f>
        <v>1.2666123316656057</v>
      </c>
      <c r="CD55" s="76">
        <f>CD7/'Income Statement'!CD23</f>
        <v>1.2606290076088977</v>
      </c>
      <c r="CE55" s="76">
        <f>CE7/'Income Statement'!CE23</f>
        <v>1.2885400313971742</v>
      </c>
      <c r="CG55" s="76">
        <f>CG7/'Income Statement'!CG23</f>
        <v>1.0587127385290391</v>
      </c>
      <c r="CH55" s="76">
        <f>CH7/'Income Statement'!CH23</f>
        <v>1.2954826092100205</v>
      </c>
      <c r="CI55" s="76">
        <f>CI7/'Income Statement'!CI23</f>
        <v>1.1401910784651146</v>
      </c>
      <c r="CJ55" s="76">
        <f>CJ7/'Income Statement'!CJ23</f>
        <v>1.0859366770708017</v>
      </c>
      <c r="CL55" s="76">
        <f>CL7/'Income Statement'!CL23</f>
        <v>0.99063636283209333</v>
      </c>
      <c r="CM55" s="76">
        <f>CM7/'Income Statement'!CM23</f>
        <v>1.1984442651358709</v>
      </c>
      <c r="CN55" s="76">
        <f>CN7/'Income Statement'!CN23</f>
        <v>1.1109403083511922</v>
      </c>
      <c r="CO55" s="76">
        <f>CO7/'Income Statement'!CO23</f>
        <v>1.0824185441826926</v>
      </c>
      <c r="CQ55" s="90">
        <v>1.1499999999999999</v>
      </c>
      <c r="CR55" s="90">
        <v>1.1499999999999999</v>
      </c>
      <c r="CS55" s="90">
        <v>1.1000000000000001</v>
      </c>
      <c r="CT55" s="90">
        <v>1.08</v>
      </c>
    </row>
    <row r="56" spans="2:98">
      <c r="C56" s="7" t="s">
        <v>64</v>
      </c>
      <c r="D56" s="76"/>
      <c r="E56" s="76">
        <f>E11/'Income Statement'!E23</f>
        <v>2.6216912941652206E-2</v>
      </c>
      <c r="F56" s="76">
        <f>F11/'Income Statement'!F23</f>
        <v>5.3190072370465746E-2</v>
      </c>
      <c r="G56" s="76">
        <f>G11/'Income Statement'!G23</f>
        <v>2.5802409778982183E-2</v>
      </c>
      <c r="H56" s="76">
        <f>H11/'Income Statement'!H23</f>
        <v>2.0763832969055561E-2</v>
      </c>
      <c r="I56" s="76"/>
      <c r="J56" s="76">
        <f>J11/'Income Statement'!J23</f>
        <v>2.2295694674045855E-2</v>
      </c>
      <c r="K56" s="76">
        <f>K11/'Income Statement'!K23</f>
        <v>2.9277282048439837E-2</v>
      </c>
      <c r="L56" s="76">
        <f>L11/'Income Statement'!L23</f>
        <v>2.3771726847118334E-2</v>
      </c>
      <c r="M56" s="76">
        <f>M11/'Income Statement'!M23</f>
        <v>1.9362140749423988E-2</v>
      </c>
      <c r="N56" s="76"/>
      <c r="O56" s="76">
        <f>O11/'Income Statement'!O23</f>
        <v>2.1383557719851044E-2</v>
      </c>
      <c r="P56" s="76">
        <f>P11/'Income Statement'!P23</f>
        <v>5.3526170798898071E-2</v>
      </c>
      <c r="Q56" s="76">
        <f>Q11/'Income Statement'!Q23</f>
        <v>2.7369220133118249E-2</v>
      </c>
      <c r="R56" s="76">
        <f>R11/'Income Statement'!R23</f>
        <v>0.15660072612819062</v>
      </c>
      <c r="S56" s="76"/>
      <c r="T56" s="76">
        <f>T11/'Income Statement'!T23</f>
        <v>2.5833526358099546E-2</v>
      </c>
      <c r="U56" s="76">
        <f>U11/'Income Statement'!U23</f>
        <v>0.16035707304359159</v>
      </c>
      <c r="V56" s="76">
        <f>V11/'Income Statement'!V23</f>
        <v>0.13592195273631841</v>
      </c>
      <c r="W56" s="76">
        <f>W11/'Income Statement'!W23</f>
        <v>0.1295581086514212</v>
      </c>
      <c r="X56" s="76"/>
      <c r="Y56" s="76">
        <f>Y11/'Income Statement'!Y23</f>
        <v>0.11803246980888024</v>
      </c>
      <c r="Z56" s="76">
        <f>Z11/'Income Statement'!Z23</f>
        <v>0.12414630942999737</v>
      </c>
      <c r="AA56" s="76">
        <f>AA11/'Income Statement'!AA23</f>
        <v>0.11393254835100432</v>
      </c>
      <c r="AB56" s="76">
        <f>AB11/'Income Statement'!AB23</f>
        <v>0.10989010989010989</v>
      </c>
      <c r="AC56" s="90"/>
      <c r="AD56" s="76">
        <f>AD11/'Income Statement'!AD23</f>
        <v>0.11785091702418606</v>
      </c>
      <c r="AE56" s="76">
        <f>AE11/'Income Statement'!AE23</f>
        <v>0.16215272388638832</v>
      </c>
      <c r="AF56" s="76">
        <f>AF11/'Income Statement'!AF23</f>
        <v>0.15538071967184011</v>
      </c>
      <c r="AG56" s="76">
        <f>AG11/'Income Statement'!AG23</f>
        <v>0.12921840429855058</v>
      </c>
      <c r="AH56" s="90"/>
      <c r="AI56" s="76">
        <f>AI11/'Income Statement'!AI23</f>
        <v>0.18096176726510751</v>
      </c>
      <c r="AJ56" s="76">
        <f>AJ11/'Income Statement'!AJ23</f>
        <v>0.16199113941352888</v>
      </c>
      <c r="AK56" s="76">
        <f>AK11/'Income Statement'!AK23</f>
        <v>0.12440931418267737</v>
      </c>
      <c r="AL56" s="76">
        <f>AL11/'Income Statement'!AL23</f>
        <v>0.14288292529817953</v>
      </c>
      <c r="AM56" s="90"/>
      <c r="AN56" s="76">
        <f>AN11/'Income Statement'!AN23</f>
        <v>0.13032911992650001</v>
      </c>
      <c r="AO56" s="76">
        <f>AO11/'Income Statement'!AO23</f>
        <v>0.20211900611777572</v>
      </c>
      <c r="AP56" s="76">
        <f>AP11/'Income Statement'!AP23</f>
        <v>0.22532400808777223</v>
      </c>
      <c r="AQ56" s="76">
        <f>AQ11/'Income Statement'!AQ23</f>
        <v>0.23244253387525518</v>
      </c>
      <c r="AR56" s="76"/>
      <c r="AS56" s="76">
        <f>AS11/'Income Statement'!AS23</f>
        <v>0.22198737215386943</v>
      </c>
      <c r="AT56" s="76">
        <f>AT11/'Income Statement'!AT23</f>
        <v>0.25366324471352109</v>
      </c>
      <c r="AU56" s="76">
        <f>AU11/'Income Statement'!AU23</f>
        <v>0.24223668441572233</v>
      </c>
      <c r="AV56" s="76">
        <f>AV11/'Income Statement'!AV23</f>
        <v>0.22342301697973915</v>
      </c>
      <c r="AW56" s="76"/>
      <c r="AX56" s="76">
        <f>AX11/'Income Statement'!AX23</f>
        <v>0.22076284543448566</v>
      </c>
      <c r="AY56" s="76">
        <f>AY11/'Income Statement'!AY23</f>
        <v>0.2443390730500721</v>
      </c>
      <c r="AZ56" s="76">
        <f>AZ11/'Income Statement'!AZ23</f>
        <v>0.30461549942166338</v>
      </c>
      <c r="BA56" s="76">
        <f>BA11/'Income Statement'!BA23</f>
        <v>0.33201581027667987</v>
      </c>
      <c r="BB56" s="76"/>
      <c r="BC56" s="76">
        <f>BC11/'Income Statement'!BC23</f>
        <v>0.44365246064548186</v>
      </c>
      <c r="BD56" s="76">
        <f>BD11/'Income Statement'!BD23</f>
        <v>0.40546520725889906</v>
      </c>
      <c r="BE56" s="76">
        <f>BE11/'Income Statement'!BE23</f>
        <v>0.36805462015086204</v>
      </c>
      <c r="BF56" s="76">
        <f>BF11/'Income Statement'!BF23</f>
        <v>0.3331646319635605</v>
      </c>
      <c r="BH56" s="76">
        <f>BH11/'Income Statement'!BH23</f>
        <v>0.25669814240863792</v>
      </c>
      <c r="BI56" s="76">
        <f>BI11/'Income Statement'!BI23</f>
        <v>0.21945384756512135</v>
      </c>
      <c r="BJ56" s="76">
        <f>BJ11/'Income Statement'!BJ23</f>
        <v>0.21783849891950199</v>
      </c>
      <c r="BK56" s="76">
        <f>BK11/'Income Statement'!BK23</f>
        <v>0.23116987040097417</v>
      </c>
      <c r="BM56" s="76">
        <f>BM11/'Income Statement'!BM23</f>
        <v>0.27254136859599681</v>
      </c>
      <c r="BN56" s="76">
        <f>BN11/'Income Statement'!BN23</f>
        <v>0.32779393282693703</v>
      </c>
      <c r="BO56" s="76">
        <f>BO11/'Income Statement'!BO23</f>
        <v>0.30949125156940166</v>
      </c>
      <c r="BP56" s="76">
        <f>BP11/'Income Statement'!BP23</f>
        <v>0.3723606955343533</v>
      </c>
      <c r="BR56" s="76">
        <f>BR11/'Income Statement'!BR23</f>
        <v>0.34501122787498051</v>
      </c>
      <c r="BS56" s="76">
        <f>BS11/'Income Statement'!BS23</f>
        <v>0.26542876384869857</v>
      </c>
      <c r="BT56" s="76">
        <f>BT11/'Income Statement'!BT23</f>
        <v>0</v>
      </c>
      <c r="BU56" s="76">
        <f>BU11/'Income Statement'!BU23</f>
        <v>0</v>
      </c>
      <c r="BW56" s="76">
        <f>BW11/'Income Statement'!BW23</f>
        <v>0</v>
      </c>
      <c r="BX56" s="76">
        <f>BX11/'Income Statement'!BX23</f>
        <v>0</v>
      </c>
      <c r="BY56" s="76">
        <f>BY11/'Income Statement'!BY23</f>
        <v>0</v>
      </c>
      <c r="BZ56" s="76">
        <f>BZ11/'Income Statement'!BZ23</f>
        <v>0</v>
      </c>
      <c r="CB56" s="76">
        <f>CB11/'Income Statement'!CB23</f>
        <v>0</v>
      </c>
      <c r="CC56" s="76">
        <f>CC11/'Income Statement'!CC23</f>
        <v>0</v>
      </c>
      <c r="CD56" s="76">
        <f>CD11/'Income Statement'!CD23</f>
        <v>0</v>
      </c>
      <c r="CE56" s="76">
        <f>CE11/'Income Statement'!CE23</f>
        <v>0</v>
      </c>
      <c r="CG56" s="76">
        <f>CG11/'Income Statement'!CG23</f>
        <v>0</v>
      </c>
      <c r="CH56" s="76">
        <f>CH11/'Income Statement'!CH23</f>
        <v>0</v>
      </c>
      <c r="CI56" s="76">
        <f>CI11/'Income Statement'!CI23</f>
        <v>0</v>
      </c>
      <c r="CJ56" s="76">
        <f>CJ11/'Income Statement'!CJ23</f>
        <v>0</v>
      </c>
      <c r="CL56" s="76">
        <f>CL11/'Income Statement'!CL23</f>
        <v>0</v>
      </c>
      <c r="CM56" s="76">
        <f>CM11/'Income Statement'!CM23</f>
        <v>0</v>
      </c>
      <c r="CN56" s="76">
        <f>CN11/'Income Statement'!CN23</f>
        <v>0</v>
      </c>
      <c r="CO56" s="76">
        <f>CO11/'Income Statement'!CO23</f>
        <v>0</v>
      </c>
      <c r="CQ56" s="90">
        <v>0.4</v>
      </c>
      <c r="CR56" s="90">
        <v>0.4</v>
      </c>
      <c r="CS56" s="90">
        <v>0.4</v>
      </c>
      <c r="CT56" s="90">
        <v>0.35</v>
      </c>
    </row>
    <row r="57" spans="2:98">
      <c r="C57" s="7" t="s">
        <v>94</v>
      </c>
      <c r="D57" s="76"/>
      <c r="E57" s="76"/>
      <c r="F57" s="76"/>
      <c r="G57" s="76"/>
      <c r="H57" s="76"/>
      <c r="I57" s="76"/>
      <c r="J57" s="76"/>
      <c r="K57" s="76"/>
      <c r="L57" s="76"/>
      <c r="M57" s="76"/>
      <c r="N57" s="76"/>
      <c r="O57" s="76"/>
      <c r="P57" s="76"/>
      <c r="Q57" s="76"/>
      <c r="R57" s="76"/>
      <c r="S57" s="76"/>
      <c r="T57" s="76"/>
      <c r="U57" s="76"/>
      <c r="V57" s="76"/>
      <c r="W57" s="76"/>
      <c r="X57" s="76"/>
      <c r="Y57" s="76"/>
      <c r="Z57" s="76"/>
      <c r="AA57" s="76"/>
      <c r="AB57" s="76"/>
      <c r="AC57" s="90"/>
      <c r="AD57" s="76"/>
      <c r="AE57" s="76"/>
      <c r="AF57" s="76"/>
      <c r="AG57" s="76"/>
      <c r="AH57" s="90"/>
      <c r="AI57" s="76"/>
      <c r="AJ57" s="76"/>
      <c r="AK57" s="76"/>
      <c r="AL57" s="76"/>
      <c r="AM57" s="90"/>
      <c r="AN57" s="76"/>
      <c r="AO57" s="76"/>
      <c r="AP57" s="76"/>
      <c r="AQ57" s="76"/>
      <c r="AR57" s="76"/>
      <c r="AS57" s="76"/>
      <c r="AT57" s="76"/>
      <c r="AU57" s="76"/>
      <c r="AV57" s="76"/>
      <c r="AW57" s="76"/>
      <c r="AX57" s="76"/>
      <c r="AY57" s="76"/>
      <c r="AZ57" s="76"/>
      <c r="BA57" s="76"/>
      <c r="BB57" s="76"/>
      <c r="BC57" s="76"/>
      <c r="BD57" s="76"/>
      <c r="BE57" s="76"/>
      <c r="BF57" s="76"/>
      <c r="BH57" s="76"/>
      <c r="BI57" s="76"/>
      <c r="BJ57" s="76"/>
      <c r="BK57" s="76"/>
      <c r="BM57" s="76"/>
      <c r="BN57" s="76"/>
      <c r="BO57" s="76"/>
      <c r="BP57" s="76"/>
      <c r="BR57" s="76"/>
      <c r="BS57" s="76"/>
      <c r="BT57" s="76">
        <f>BT9/'Income Statement'!BT23</f>
        <v>0.11537609850984751</v>
      </c>
      <c r="BU57" s="76">
        <f>BU9/'Income Statement'!BU23</f>
        <v>0.14663178066037735</v>
      </c>
      <c r="BW57" s="76"/>
      <c r="BX57" s="76"/>
      <c r="BY57" s="76"/>
      <c r="BZ57" s="76"/>
      <c r="CB57" s="76"/>
      <c r="CC57" s="76"/>
      <c r="CD57" s="76"/>
      <c r="CE57" s="76"/>
      <c r="CG57" s="76"/>
      <c r="CH57" s="76"/>
      <c r="CI57" s="76"/>
      <c r="CJ57" s="76"/>
      <c r="CL57" s="76"/>
      <c r="CM57" s="76"/>
      <c r="CN57" s="76"/>
      <c r="CO57" s="76"/>
      <c r="CQ57" s="90">
        <v>0.12</v>
      </c>
      <c r="CR57" s="90">
        <v>0.12</v>
      </c>
      <c r="CS57" s="90">
        <v>0.12</v>
      </c>
      <c r="CT57" s="90">
        <v>0.11</v>
      </c>
    </row>
    <row r="58" spans="2:98">
      <c r="D58" s="76"/>
      <c r="E58" s="76"/>
      <c r="F58" s="76"/>
      <c r="G58" s="76"/>
      <c r="H58" s="76"/>
      <c r="I58" s="76"/>
      <c r="J58" s="76"/>
      <c r="K58" s="76"/>
      <c r="L58" s="76"/>
      <c r="M58" s="76"/>
      <c r="N58" s="76"/>
      <c r="O58" s="76"/>
      <c r="P58" s="76"/>
      <c r="Q58" s="76"/>
      <c r="R58" s="76"/>
      <c r="S58" s="76"/>
      <c r="T58" s="76"/>
      <c r="U58" s="76"/>
      <c r="V58" s="76"/>
      <c r="W58" s="76"/>
      <c r="X58" s="76"/>
      <c r="Y58" s="76"/>
      <c r="Z58" s="76"/>
      <c r="AA58" s="76"/>
      <c r="AB58" s="76"/>
      <c r="AC58" s="90"/>
      <c r="AD58" s="76"/>
      <c r="AE58" s="76"/>
      <c r="AF58" s="76"/>
      <c r="AG58" s="76"/>
      <c r="AH58" s="90"/>
      <c r="AI58" s="76"/>
      <c r="AJ58" s="76"/>
      <c r="AK58" s="76"/>
      <c r="AL58" s="76"/>
      <c r="AM58" s="90"/>
      <c r="AN58" s="76"/>
      <c r="AO58" s="90"/>
      <c r="AP58" s="90"/>
      <c r="AQ58" s="90"/>
      <c r="AR58" s="90"/>
      <c r="AS58" s="90"/>
      <c r="AT58" s="90"/>
      <c r="AU58" s="90"/>
      <c r="AV58" s="90"/>
      <c r="AW58" s="90"/>
      <c r="AX58" s="90"/>
      <c r="AY58" s="90"/>
      <c r="AZ58" s="90"/>
      <c r="BA58" s="90"/>
      <c r="BB58" s="90"/>
      <c r="BC58" s="90"/>
      <c r="BD58" s="90"/>
      <c r="BE58" s="90"/>
      <c r="BF58" s="90"/>
      <c r="BH58" s="90"/>
      <c r="BI58" s="90"/>
      <c r="BJ58" s="90"/>
      <c r="BK58" s="90"/>
      <c r="BM58" s="90"/>
      <c r="BN58" s="90"/>
      <c r="BO58" s="90"/>
      <c r="BP58" s="90"/>
      <c r="BR58" s="90"/>
      <c r="BS58" s="90"/>
      <c r="BT58" s="90"/>
      <c r="BU58" s="90"/>
      <c r="BW58" s="90"/>
      <c r="BX58" s="90"/>
      <c r="BY58" s="90"/>
      <c r="BZ58" s="90"/>
      <c r="CB58" s="90"/>
      <c r="CC58" s="90"/>
      <c r="CD58" s="90"/>
      <c r="CE58" s="90"/>
      <c r="CG58" s="90"/>
      <c r="CH58" s="90"/>
      <c r="CI58" s="90"/>
      <c r="CJ58" s="90"/>
      <c r="CL58" s="90"/>
      <c r="CM58" s="90"/>
      <c r="CN58" s="90"/>
      <c r="CO58" s="90"/>
      <c r="CQ58" s="90"/>
      <c r="CR58" s="90"/>
      <c r="CS58" s="90"/>
      <c r="CT58" s="90"/>
    </row>
    <row r="59" spans="2:98">
      <c r="C59" s="7" t="s">
        <v>67</v>
      </c>
      <c r="D59" s="76"/>
      <c r="E59" s="76">
        <f>E14/'Income Statement'!E23</f>
        <v>8.9130764435308586E-3</v>
      </c>
      <c r="F59" s="76">
        <f>F14/'Income Statement'!F23</f>
        <v>6.8078556734597227E-3</v>
      </c>
      <c r="G59" s="76">
        <f>G14/'Income Statement'!G23</f>
        <v>9.9217623147864857E-3</v>
      </c>
      <c r="H59" s="76">
        <f>H14/'Income Statement'!H23</f>
        <v>2.8327389853905439E-3</v>
      </c>
      <c r="I59" s="76"/>
      <c r="J59" s="76">
        <f>J14/'Income Statement'!J23</f>
        <v>4.1975131172284916E-3</v>
      </c>
      <c r="K59" s="76">
        <f>K14/'Income Statement'!K23</f>
        <v>4.3091503630216703E-3</v>
      </c>
      <c r="L59" s="76">
        <f>L14/'Income Statement'!L23</f>
        <v>6.4978744013345531E-3</v>
      </c>
      <c r="M59" s="76">
        <f>M14/'Income Statement'!M23</f>
        <v>1.3716533947747821E-2</v>
      </c>
      <c r="N59" s="76"/>
      <c r="O59" s="76">
        <f>O14/'Income Statement'!O23</f>
        <v>1.5883700945287883E-2</v>
      </c>
      <c r="P59" s="76">
        <f>P14/'Income Statement'!P23</f>
        <v>1.0661157024793389E-2</v>
      </c>
      <c r="Q59" s="76">
        <f>Q14/'Income Statement'!Q23</f>
        <v>1.744635280402337E-2</v>
      </c>
      <c r="R59" s="76">
        <f>R14/'Income Statement'!R23</f>
        <v>1.6993608415356368E-2</v>
      </c>
      <c r="S59" s="76"/>
      <c r="T59" s="76">
        <f>T14/'Income Statement'!T23</f>
        <v>1.9116264493889062E-2</v>
      </c>
      <c r="U59" s="76">
        <f>U14/'Income Statement'!U23</f>
        <v>8.2231054929302137E-3</v>
      </c>
      <c r="V59" s="76">
        <f>V14/'Income Statement'!V23</f>
        <v>1.5702736318407962E-2</v>
      </c>
      <c r="W59" s="76">
        <f>W14/'Income Statement'!W23</f>
        <v>2.5524190109528624E-2</v>
      </c>
      <c r="X59" s="76"/>
      <c r="Y59" s="76">
        <f>Y14/'Income Statement'!Y23</f>
        <v>1.6923951017250343E-2</v>
      </c>
      <c r="Z59" s="76">
        <f>Z14/'Income Statement'!Z23</f>
        <v>6.3041765169424748E-3</v>
      </c>
      <c r="AA59" s="76">
        <f>AA14/'Income Statement'!AA23</f>
        <v>7.2566465981139111E-3</v>
      </c>
      <c r="AB59" s="76">
        <f>AB14/'Income Statement'!AB23</f>
        <v>1.2446522942706149E-2</v>
      </c>
      <c r="AC59" s="90"/>
      <c r="AD59" s="76">
        <f>AD14/'Income Statement'!AD23</f>
        <v>1.6920844685226359E-2</v>
      </c>
      <c r="AE59" s="76">
        <f>AE14/'Income Statement'!AE23</f>
        <v>7.7603600807077452E-3</v>
      </c>
      <c r="AF59" s="76">
        <f>AF14/'Income Statement'!AF23</f>
        <v>1.0259668663159567E-2</v>
      </c>
      <c r="AG59" s="76">
        <f>AG14/'Income Statement'!AG23</f>
        <v>5.3099742628798484E-3</v>
      </c>
      <c r="AH59" s="90"/>
      <c r="AI59" s="76">
        <f>AI14/'Income Statement'!AI23</f>
        <v>4.6703247917887518E-3</v>
      </c>
      <c r="AJ59" s="76">
        <f>AJ14/'Income Statement'!AJ23</f>
        <v>9.0615979609394472E-3</v>
      </c>
      <c r="AK59" s="76">
        <f>AK14/'Income Statement'!AK23</f>
        <v>1.1300752347198906E-2</v>
      </c>
      <c r="AL59" s="76">
        <f>AL14/'Income Statement'!AL23</f>
        <v>1.3818267419962334E-2</v>
      </c>
      <c r="AM59" s="90"/>
      <c r="AN59" s="76">
        <f>AN14/'Income Statement'!AN23</f>
        <v>2.3042840419068506E-3</v>
      </c>
      <c r="AO59" s="76">
        <f>AO14/'Income Statement'!AO23</f>
        <v>2.6726819098397076E-3</v>
      </c>
      <c r="AP59" s="76">
        <f>AP14/'Income Statement'!AP23</f>
        <v>7.1066326361496901E-3</v>
      </c>
      <c r="AQ59" s="76">
        <f>AQ14/'Income Statement'!AQ23</f>
        <v>1.7127279679780928E-2</v>
      </c>
      <c r="AR59" s="76"/>
      <c r="AS59" s="76">
        <f>AS14/'Income Statement'!AS23</f>
        <v>1.6747032239929075E-2</v>
      </c>
      <c r="AT59" s="76">
        <f>AT14/'Income Statement'!AT23</f>
        <v>1.3311036444059066E-2</v>
      </c>
      <c r="AU59" s="76">
        <f>AU14/'Income Statement'!AU23</f>
        <v>1.387561502247708E-2</v>
      </c>
      <c r="AV59" s="76">
        <f>AV14/'Income Statement'!AV23</f>
        <v>1.2714297432532195E-2</v>
      </c>
      <c r="AW59" s="76"/>
      <c r="AX59" s="76">
        <f>AX14/'Income Statement'!AX23</f>
        <v>1.2894219366847296E-2</v>
      </c>
      <c r="AY59" s="76">
        <f>AY14/'Income Statement'!AY23</f>
        <v>1.1140398628580159E-2</v>
      </c>
      <c r="AZ59" s="76">
        <f>AZ14/'Income Statement'!AZ23</f>
        <v>1.8035707622849895E-2</v>
      </c>
      <c r="BA59" s="76">
        <f>BA14/'Income Statement'!BA23</f>
        <v>3.4555175481232173E-2</v>
      </c>
      <c r="BB59" s="76"/>
      <c r="BC59" s="76">
        <f>BC14/'Income Statement'!BC23</f>
        <v>5.2171556338505322E-2</v>
      </c>
      <c r="BD59" s="76">
        <f>BD14/'Income Statement'!BD23</f>
        <v>5.2107083063410199E-2</v>
      </c>
      <c r="BE59" s="76">
        <f>BE14/'Income Statement'!BE23</f>
        <v>5.4578057650862072E-2</v>
      </c>
      <c r="BF59" s="76">
        <f>BF14/'Income Statement'!BF23</f>
        <v>6.5916974238066431E-2</v>
      </c>
      <c r="BH59" s="76">
        <f>BH14/'Income Statement'!BH23</f>
        <v>9.1737919224321951E-2</v>
      </c>
      <c r="BI59" s="76">
        <f>BI14/'Income Statement'!BI23</f>
        <v>7.378561844154817E-2</v>
      </c>
      <c r="BJ59" s="76">
        <f>BJ14/'Income Statement'!BJ23</f>
        <v>7.3730008983105264E-2</v>
      </c>
      <c r="BK59" s="76">
        <f>BK14/'Income Statement'!BK23</f>
        <v>7.8044707314951722E-2</v>
      </c>
      <c r="BM59" s="76">
        <f>BM14/'Income Statement'!BM23</f>
        <v>7.7296047402268947E-2</v>
      </c>
      <c r="BN59" s="76">
        <f>BN14/'Income Statement'!BN23</f>
        <v>7.7842766530669405E-2</v>
      </c>
      <c r="BO59" s="76">
        <f>BO14/'Income Statement'!BO23</f>
        <v>8.5539821708977851E-2</v>
      </c>
      <c r="BP59" s="76">
        <f>BP14/'Income Statement'!BP23</f>
        <v>7.5569496979619483E-2</v>
      </c>
      <c r="BR59" s="76">
        <f>BR14/'Income Statement'!BR23</f>
        <v>8.0738936642220885E-2</v>
      </c>
      <c r="BS59" s="76">
        <f>BS14/'Income Statement'!BS23</f>
        <v>3.8839262586866589E-2</v>
      </c>
      <c r="BT59" s="76">
        <f>BT14/'Income Statement'!BT23</f>
        <v>3.2384330820799612E-2</v>
      </c>
      <c r="BU59" s="76">
        <f>BU14/'Income Statement'!BU23</f>
        <v>3.2099885760613206E-2</v>
      </c>
      <c r="BW59" s="76">
        <f>BW14/'Income Statement'!BW23</f>
        <v>3.2321292325501856E-2</v>
      </c>
      <c r="BX59" s="76">
        <f>BX14/'Income Statement'!BX23</f>
        <v>2.7022413774710093E-2</v>
      </c>
      <c r="BY59" s="76">
        <f>BY14/'Income Statement'!BY23</f>
        <v>1.9469939200027049E-2</v>
      </c>
      <c r="BZ59" s="76">
        <f>BZ14/'Income Statement'!BZ23</f>
        <v>1.8289770465702536E-2</v>
      </c>
      <c r="CB59" s="76">
        <f>CB14/'Income Statement'!CB23</f>
        <v>1.9671380705431566E-2</v>
      </c>
      <c r="CC59" s="76">
        <f>CC14/'Income Statement'!CC23</f>
        <v>1.6478972949498193E-2</v>
      </c>
      <c r="CD59" s="76">
        <f>CD14/'Income Statement'!CD23</f>
        <v>2.0463568662014538E-2</v>
      </c>
      <c r="CE59" s="76">
        <f>CE14/'Income Statement'!CE23</f>
        <v>1.8688596172039881E-2</v>
      </c>
      <c r="CG59" s="76">
        <f>CG14/'Income Statement'!CG23</f>
        <v>1.4325892587033701E-2</v>
      </c>
      <c r="CH59" s="76">
        <f>CH14/'Income Statement'!CH23</f>
        <v>1.4654993936884447E-2</v>
      </c>
      <c r="CI59" s="76">
        <f>CI14/'Income Statement'!CI23</f>
        <v>1.3492546982811772E-2</v>
      </c>
      <c r="CJ59" s="76">
        <f>CJ14/'Income Statement'!CJ23</f>
        <v>1.3218610650655755E-2</v>
      </c>
      <c r="CL59" s="76">
        <f>CL14/'Income Statement'!CL23</f>
        <v>1.2748489379207842E-2</v>
      </c>
      <c r="CM59" s="76">
        <f>CM14/'Income Statement'!CM23</f>
        <v>1.1767824101644475E-2</v>
      </c>
      <c r="CN59" s="76">
        <f>CN14/'Income Statement'!CN23</f>
        <v>1.1504013398693358E-2</v>
      </c>
      <c r="CO59" s="76">
        <f>CO14/'Income Statement'!CO23</f>
        <v>1.0112545549113037E-2</v>
      </c>
      <c r="CQ59" s="90">
        <v>0.06</v>
      </c>
      <c r="CR59" s="90">
        <v>0.03</v>
      </c>
      <c r="CS59" s="90">
        <v>0.03</v>
      </c>
      <c r="CT59" s="90">
        <v>0.03</v>
      </c>
    </row>
    <row r="60" spans="2:98">
      <c r="C60" s="7" t="s">
        <v>69</v>
      </c>
      <c r="D60" s="76"/>
      <c r="E60" s="76">
        <f>E16/'Income Statement'!E23</f>
        <v>9.8144934373473061E-2</v>
      </c>
      <c r="F60" s="76">
        <f>F16/'Income Statement'!F23</f>
        <v>8.3618227293581371E-2</v>
      </c>
      <c r="G60" s="76">
        <f>G16/'Income Statement'!G23</f>
        <v>7.1288080772761053E-2</v>
      </c>
      <c r="H60" s="76">
        <f>H16/'Income Statement'!H23</f>
        <v>5.4339698608075464E-2</v>
      </c>
      <c r="I60" s="76"/>
      <c r="J60" s="76">
        <f>J16/'Income Statement'!J23</f>
        <v>5.3662042693883416E-2</v>
      </c>
      <c r="K60" s="76">
        <f>K16/'Income Statement'!K23</f>
        <v>3.8796209056143657E-2</v>
      </c>
      <c r="L60" s="76">
        <f>L16/'Income Statement'!L23</f>
        <v>2.8211268363558091E-2</v>
      </c>
      <c r="M60" s="76">
        <f>M16/'Income Statement'!M23</f>
        <v>2.6624627780697144E-2</v>
      </c>
      <c r="N60" s="76"/>
      <c r="O60" s="76">
        <f>O16/'Income Statement'!O23</f>
        <v>3.0721856201661416E-2</v>
      </c>
      <c r="P60" s="76">
        <f>P16/'Income Statement'!P23</f>
        <v>2.8842975206611571E-2</v>
      </c>
      <c r="Q60" s="76">
        <f>Q16/'Income Statement'!Q23</f>
        <v>2.9131477992110508E-2</v>
      </c>
      <c r="R60" s="76">
        <f>R16/'Income Statement'!R23</f>
        <v>2.9348831430582974E-2</v>
      </c>
      <c r="S60" s="76"/>
      <c r="T60" s="76">
        <f>T16/'Income Statement'!T23</f>
        <v>2.8967340209556769E-2</v>
      </c>
      <c r="U60" s="76">
        <f>U16/'Income Statement'!U23</f>
        <v>2.7379943962989508E-2</v>
      </c>
      <c r="V60" s="76">
        <f>V16/'Income Statement'!V23</f>
        <v>2.7220667495854063E-2</v>
      </c>
      <c r="W60" s="76">
        <f>W16/'Income Statement'!W23</f>
        <v>2.3794149538858902E-2</v>
      </c>
      <c r="X60" s="76"/>
      <c r="Y60" s="76">
        <f>Y16/'Income Statement'!Y23</f>
        <v>2.3608911669064227E-2</v>
      </c>
      <c r="Z60" s="76">
        <f>Z16/'Income Statement'!Z23</f>
        <v>2.0827860957884598E-2</v>
      </c>
      <c r="AA60" s="76">
        <f>AA16/'Income Statement'!AA23</f>
        <v>2.162075763226597E-2</v>
      </c>
      <c r="AB60" s="76">
        <f>AB16/'Income Statement'!AB23</f>
        <v>2.135936582501468E-2</v>
      </c>
      <c r="AC60" s="90"/>
      <c r="AD60" s="76">
        <f>AD16/'Income Statement'!AD23</f>
        <v>2.1002306913433334E-2</v>
      </c>
      <c r="AE60" s="76">
        <f>AE16/'Income Statement'!AE23</f>
        <v>2.0400046562160483E-2</v>
      </c>
      <c r="AF60" s="76">
        <f>AF16/'Income Statement'!AF23</f>
        <v>1.941674998364807E-2</v>
      </c>
      <c r="AG60" s="76">
        <f>AG16/'Income Statement'!AG23</f>
        <v>1.1631372194879667E-2</v>
      </c>
      <c r="AH60" s="90"/>
      <c r="AI60" s="76">
        <f>AI16/'Income Statement'!AI23</f>
        <v>1.1365048922984036E-2</v>
      </c>
      <c r="AJ60" s="76">
        <f>AJ16/'Income Statement'!AJ23</f>
        <v>0</v>
      </c>
      <c r="AK60" s="76">
        <f>AK16/'Income Statement'!AK23</f>
        <v>0</v>
      </c>
      <c r="AL60" s="76">
        <f>AL16/'Income Statement'!AL23</f>
        <v>0</v>
      </c>
      <c r="AM60" s="90"/>
      <c r="AN60" s="76">
        <f>AN16/'Income Statement'!AN23</f>
        <v>0</v>
      </c>
      <c r="AO60" s="76">
        <f>AO16/'Income Statement'!AO23</f>
        <v>0</v>
      </c>
      <c r="AP60" s="76">
        <f>AP16/'Income Statement'!AP23</f>
        <v>0</v>
      </c>
      <c r="AQ60" s="76">
        <f>AQ16/'Income Statement'!AQ23</f>
        <v>0</v>
      </c>
      <c r="AR60" s="76"/>
      <c r="AS60" s="76">
        <f>AS16/'Income Statement'!AS23</f>
        <v>0</v>
      </c>
      <c r="AT60" s="76">
        <f>AT16/'Income Statement'!AT23</f>
        <v>0</v>
      </c>
      <c r="AU60" s="76">
        <f>AU16/'Income Statement'!AU23</f>
        <v>0</v>
      </c>
      <c r="AV60" s="76">
        <f>AV16/'Income Statement'!AV23</f>
        <v>0</v>
      </c>
      <c r="AW60" s="76"/>
      <c r="AX60" s="76">
        <f>AX16/'Income Statement'!AX23</f>
        <v>0</v>
      </c>
      <c r="AY60" s="76">
        <f>AY16/'Income Statement'!AY23</f>
        <v>0</v>
      </c>
      <c r="AZ60" s="76">
        <f>AZ16/'Income Statement'!AZ23</f>
        <v>0</v>
      </c>
      <c r="BA60" s="76">
        <f>BA16/'Income Statement'!BA23</f>
        <v>0</v>
      </c>
      <c r="BB60" s="76"/>
      <c r="BC60" s="76">
        <f>BC16/'Income Statement'!BC23</f>
        <v>0</v>
      </c>
      <c r="BD60" s="76">
        <f>BD16/'Income Statement'!BD23</f>
        <v>0</v>
      </c>
      <c r="BE60" s="76">
        <f>BE16/'Income Statement'!BE23</f>
        <v>0</v>
      </c>
      <c r="BF60" s="76">
        <f>BF16/'Income Statement'!BF23</f>
        <v>0</v>
      </c>
      <c r="BH60" s="76">
        <f>BH16/'Income Statement'!BH23</f>
        <v>0</v>
      </c>
      <c r="BI60" s="76">
        <f>BI16/'Income Statement'!BI23</f>
        <v>0</v>
      </c>
      <c r="BJ60" s="76">
        <f>BJ16/'Income Statement'!BJ23</f>
        <v>0</v>
      </c>
      <c r="BK60" s="76">
        <f>BK16/'Income Statement'!BK23</f>
        <v>0</v>
      </c>
      <c r="BM60" s="76">
        <f>BM16/'Income Statement'!BM23</f>
        <v>0</v>
      </c>
      <c r="BN60" s="76">
        <f>BN16/'Income Statement'!BN23</f>
        <v>0</v>
      </c>
      <c r="BO60" s="76">
        <f>BO16/'Income Statement'!BO23</f>
        <v>0</v>
      </c>
      <c r="BP60" s="76">
        <f>BP16/'Income Statement'!BP23</f>
        <v>0.29159374470727711</v>
      </c>
      <c r="BR60" s="76">
        <f>BR16/'Income Statement'!BR23</f>
        <v>0.3830028290174422</v>
      </c>
      <c r="BS60" s="76">
        <f>BS16/'Income Statement'!BS23</f>
        <v>0.1950276665605889</v>
      </c>
      <c r="BT60" s="76">
        <f>BT16/'Income Statement'!BT23</f>
        <v>0.14093056375699051</v>
      </c>
      <c r="BU60" s="76">
        <f>BU16/'Income Statement'!BU23</f>
        <v>0.10676085274174528</v>
      </c>
      <c r="BW60" s="76">
        <f>BW16/'Income Statement'!BW23</f>
        <v>7.5293570820945913E-2</v>
      </c>
      <c r="BX60" s="76">
        <f>BX16/'Income Statement'!BX23</f>
        <v>5.646436305834409E-2</v>
      </c>
      <c r="BY60" s="76">
        <f>BY16/'Income Statement'!BY23</f>
        <v>4.7817900171389566E-2</v>
      </c>
      <c r="BZ60" s="76">
        <f>BZ16/'Income Statement'!BZ23</f>
        <v>4.0926982442174166E-2</v>
      </c>
      <c r="CB60" s="76">
        <f>CB16/'Income Statement'!CB23</f>
        <v>3.0823158907541118E-2</v>
      </c>
      <c r="CC60" s="76">
        <f>CC16/'Income Statement'!CC23</f>
        <v>2.0060323749353036E-2</v>
      </c>
      <c r="CD60" s="76">
        <f>CD16/'Income Statement'!CD23</f>
        <v>1.9311317932255743E-2</v>
      </c>
      <c r="CE60" s="76">
        <f>CE16/'Income Statement'!CE23</f>
        <v>1.4650628463305853E-2</v>
      </c>
      <c r="CG60" s="76">
        <f>CG16/'Income Statement'!CG23</f>
        <v>1.0719046605993064E-2</v>
      </c>
      <c r="CH60" s="76">
        <f>CH16/'Income Statement'!CH23</f>
        <v>7.1703735470704799E-3</v>
      </c>
      <c r="CI60" s="76">
        <f>CI16/'Income Statement'!CI23</f>
        <v>7.1484180168109295E-3</v>
      </c>
      <c r="CJ60" s="76">
        <f>CJ16/'Income Statement'!CJ23</f>
        <v>1.9880583444674211E-2</v>
      </c>
      <c r="CL60" s="76">
        <f>CL16/'Income Statement'!CL23</f>
        <v>5.3648049684605383E-3</v>
      </c>
      <c r="CM60" s="76">
        <f>CM16/'Income Statement'!CM23</f>
        <v>5.0225039715357895E-3</v>
      </c>
      <c r="CN60" s="76">
        <f>CN16/'Income Statement'!CN23</f>
        <v>3.7656973982973053E-2</v>
      </c>
      <c r="CO60" s="76">
        <f>CO16/'Income Statement'!CO23</f>
        <v>0.10285041718164596</v>
      </c>
      <c r="CQ60" s="90">
        <v>0.1</v>
      </c>
      <c r="CR60" s="90">
        <v>0.1</v>
      </c>
      <c r="CS60" s="90">
        <v>0.1</v>
      </c>
      <c r="CT60" s="90">
        <v>0.1</v>
      </c>
    </row>
    <row r="61" spans="2:98">
      <c r="D61" s="76"/>
      <c r="E61" s="76"/>
      <c r="F61" s="76"/>
      <c r="G61" s="76"/>
      <c r="H61" s="76"/>
      <c r="I61" s="76"/>
      <c r="J61" s="76"/>
      <c r="K61" s="76"/>
      <c r="L61" s="76"/>
      <c r="M61" s="76"/>
      <c r="N61" s="76"/>
      <c r="O61" s="76"/>
      <c r="P61" s="76"/>
      <c r="Q61" s="76"/>
      <c r="R61" s="76"/>
      <c r="S61" s="76"/>
      <c r="T61" s="76"/>
      <c r="U61" s="76"/>
      <c r="V61" s="76"/>
      <c r="W61" s="76"/>
      <c r="X61" s="76"/>
      <c r="Y61" s="76"/>
      <c r="Z61" s="76"/>
      <c r="AA61" s="76"/>
      <c r="AB61" s="76"/>
      <c r="AC61" s="90"/>
      <c r="AD61" s="76"/>
      <c r="AE61" s="76"/>
      <c r="AF61" s="76"/>
      <c r="AG61" s="76"/>
      <c r="AH61" s="90"/>
      <c r="AI61" s="76"/>
      <c r="AJ61" s="76"/>
      <c r="AK61" s="76"/>
      <c r="AL61" s="76"/>
      <c r="AM61" s="90"/>
      <c r="AN61" s="76"/>
      <c r="AO61" s="90"/>
      <c r="AP61" s="90"/>
      <c r="AQ61" s="90"/>
      <c r="AR61" s="90"/>
      <c r="AS61" s="90"/>
      <c r="AT61" s="90"/>
      <c r="AU61" s="90"/>
      <c r="AV61" s="90"/>
      <c r="AW61" s="90"/>
      <c r="AX61" s="90"/>
      <c r="AY61" s="90"/>
      <c r="AZ61" s="90"/>
      <c r="BA61" s="90"/>
      <c r="BB61" s="90"/>
      <c r="BC61" s="90"/>
      <c r="BD61" s="90"/>
      <c r="BE61" s="90"/>
      <c r="BF61" s="90"/>
      <c r="BH61" s="90"/>
      <c r="BI61" s="90"/>
      <c r="BJ61" s="90"/>
      <c r="BK61" s="90"/>
      <c r="BM61" s="90"/>
      <c r="BN61" s="90"/>
      <c r="BO61" s="90"/>
      <c r="BP61" s="90"/>
      <c r="BR61" s="90"/>
      <c r="BS61" s="90"/>
      <c r="BT61" s="90"/>
      <c r="BU61" s="90"/>
      <c r="BW61" s="90"/>
      <c r="BX61" s="90"/>
      <c r="BY61" s="90"/>
      <c r="BZ61" s="90"/>
      <c r="CB61" s="90"/>
      <c r="CC61" s="90"/>
      <c r="CD61" s="90"/>
      <c r="CE61" s="90"/>
      <c r="CG61" s="90"/>
      <c r="CH61" s="90"/>
      <c r="CI61" s="90"/>
      <c r="CJ61" s="90"/>
      <c r="CL61" s="90"/>
      <c r="CM61" s="90"/>
      <c r="CN61" s="90"/>
      <c r="CO61" s="90"/>
      <c r="CQ61" s="90"/>
      <c r="CR61" s="90"/>
      <c r="CS61" s="90"/>
      <c r="CT61" s="90"/>
    </row>
    <row r="62" spans="2:98">
      <c r="C62" s="7" t="s">
        <v>82</v>
      </c>
      <c r="D62" s="76"/>
      <c r="E62" s="76">
        <f>E27/'Income Statement'!E23</f>
        <v>0.34680123334063451</v>
      </c>
      <c r="F62" s="76">
        <f>F27/'Income Statement'!F23</f>
        <v>0.35442288623481183</v>
      </c>
      <c r="G62" s="76">
        <f>G27/'Income Statement'!G23</f>
        <v>0.420400075760887</v>
      </c>
      <c r="H62" s="76">
        <f>H27/'Income Statement'!H23</f>
        <v>0.36710571724375934</v>
      </c>
      <c r="I62" s="76"/>
      <c r="J62" s="76">
        <f>J27/'Income Statement'!J23</f>
        <v>0.31596348738589808</v>
      </c>
      <c r="K62" s="76">
        <f>K27/'Income Statement'!K23</f>
        <v>0.31991631103475032</v>
      </c>
      <c r="L62" s="76">
        <f>L27/'Income Statement'!L23</f>
        <v>0.39429855244040252</v>
      </c>
      <c r="M62" s="76">
        <f>M27/'Income Statement'!M23</f>
        <v>0.40310171524044358</v>
      </c>
      <c r="N62" s="76"/>
      <c r="O62" s="76">
        <f>O27/'Income Statement'!O23</f>
        <v>0.29269550272128331</v>
      </c>
      <c r="P62" s="76">
        <f>P27/'Income Statement'!P23</f>
        <v>0.2740358126721763</v>
      </c>
      <c r="Q62" s="76">
        <f>Q27/'Income Statement'!Q23</f>
        <v>0.57951171901476228</v>
      </c>
      <c r="R62" s="76">
        <f>R27/'Income Statement'!R23</f>
        <v>0.30451828434959072</v>
      </c>
      <c r="S62" s="76"/>
      <c r="T62" s="76">
        <f>T27/'Income Statement'!T23</f>
        <v>0.30457945580641205</v>
      </c>
      <c r="U62" s="76">
        <f>U27/'Income Statement'!U23</f>
        <v>0.29708737864077672</v>
      </c>
      <c r="V62" s="76">
        <f>V27/'Income Statement'!V23</f>
        <v>0.32309805140961856</v>
      </c>
      <c r="W62" s="76">
        <f>W27/'Income Statement'!W23</f>
        <v>0.34067179181032908</v>
      </c>
      <c r="X62" s="76"/>
      <c r="Y62" s="76">
        <f>Y27/'Income Statement'!Y23</f>
        <v>0.21173071576224267</v>
      </c>
      <c r="Z62" s="76">
        <f>Z27/'Income Statement'!Z23</f>
        <v>0.26585894405043342</v>
      </c>
      <c r="AA62" s="76">
        <f>AA27/'Income Statement'!AA23</f>
        <v>0.26135649208801748</v>
      </c>
      <c r="AB62" s="76">
        <f>AB27/'Income Statement'!AB23</f>
        <v>0.30665422363895645</v>
      </c>
      <c r="AC62" s="90"/>
      <c r="AD62" s="76">
        <f>AD27/'Income Statement'!AD23</f>
        <v>0.25499222330086951</v>
      </c>
      <c r="AE62" s="76">
        <f>AE27/'Income Statement'!AE23</f>
        <v>0.26539461431010397</v>
      </c>
      <c r="AF62" s="76">
        <f>AF27/'Income Statement'!AF23</f>
        <v>0.28158959456555255</v>
      </c>
      <c r="AG62" s="76">
        <f>AG27/'Income Statement'!AG23</f>
        <v>0.31942926807242517</v>
      </c>
      <c r="AH62" s="90"/>
      <c r="AI62" s="76">
        <f>AI27/'Income Statement'!AI23</f>
        <v>0.19608260969935895</v>
      </c>
      <c r="AJ62" s="76">
        <f>AJ27/'Income Statement'!AJ23</f>
        <v>0.2507497728570165</v>
      </c>
      <c r="AK62" s="76">
        <f>AK27/'Income Statement'!AK23</f>
        <v>0.27604458123484427</v>
      </c>
      <c r="AL62" s="76">
        <f>AL27/'Income Statement'!AL23</f>
        <v>0.34233364720652854</v>
      </c>
      <c r="AM62" s="90"/>
      <c r="AN62" s="76">
        <f>AN27/'Income Statement'!AN23</f>
        <v>0.20843768060104026</v>
      </c>
      <c r="AO62" s="76">
        <f>AO27/'Income Statement'!AO23</f>
        <v>0.26791756382651494</v>
      </c>
      <c r="AP62" s="76">
        <f>AP27/'Income Statement'!AP23</f>
        <v>0.27567370479631409</v>
      </c>
      <c r="AQ62" s="76">
        <f>AQ27/'Income Statement'!AQ23</f>
        <v>0.34504345037282824</v>
      </c>
      <c r="AR62" s="76"/>
      <c r="AS62" s="76">
        <f>AS27/'Income Statement'!AS23</f>
        <v>0.21393820139684736</v>
      </c>
      <c r="AT62" s="76">
        <f>AT27/'Income Statement'!AT23</f>
        <v>0.29135118116738667</v>
      </c>
      <c r="AU62" s="76">
        <f>AU27/'Income Statement'!AU23</f>
        <v>0.30429264197980349</v>
      </c>
      <c r="AV62" s="76">
        <f>AV27/'Income Statement'!AV23</f>
        <v>0.32444016077434173</v>
      </c>
      <c r="AW62" s="76"/>
      <c r="AX62" s="76">
        <f>AX27/'Income Statement'!AX23</f>
        <v>0.23694941883446666</v>
      </c>
      <c r="AY62" s="76">
        <f>AY27/'Income Statement'!AY23</f>
        <v>0.26480054245575835</v>
      </c>
      <c r="AZ62" s="76">
        <f>AZ27/'Income Statement'!AZ23</f>
        <v>0.2898492593559942</v>
      </c>
      <c r="BA62" s="76">
        <f>BA27/'Income Statement'!BA23</f>
        <v>0.33403794833230926</v>
      </c>
      <c r="BB62" s="76"/>
      <c r="BC62" s="76">
        <f>BC27/'Income Statement'!BC23</f>
        <v>0.23225150755471238</v>
      </c>
      <c r="BD62" s="76">
        <f>BD27/'Income Statement'!BD23</f>
        <v>0.24313273487519035</v>
      </c>
      <c r="BE62" s="76">
        <f>BE27/'Income Statement'!BE23</f>
        <v>0.29724962957974138</v>
      </c>
      <c r="BF62" s="76">
        <f>BF27/'Income Statement'!BF23</f>
        <v>0.30197545189336428</v>
      </c>
      <c r="BH62" s="76">
        <f>BH27/'Income Statement'!BH23</f>
        <v>0.28072904732616988</v>
      </c>
      <c r="BI62" s="76">
        <f>BI27/'Income Statement'!BI23</f>
        <v>0.28403380087128255</v>
      </c>
      <c r="BJ62" s="76">
        <f>BJ27/'Income Statement'!BJ23</f>
        <v>0.28443253110715871</v>
      </c>
      <c r="BK62" s="76">
        <f>BK27/'Income Statement'!BK23</f>
        <v>0.31385926763503524</v>
      </c>
      <c r="BM62" s="76">
        <f>BM27/'Income Statement'!BM23</f>
        <v>0.2627465857359636</v>
      </c>
      <c r="BN62" s="76">
        <f>BN27/'Income Statement'!BN23</f>
        <v>0.23959104997991368</v>
      </c>
      <c r="BO62" s="76">
        <f>BO27/'Income Statement'!BO23</f>
        <v>0.32441062192021319</v>
      </c>
      <c r="BP62" s="76">
        <f>BP27/'Income Statement'!BP23</f>
        <v>0.34259795065770904</v>
      </c>
      <c r="BR62" s="76">
        <f>BR27/'Income Statement'!BR23</f>
        <v>0.33550654337487534</v>
      </c>
      <c r="BS62" s="76">
        <f>BS27/'Income Statement'!BS23</f>
        <v>0.59608548387494664</v>
      </c>
      <c r="BT62" s="76">
        <f>BT27/'Income Statement'!BT23</f>
        <v>0.60971638473027889</v>
      </c>
      <c r="BU62" s="76">
        <f>BU27/'Income Statement'!BU23</f>
        <v>0.64124226120283023</v>
      </c>
      <c r="BW62" s="76">
        <f>BW27/'Income Statement'!BW23</f>
        <v>0.59025932454594088</v>
      </c>
      <c r="BX62" s="76">
        <f>BX27/'Income Statement'!BX23</f>
        <v>0.56521544320812489</v>
      </c>
      <c r="BY62" s="76">
        <f>BY27/'Income Statement'!BY23</f>
        <v>0.51233856941488742</v>
      </c>
      <c r="BZ62" s="76">
        <f>BZ27/'Income Statement'!BZ23</f>
        <v>0.52353721639909778</v>
      </c>
      <c r="CB62" s="76">
        <f>CB27/'Income Statement'!CB23</f>
        <v>0.48083407332368344</v>
      </c>
      <c r="CC62" s="76">
        <f>CC27/'Income Statement'!CC23</f>
        <v>0.48602261843146355</v>
      </c>
      <c r="CD62" s="76">
        <f>CD27/'Income Statement'!CD23</f>
        <v>0.53987596121968773</v>
      </c>
      <c r="CE62" s="76">
        <f>CE27/'Income Statement'!CE23</f>
        <v>0.63396716812043208</v>
      </c>
      <c r="CG62" s="76">
        <f>CG27/'Income Statement'!CG23</f>
        <v>0.49108925577573537</v>
      </c>
      <c r="CH62" s="76">
        <f>CH27/'Income Statement'!CH23</f>
        <v>0.56097867557895364</v>
      </c>
      <c r="CI62" s="76">
        <f>CI27/'Income Statement'!CI23</f>
        <v>0.5633244192830601</v>
      </c>
      <c r="CJ62" s="76">
        <f>CJ27/'Income Statement'!CJ23</f>
        <v>0.65515743877175769</v>
      </c>
      <c r="CL62" s="76">
        <f>CL27/'Income Statement'!CL23</f>
        <v>0.52859076552865092</v>
      </c>
      <c r="CM62" s="76">
        <f>CM27/'Income Statement'!CM23</f>
        <v>0.57739000900829873</v>
      </c>
      <c r="CN62" s="76">
        <f>CN27/'Income Statement'!CN23</f>
        <v>0.53862109589362939</v>
      </c>
      <c r="CO62" s="76">
        <f>CO27/'Income Statement'!CO23</f>
        <v>0.61906468937437187</v>
      </c>
      <c r="CQ62" s="90">
        <v>0.55000000000000004</v>
      </c>
      <c r="CR62" s="90">
        <v>0.55000000000000004</v>
      </c>
      <c r="CS62" s="90">
        <v>0.55000000000000004</v>
      </c>
      <c r="CT62" s="90">
        <v>0.66</v>
      </c>
    </row>
    <row r="63" spans="2:98">
      <c r="C63" s="7" t="s">
        <v>44</v>
      </c>
      <c r="D63" s="76"/>
      <c r="E63" s="76">
        <f>E29/'Income Statement'!E23</f>
        <v>1.4056376472174015</v>
      </c>
      <c r="F63" s="76">
        <f>F29/'Income Statement'!F23</f>
        <v>1.3759712294099364</v>
      </c>
      <c r="G63" s="76">
        <f>G29/'Income Statement'!G23</f>
        <v>1.3262380348791467</v>
      </c>
      <c r="H63" s="76">
        <f>H29/'Income Statement'!H23</f>
        <v>1.3771569078568964</v>
      </c>
      <c r="I63" s="76"/>
      <c r="J63" s="76">
        <f>J29/'Income Statement'!J23</f>
        <v>1.2512326601020629</v>
      </c>
      <c r="K63" s="76">
        <f>K29/'Income Statement'!K23</f>
        <v>1.2808429861996342</v>
      </c>
      <c r="L63" s="76">
        <f>L29/'Income Statement'!L23</f>
        <v>1.3408760695259108</v>
      </c>
      <c r="M63" s="76">
        <f>M29/'Income Statement'!M23</f>
        <v>1.3354891736394627</v>
      </c>
      <c r="N63" s="76"/>
      <c r="O63" s="76">
        <f>O29/'Income Statement'!O23</f>
        <v>1.2292752792896018</v>
      </c>
      <c r="P63" s="76">
        <f>P29/'Income Statement'!P23</f>
        <v>1.3476308539944903</v>
      </c>
      <c r="Q63" s="76">
        <f>Q29/'Income Statement'!Q23</f>
        <v>1.3333107402838591</v>
      </c>
      <c r="R63" s="76">
        <f>R29/'Income Statement'!R23</f>
        <v>1.4162260660693826</v>
      </c>
      <c r="S63" s="76"/>
      <c r="T63" s="76">
        <f>T29/'Income Statement'!T23</f>
        <v>1.2506914828389628</v>
      </c>
      <c r="U63" s="76">
        <f>U29/'Income Statement'!U23</f>
        <v>1.4394344171499316</v>
      </c>
      <c r="V63" s="76">
        <f>V29/'Income Statement'!V23</f>
        <v>1.4007307213930349</v>
      </c>
      <c r="W63" s="76">
        <f>W29/'Income Statement'!W23</f>
        <v>1.5068166035161248</v>
      </c>
      <c r="X63" s="76"/>
      <c r="Y63" s="76">
        <f>Y29/'Income Statement'!Y23</f>
        <v>1.3222562044413282</v>
      </c>
      <c r="Z63" s="76">
        <f>Z29/'Income Statement'!Z23</f>
        <v>1.3759850275807723</v>
      </c>
      <c r="AA63" s="76">
        <f>AA29/'Income Statement'!AA23</f>
        <v>1.2800575416910864</v>
      </c>
      <c r="AB63" s="76">
        <f>AB29/'Income Statement'!AB23</f>
        <v>1.4737647848334872</v>
      </c>
      <c r="AC63" s="90"/>
      <c r="AD63" s="76">
        <f>AD29/'Income Statement'!AD23</f>
        <v>1.3088341214417687</v>
      </c>
      <c r="AE63" s="76">
        <f>AE29/'Income Statement'!AE23</f>
        <v>1.5123292720782244</v>
      </c>
      <c r="AF63" s="76">
        <f>AF29/'Income Statement'!AF23</f>
        <v>1.4157034600685847</v>
      </c>
      <c r="AG63" s="76">
        <f>AG29/'Income Statement'!AG23</f>
        <v>1.4154332415225539</v>
      </c>
      <c r="AH63" s="90"/>
      <c r="AI63" s="76">
        <f>AI29/'Income Statement'!AI23</f>
        <v>1.2368192069326798</v>
      </c>
      <c r="AJ63" s="76">
        <f>AJ29/'Income Statement'!AJ23</f>
        <v>1.4840919506959018</v>
      </c>
      <c r="AK63" s="76">
        <f>AK29/'Income Statement'!AK23</f>
        <v>1.444413355717217</v>
      </c>
      <c r="AL63" s="76">
        <f>AL29/'Income Statement'!AL23</f>
        <v>1.4847143753923415</v>
      </c>
      <c r="AM63" s="90"/>
      <c r="AN63" s="76">
        <f>AN29/'Income Statement'!AN23</f>
        <v>1.2203517923032468</v>
      </c>
      <c r="AO63" s="76">
        <f>AO29/'Income Statement'!AO23</f>
        <v>1.3776889162309034</v>
      </c>
      <c r="AP63" s="76">
        <f>AP29/'Income Statement'!AP23</f>
        <v>1.3317643939142829</v>
      </c>
      <c r="AQ63" s="76">
        <f>AQ29/'Income Statement'!AQ23</f>
        <v>1.7369479273956296</v>
      </c>
      <c r="AR63" s="76"/>
      <c r="AS63" s="76">
        <f>AS29/'Income Statement'!AS23</f>
        <v>1.3520228339135512</v>
      </c>
      <c r="AT63" s="76">
        <f>AT29/'Income Statement'!AT23</f>
        <v>1.5302324141027825</v>
      </c>
      <c r="AU63" s="76">
        <f>AU29/'Income Statement'!AU23</f>
        <v>1.4579306927188418</v>
      </c>
      <c r="AV63" s="76">
        <f>AV29/'Income Statement'!AV23</f>
        <v>1.5288788860634894</v>
      </c>
      <c r="AW63" s="76"/>
      <c r="AX63" s="76">
        <f>AX29/'Income Statement'!AX23</f>
        <v>1.3520066847796175</v>
      </c>
      <c r="AY63" s="76">
        <f>AY29/'Income Statement'!AY23</f>
        <v>1.4522533879609203</v>
      </c>
      <c r="AZ63" s="76">
        <f>AZ29/'Income Statement'!AZ23</f>
        <v>1.385969739935077</v>
      </c>
      <c r="BA63" s="76">
        <f>BA29/'Income Statement'!BA23</f>
        <v>1.4189860880570051</v>
      </c>
      <c r="BB63" s="76"/>
      <c r="BC63" s="76">
        <f>BC29/'Income Statement'!BC23</f>
        <v>1.21115703412607</v>
      </c>
      <c r="BD63" s="76">
        <f>BD29/'Income Statement'!BD23</f>
        <v>1.3296371391793775</v>
      </c>
      <c r="BE63" s="76">
        <f>BE29/'Income Statement'!BE23</f>
        <v>1.3740108095366379</v>
      </c>
      <c r="BF63" s="76">
        <f>BF29/'Income Statement'!BF23</f>
        <v>1.4422403541905833</v>
      </c>
      <c r="BH63" s="76">
        <f>BH29/'Income Statement'!BH23</f>
        <v>1.2859629446501288</v>
      </c>
      <c r="BI63" s="76">
        <f>BI29/'Income Statement'!BI23</f>
        <v>1.3255870005503974</v>
      </c>
      <c r="BJ63" s="76">
        <f>BJ29/'Income Statement'!BJ23</f>
        <v>1.4126203609837402</v>
      </c>
      <c r="BK63" s="76">
        <f>BK29/'Income Statement'!BK23</f>
        <v>1.4351396016352092</v>
      </c>
      <c r="BM63" s="76">
        <f>BM29/'Income Statement'!BM23</f>
        <v>1.3222017486812632</v>
      </c>
      <c r="BN63" s="76">
        <f>BN29/'Income Statement'!BN23</f>
        <v>1.5591293227041709</v>
      </c>
      <c r="BO63" s="76">
        <f>BO29/'Income Statement'!BO23</f>
        <v>1.5265740355392972</v>
      </c>
      <c r="BP63" s="76">
        <f>BP29/'Income Statement'!BP23</f>
        <v>1.6276110766103991</v>
      </c>
      <c r="BR63" s="76">
        <f>BR29/'Income Statement'!BR23</f>
        <v>1.4264998202183161</v>
      </c>
      <c r="BS63" s="76">
        <f>BS29/'Income Statement'!BS23</f>
        <v>1.1951806158924223</v>
      </c>
      <c r="BT63" s="76">
        <f>BT29/'Income Statement'!BT23</f>
        <v>1.0751719406717843</v>
      </c>
      <c r="BU63" s="76">
        <f>BU29/'Income Statement'!BU23</f>
        <v>1.175857256043632</v>
      </c>
      <c r="BW63" s="76">
        <f>BW29/'Income Statement'!BW23</f>
        <v>0.99686477764038339</v>
      </c>
      <c r="BX63" s="76">
        <f>BX29/'Income Statement'!BX23</f>
        <v>1.1278107897628471</v>
      </c>
      <c r="BY63" s="76">
        <f>BY29/'Income Statement'!BY23</f>
        <v>1.1184342052152303</v>
      </c>
      <c r="BZ63" s="76">
        <f>BZ29/'Income Statement'!BZ23</f>
        <v>1.2572155145725532</v>
      </c>
      <c r="CB63" s="76">
        <f>CB29/'Income Statement'!CB23</f>
        <v>1.0541312654576742</v>
      </c>
      <c r="CC63" s="76">
        <f>CC29/'Income Statement'!CC23</f>
        <v>1.1220772627850852</v>
      </c>
      <c r="CD63" s="76">
        <f>CD29/'Income Statement'!CD23</f>
        <v>1.2137829402204234</v>
      </c>
      <c r="CE63" s="76">
        <f>CE29/'Income Statement'!CE23</f>
        <v>1.3160073606620437</v>
      </c>
      <c r="CG63" s="76">
        <f>CG29/'Income Statement'!CG23</f>
        <v>1.1161529318310013</v>
      </c>
      <c r="CH63" s="76">
        <f>CH29/'Income Statement'!CH23</f>
        <v>1.2057873177368312</v>
      </c>
      <c r="CI63" s="76">
        <f>CI29/'Income Statement'!CI23</f>
        <v>1.2559829350844871</v>
      </c>
      <c r="CJ63" s="76">
        <f>CJ29/'Income Statement'!CJ23</f>
        <v>1.2962443474870224</v>
      </c>
      <c r="CL63" s="76">
        <f>CL29/'Income Statement'!CL23</f>
        <v>1.1366220484283351</v>
      </c>
      <c r="CM63" s="76">
        <f>CM29/'Income Statement'!CM23</f>
        <v>1.2086503152904546</v>
      </c>
      <c r="CN63" s="76">
        <f>CN29/'Income Statement'!CN23</f>
        <v>1.277188825248079</v>
      </c>
      <c r="CO63" s="76">
        <f>CO29/'Income Statement'!CO23</f>
        <v>1.3230998393897999</v>
      </c>
      <c r="CQ63" s="90">
        <v>1.2</v>
      </c>
      <c r="CR63" s="90">
        <v>1.25</v>
      </c>
      <c r="CS63" s="90">
        <v>1.35</v>
      </c>
      <c r="CT63" s="90">
        <v>1.36</v>
      </c>
    </row>
    <row r="64" spans="2:98">
      <c r="Z64" s="76"/>
      <c r="AA64" s="76"/>
      <c r="AB64" s="76"/>
      <c r="AC64" s="76"/>
      <c r="AD64" s="76"/>
      <c r="AE64" s="76"/>
      <c r="AF64" s="76"/>
      <c r="AG64" s="76"/>
      <c r="AH64" s="76"/>
      <c r="AI64" s="76"/>
      <c r="AJ64" s="76"/>
      <c r="AK64" s="76"/>
      <c r="AL64" s="76"/>
      <c r="AM64" s="76"/>
      <c r="AS64" s="279"/>
    </row>
    <row r="65" spans="45:45">
      <c r="AS65" s="279"/>
    </row>
    <row r="66" spans="45:45">
      <c r="AS66" s="279"/>
    </row>
    <row r="67" spans="45:45">
      <c r="AS67" s="279"/>
    </row>
    <row r="68" spans="45:45">
      <c r="AS68" s="279"/>
    </row>
  </sheetData>
  <pageMargins left="0.17" right="0.17" top="0.75" bottom="0.75" header="0.3" footer="0.3"/>
  <pageSetup scale="56"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CU78"/>
  <sheetViews>
    <sheetView showGridLines="0" zoomScaleNormal="100" workbookViewId="0">
      <pane xSplit="3" ySplit="4" topLeftCell="CK11" activePane="bottomRight" state="frozen"/>
      <selection pane="topRight" activeCell="D1" sqref="D1"/>
      <selection pane="bottomLeft" activeCell="A5" sqref="A5"/>
      <selection pane="bottomRight" activeCell="CR45" sqref="CR45"/>
    </sheetView>
  </sheetViews>
  <sheetFormatPr defaultColWidth="9.1328125" defaultRowHeight="13.15" outlineLevelRow="1" outlineLevelCol="1"/>
  <cols>
    <col min="1" max="1" width="1.59765625" style="67" customWidth="1"/>
    <col min="2" max="2" width="1.86328125" style="67" customWidth="1"/>
    <col min="3" max="3" width="43.59765625" style="67" customWidth="1"/>
    <col min="4" max="8" width="10.59765625" style="67" customWidth="1" outlineLevel="1"/>
    <col min="9" max="9" width="10.59765625" style="67" customWidth="1" outlineLevel="1" collapsed="1"/>
    <col min="10" max="13" width="10.59765625" style="67" customWidth="1" outlineLevel="1"/>
    <col min="14" max="14" width="10.59765625" style="67" customWidth="1" outlineLevel="1" collapsed="1"/>
    <col min="15" max="18" width="10.59765625" style="67" customWidth="1" outlineLevel="1"/>
    <col min="19" max="19" width="10.59765625" style="67" customWidth="1" outlineLevel="1" collapsed="1"/>
    <col min="20" max="23" width="10.59765625" style="67" customWidth="1" outlineLevel="1"/>
    <col min="24" max="24" width="10.59765625" style="67" customWidth="1" outlineLevel="1" collapsed="1"/>
    <col min="25" max="28" width="10.59765625" style="67" customWidth="1" outlineLevel="1"/>
    <col min="29" max="29" width="10.59765625" style="67" customWidth="1" outlineLevel="1" collapsed="1"/>
    <col min="30" max="33" width="10.59765625" style="67" customWidth="1" outlineLevel="1"/>
    <col min="34" max="34" width="10.59765625" style="67" customWidth="1" outlineLevel="1" collapsed="1"/>
    <col min="35" max="38" width="10.59765625" style="67" customWidth="1" outlineLevel="1"/>
    <col min="39" max="39" width="10.59765625" style="67" customWidth="1" outlineLevel="1" collapsed="1"/>
    <col min="40" max="43" width="10.59765625" style="67" customWidth="1" outlineLevel="1"/>
    <col min="44" max="44" width="10.59765625" style="67" customWidth="1" outlineLevel="1" collapsed="1"/>
    <col min="45" max="48" width="10.59765625" style="67" customWidth="1" outlineLevel="1"/>
    <col min="49" max="49" width="10.59765625" style="67" customWidth="1" outlineLevel="1" collapsed="1"/>
    <col min="50" max="53" width="10.59765625" style="67" customWidth="1" outlineLevel="1"/>
    <col min="54" max="54" width="10.59765625" style="67" customWidth="1"/>
    <col min="55" max="58" width="10.59765625" style="67" customWidth="1" outlineLevel="1"/>
    <col min="59" max="59" width="10.59765625" style="67" customWidth="1"/>
    <col min="60" max="63" width="10.59765625" style="67" customWidth="1" outlineLevel="1"/>
    <col min="64" max="64" width="10.59765625" style="67" customWidth="1"/>
    <col min="65" max="68" width="10.59765625" style="67" customWidth="1" outlineLevel="1"/>
    <col min="69" max="69" width="10.59765625" style="67" customWidth="1"/>
    <col min="70" max="73" width="10.59765625" style="67" customWidth="1" outlineLevel="1"/>
    <col min="74" max="74" width="11.86328125" style="67" bestFit="1" customWidth="1"/>
    <col min="75" max="78" width="10.59765625" style="67" customWidth="1" outlineLevel="1"/>
    <col min="79" max="79" width="10.86328125" style="67" bestFit="1" customWidth="1"/>
    <col min="80" max="80" width="9.1328125" style="67" outlineLevel="1"/>
    <col min="81" max="83" width="10.265625" style="67" bestFit="1" customWidth="1" outlineLevel="1"/>
    <col min="84" max="84" width="10.1328125" style="67" customWidth="1"/>
    <col min="85" max="85" width="10.1328125" style="67" bestFit="1" customWidth="1" outlineLevel="1"/>
    <col min="86" max="88" width="10.265625" style="67" bestFit="1" customWidth="1" outlineLevel="1"/>
    <col min="89" max="89" width="10.1328125" style="67" bestFit="1" customWidth="1"/>
    <col min="90" max="91" width="10.1328125" style="67" bestFit="1" customWidth="1" outlineLevel="1"/>
    <col min="92" max="93" width="10.265625" style="67" bestFit="1" customWidth="1" outlineLevel="1"/>
    <col min="94" max="94" width="10.86328125" style="67" bestFit="1" customWidth="1"/>
    <col min="95" max="96" width="10.1328125" style="67" bestFit="1" customWidth="1" outlineLevel="1"/>
    <col min="97" max="98" width="10.265625" style="67" bestFit="1" customWidth="1" outlineLevel="1"/>
    <col min="99" max="99" width="10.265625" style="67" bestFit="1" customWidth="1"/>
    <col min="100" max="16384" width="9.1328125" style="67"/>
  </cols>
  <sheetData>
    <row r="1" spans="1:99" ht="10.35" customHeight="1">
      <c r="A1" s="7"/>
      <c r="B1" s="7"/>
      <c r="C1" s="7"/>
      <c r="D1" s="7"/>
      <c r="E1" s="7"/>
      <c r="F1" s="7"/>
      <c r="G1" s="7"/>
      <c r="H1" s="7"/>
      <c r="I1" s="7"/>
      <c r="J1" s="7"/>
      <c r="K1" s="7"/>
      <c r="L1" s="7"/>
      <c r="M1" s="7"/>
      <c r="N1" s="7"/>
      <c r="O1" s="7"/>
      <c r="P1" s="7"/>
      <c r="Q1" s="7"/>
      <c r="R1" s="7"/>
      <c r="S1" s="7"/>
      <c r="T1" s="10"/>
      <c r="U1" s="7"/>
      <c r="V1" s="7"/>
      <c r="W1" s="7"/>
      <c r="X1" s="7"/>
      <c r="Y1" s="7"/>
      <c r="Z1" s="7"/>
      <c r="AA1" s="7"/>
      <c r="AB1" s="7"/>
      <c r="AC1" s="7"/>
      <c r="AD1" s="7"/>
      <c r="AE1" s="7"/>
      <c r="AF1" s="7"/>
      <c r="AG1" s="7"/>
      <c r="AH1" s="7"/>
      <c r="AI1" s="7"/>
      <c r="AJ1" s="7"/>
      <c r="AK1" s="7"/>
      <c r="AL1" s="7"/>
      <c r="AM1" s="7"/>
    </row>
    <row r="2" spans="1:99" ht="15">
      <c r="A2" s="7"/>
      <c r="B2" s="1" t="str">
        <f>'Income Statement'!B2</f>
        <v>Tyler Technologies (TYL)</v>
      </c>
      <c r="C2" s="1"/>
      <c r="D2" s="27"/>
      <c r="E2" s="27"/>
      <c r="F2" s="27"/>
      <c r="G2" s="27"/>
      <c r="H2" s="27"/>
      <c r="I2" s="27"/>
      <c r="J2" s="27"/>
      <c r="K2" s="27"/>
      <c r="L2" s="27"/>
      <c r="M2" s="27"/>
      <c r="N2" s="7"/>
      <c r="O2" s="7"/>
      <c r="P2" s="7"/>
      <c r="Q2" s="7"/>
      <c r="R2" s="7"/>
      <c r="S2" s="7"/>
      <c r="T2" s="10"/>
      <c r="U2" s="7"/>
      <c r="V2" s="7"/>
      <c r="W2" s="7"/>
      <c r="X2" s="7"/>
      <c r="Y2" s="7"/>
      <c r="Z2" s="7"/>
      <c r="AA2" s="7"/>
      <c r="AB2" s="7"/>
      <c r="AC2" s="7"/>
      <c r="AD2" s="7"/>
      <c r="AE2" s="7"/>
      <c r="AF2" s="7"/>
      <c r="AG2" s="7"/>
      <c r="AH2" s="7"/>
      <c r="AI2" s="7"/>
      <c r="AJ2" s="7"/>
      <c r="AK2" s="7"/>
      <c r="AL2" s="7"/>
      <c r="AM2" s="7"/>
      <c r="BK2" s="91"/>
    </row>
    <row r="3" spans="1:99" ht="4.9000000000000004" customHeight="1" thickBot="1">
      <c r="A3" s="7"/>
      <c r="B3" s="7"/>
      <c r="C3" s="7"/>
      <c r="D3" s="7"/>
      <c r="E3" s="7"/>
      <c r="F3" s="7"/>
      <c r="G3" s="7"/>
      <c r="H3" s="7"/>
      <c r="I3" s="7"/>
      <c r="J3" s="7"/>
      <c r="K3" s="7"/>
      <c r="L3" s="7"/>
      <c r="M3" s="7"/>
      <c r="N3" s="7"/>
      <c r="O3" s="7"/>
      <c r="P3" s="7"/>
      <c r="Q3" s="7"/>
      <c r="R3" s="7"/>
      <c r="S3" s="7"/>
      <c r="T3" s="10"/>
      <c r="U3" s="7"/>
      <c r="V3" s="7"/>
      <c r="W3" s="7"/>
      <c r="X3" s="7"/>
      <c r="Y3" s="7"/>
      <c r="Z3" s="7"/>
      <c r="AA3" s="7"/>
      <c r="AB3" s="7"/>
      <c r="AC3" s="7"/>
      <c r="AD3" s="7"/>
      <c r="AE3" s="7"/>
      <c r="AF3" s="7"/>
      <c r="AG3" s="7"/>
      <c r="AH3" s="7"/>
      <c r="AI3" s="7"/>
      <c r="AJ3" s="7"/>
      <c r="AK3" s="7"/>
      <c r="AL3" s="7"/>
      <c r="AM3" s="7"/>
    </row>
    <row r="4" spans="1:99" ht="13.5" thickBot="1">
      <c r="A4" s="7"/>
      <c r="B4" s="1078" t="s">
        <v>60</v>
      </c>
      <c r="C4" s="1079"/>
      <c r="D4" s="1086">
        <v>2007</v>
      </c>
      <c r="E4" s="1085" t="s">
        <v>1</v>
      </c>
      <c r="F4" s="1082" t="s">
        <v>2</v>
      </c>
      <c r="G4" s="1082" t="s">
        <v>3</v>
      </c>
      <c r="H4" s="1086" t="s">
        <v>4</v>
      </c>
      <c r="I4" s="1086">
        <v>2008</v>
      </c>
      <c r="J4" s="1085" t="s">
        <v>5</v>
      </c>
      <c r="K4" s="1082" t="s">
        <v>6</v>
      </c>
      <c r="L4" s="1082" t="s">
        <v>7</v>
      </c>
      <c r="M4" s="1086" t="s">
        <v>8</v>
      </c>
      <c r="N4" s="1086">
        <v>2009</v>
      </c>
      <c r="O4" s="1085" t="s">
        <v>9</v>
      </c>
      <c r="P4" s="1082" t="s">
        <v>10</v>
      </c>
      <c r="Q4" s="1082" t="s">
        <v>11</v>
      </c>
      <c r="R4" s="1086" t="s">
        <v>12</v>
      </c>
      <c r="S4" s="1086">
        <v>2010</v>
      </c>
      <c r="T4" s="1085" t="s">
        <v>13</v>
      </c>
      <c r="U4" s="1082" t="s">
        <v>14</v>
      </c>
      <c r="V4" s="1082" t="s">
        <v>15</v>
      </c>
      <c r="W4" s="1086" t="s">
        <v>16</v>
      </c>
      <c r="X4" s="1086">
        <v>2011</v>
      </c>
      <c r="Y4" s="1085" t="s">
        <v>17</v>
      </c>
      <c r="Z4" s="1082" t="s">
        <v>125</v>
      </c>
      <c r="AA4" s="1082" t="s">
        <v>405</v>
      </c>
      <c r="AB4" s="1086" t="s">
        <v>413</v>
      </c>
      <c r="AC4" s="1086">
        <v>2012</v>
      </c>
      <c r="AD4" s="1085" t="s">
        <v>428</v>
      </c>
      <c r="AE4" s="1082" t="s">
        <v>431</v>
      </c>
      <c r="AF4" s="1082" t="s">
        <v>432</v>
      </c>
      <c r="AG4" s="1086" t="s">
        <v>433</v>
      </c>
      <c r="AH4" s="1086">
        <v>2013</v>
      </c>
      <c r="AI4" s="1085" t="s">
        <v>449</v>
      </c>
      <c r="AJ4" s="1082" t="s">
        <v>454</v>
      </c>
      <c r="AK4" s="1082" t="s">
        <v>455</v>
      </c>
      <c r="AL4" s="1086" t="s">
        <v>456</v>
      </c>
      <c r="AM4" s="1086">
        <v>2014</v>
      </c>
      <c r="AN4" s="1085" t="s">
        <v>471</v>
      </c>
      <c r="AO4" s="1082" t="s">
        <v>472</v>
      </c>
      <c r="AP4" s="1082" t="s">
        <v>473</v>
      </c>
      <c r="AQ4" s="1086" t="s">
        <v>474</v>
      </c>
      <c r="AR4" s="1086">
        <v>2015</v>
      </c>
      <c r="AS4" s="1085" t="s">
        <v>497</v>
      </c>
      <c r="AT4" s="1082" t="s">
        <v>498</v>
      </c>
      <c r="AU4" s="1082" t="s">
        <v>499</v>
      </c>
      <c r="AV4" s="1086" t="s">
        <v>500</v>
      </c>
      <c r="AW4" s="1086">
        <v>2016</v>
      </c>
      <c r="AX4" s="1085" t="s">
        <v>633</v>
      </c>
      <c r="AY4" s="1082" t="s">
        <v>638</v>
      </c>
      <c r="AZ4" s="1082" t="s">
        <v>639</v>
      </c>
      <c r="BA4" s="1086" t="s">
        <v>641</v>
      </c>
      <c r="BB4" s="1086">
        <v>2017</v>
      </c>
      <c r="BC4" s="1085" t="s">
        <v>645</v>
      </c>
      <c r="BD4" s="1082" t="s">
        <v>648</v>
      </c>
      <c r="BE4" s="1082" t="s">
        <v>647</v>
      </c>
      <c r="BF4" s="1086" t="s">
        <v>646</v>
      </c>
      <c r="BG4" s="1086">
        <v>2018</v>
      </c>
      <c r="BH4" s="1085" t="s">
        <v>669</v>
      </c>
      <c r="BI4" s="1082" t="s">
        <v>673</v>
      </c>
      <c r="BJ4" s="1082" t="s">
        <v>674</v>
      </c>
      <c r="BK4" s="1086" t="s">
        <v>675</v>
      </c>
      <c r="BL4" s="1086">
        <v>2019</v>
      </c>
      <c r="BM4" s="1085" t="s">
        <v>685</v>
      </c>
      <c r="BN4" s="1082" t="s">
        <v>687</v>
      </c>
      <c r="BO4" s="1082" t="s">
        <v>688</v>
      </c>
      <c r="BP4" s="1086" t="s">
        <v>689</v>
      </c>
      <c r="BQ4" s="1086">
        <v>2020</v>
      </c>
      <c r="BR4" s="1085" t="s">
        <v>738</v>
      </c>
      <c r="BS4" s="1082" t="s">
        <v>761</v>
      </c>
      <c r="BT4" s="1082" t="s">
        <v>777</v>
      </c>
      <c r="BU4" s="1086" t="s">
        <v>781</v>
      </c>
      <c r="BV4" s="1086">
        <v>2021</v>
      </c>
      <c r="BW4" s="1082" t="s">
        <v>888</v>
      </c>
      <c r="BX4" s="1082" t="s">
        <v>899</v>
      </c>
      <c r="BY4" s="1082" t="s">
        <v>905</v>
      </c>
      <c r="BZ4" s="1086" t="s">
        <v>916</v>
      </c>
      <c r="CA4" s="1086">
        <v>2022</v>
      </c>
      <c r="CB4" s="1085" t="str">
        <f>'Income Statement'!CB4</f>
        <v>1Q23</v>
      </c>
      <c r="CC4" s="1082" t="str">
        <f>'Income Statement'!CC4</f>
        <v>2Q23</v>
      </c>
      <c r="CD4" s="1082" t="str">
        <f>'Income Statement'!CD4</f>
        <v>3Q23</v>
      </c>
      <c r="CE4" s="1086" t="str">
        <f>'Income Statement'!CE4</f>
        <v>4Q23</v>
      </c>
      <c r="CF4" s="1086">
        <f>'Income Statement'!CF4</f>
        <v>2023</v>
      </c>
      <c r="CG4" s="1103" t="str">
        <f>'Income Statement'!CG4</f>
        <v>1Q24</v>
      </c>
      <c r="CH4" s="1082" t="str">
        <f>'Income Statement'!CH4</f>
        <v>2Q24</v>
      </c>
      <c r="CI4" s="1082" t="str">
        <f>'Income Statement'!CI4</f>
        <v>3Q24</v>
      </c>
      <c r="CJ4" s="1086" t="str">
        <f>'Income Statement'!CJ4</f>
        <v>4Q24</v>
      </c>
      <c r="CK4" s="1104">
        <f>'Income Statement'!CK4</f>
        <v>2024</v>
      </c>
      <c r="CL4" s="1103" t="str">
        <f>'Income Statement'!CL4</f>
        <v>1Q25</v>
      </c>
      <c r="CM4" s="1082" t="str">
        <f>'Income Statement'!CM4</f>
        <v>2Q25</v>
      </c>
      <c r="CN4" s="1082" t="str">
        <f>'Income Statement'!CN4</f>
        <v>3Q25</v>
      </c>
      <c r="CO4" s="1086" t="str">
        <f>'Income Statement'!CO4</f>
        <v>4Q25</v>
      </c>
      <c r="CP4" s="1086">
        <f>'Income Statement'!CP4</f>
        <v>2025</v>
      </c>
      <c r="CQ4" s="1085" t="str">
        <f>'Income Statement'!CQ4</f>
        <v>1Q26E</v>
      </c>
      <c r="CR4" s="1082" t="str">
        <f>'Income Statement'!CR4</f>
        <v>2Q26E</v>
      </c>
      <c r="CS4" s="1082" t="str">
        <f>'Income Statement'!CS4</f>
        <v>3Q26E</v>
      </c>
      <c r="CT4" s="1086" t="str">
        <f>'Income Statement'!CT4</f>
        <v>4Q26E</v>
      </c>
      <c r="CU4" s="1086" t="str">
        <f>'Income Statement'!CU4</f>
        <v>2026E</v>
      </c>
    </row>
    <row r="5" spans="1:99">
      <c r="B5" s="78" t="s">
        <v>86</v>
      </c>
      <c r="C5" s="7"/>
      <c r="D5" s="47"/>
      <c r="E5" s="7"/>
      <c r="F5" s="7"/>
      <c r="G5" s="7"/>
      <c r="H5" s="7"/>
      <c r="I5" s="47"/>
      <c r="J5" s="7"/>
      <c r="K5" s="7"/>
      <c r="L5" s="7"/>
      <c r="M5" s="7"/>
      <c r="N5" s="47"/>
      <c r="O5" s="7"/>
      <c r="P5" s="7"/>
      <c r="Q5" s="7"/>
      <c r="R5" s="7"/>
      <c r="S5" s="47"/>
      <c r="T5" s="7"/>
      <c r="U5" s="7"/>
      <c r="V5" s="7"/>
      <c r="W5" s="7"/>
      <c r="X5" s="47"/>
      <c r="Y5" s="7"/>
      <c r="Z5" s="7"/>
      <c r="AA5" s="7"/>
      <c r="AB5" s="7"/>
      <c r="AC5" s="47"/>
      <c r="AD5" s="7"/>
      <c r="AE5" s="7"/>
      <c r="AF5" s="7"/>
      <c r="AG5" s="7"/>
      <c r="AH5" s="47"/>
      <c r="AI5" s="7"/>
      <c r="AJ5" s="7"/>
      <c r="AK5" s="7"/>
      <c r="AL5" s="7"/>
      <c r="AM5" s="47"/>
      <c r="AN5" s="7"/>
      <c r="AO5" s="7"/>
      <c r="AP5" s="7"/>
      <c r="AQ5" s="7"/>
      <c r="AR5" s="47"/>
      <c r="AS5" s="7"/>
      <c r="AT5" s="7"/>
      <c r="AU5" s="7"/>
      <c r="AV5" s="7"/>
      <c r="AW5" s="47"/>
      <c r="AX5" s="7"/>
      <c r="AY5" s="7"/>
      <c r="AZ5" s="279"/>
      <c r="BA5" s="7"/>
      <c r="BB5" s="47"/>
      <c r="BC5" s="7"/>
      <c r="BD5" s="7"/>
      <c r="BE5" s="7"/>
      <c r="BF5" s="7"/>
      <c r="BG5" s="47"/>
      <c r="BH5" s="7"/>
      <c r="BI5" s="7"/>
      <c r="BJ5" s="7"/>
      <c r="BK5" s="7"/>
      <c r="BL5" s="47"/>
      <c r="BN5" s="7"/>
      <c r="BO5" s="7"/>
      <c r="BP5" s="7"/>
      <c r="BQ5" s="47"/>
      <c r="BS5" s="7"/>
      <c r="BT5" s="7"/>
      <c r="BU5" s="7"/>
      <c r="BV5" s="47"/>
      <c r="BW5" s="7"/>
      <c r="BX5" s="7"/>
      <c r="BY5" s="7"/>
      <c r="BZ5" s="7"/>
      <c r="CA5" s="47"/>
      <c r="CB5" s="7"/>
      <c r="CC5" s="7"/>
      <c r="CD5" s="7"/>
      <c r="CE5" s="7"/>
      <c r="CF5" s="47"/>
      <c r="CG5" s="7"/>
      <c r="CH5" s="7"/>
      <c r="CI5" s="7"/>
      <c r="CJ5" s="7"/>
      <c r="CK5" s="47"/>
      <c r="CL5" s="7"/>
      <c r="CM5" s="7"/>
      <c r="CN5" s="7"/>
      <c r="CO5" s="7"/>
      <c r="CP5" s="47"/>
      <c r="CQ5" s="7"/>
      <c r="CR5" s="7"/>
      <c r="CS5" s="7"/>
      <c r="CT5" s="7"/>
      <c r="CU5" s="47"/>
    </row>
    <row r="6" spans="1:99">
      <c r="B6" s="8" t="s">
        <v>87</v>
      </c>
      <c r="C6" s="7"/>
      <c r="D6" s="13">
        <f>'Income Statement'!D81</f>
        <v>0</v>
      </c>
      <c r="E6" s="12">
        <f>'Income Statement'!E81</f>
        <v>0</v>
      </c>
      <c r="F6" s="12">
        <f>'Income Statement'!F81</f>
        <v>0</v>
      </c>
      <c r="G6" s="12">
        <f>'Income Statement'!G81</f>
        <v>0</v>
      </c>
      <c r="H6" s="12">
        <f>'Income Statement'!H81</f>
        <v>0</v>
      </c>
      <c r="I6" s="13">
        <f>'Income Statement'!I81</f>
        <v>0</v>
      </c>
      <c r="J6" s="12">
        <f>'Income Statement'!J81</f>
        <v>0</v>
      </c>
      <c r="K6" s="12">
        <f>'Income Statement'!K81</f>
        <v>0</v>
      </c>
      <c r="L6" s="12">
        <f>'Income Statement'!L81</f>
        <v>0</v>
      </c>
      <c r="M6" s="12">
        <f>'Income Statement'!M81</f>
        <v>0</v>
      </c>
      <c r="N6" s="13">
        <f>'Income Statement'!N81</f>
        <v>0</v>
      </c>
      <c r="O6" s="12">
        <f>'Income Statement'!O81</f>
        <v>0</v>
      </c>
      <c r="P6" s="12">
        <f>'Income Statement'!P81</f>
        <v>0</v>
      </c>
      <c r="Q6" s="12">
        <f>'Income Statement'!Q81</f>
        <v>0</v>
      </c>
      <c r="R6" s="12">
        <f>'Income Statement'!R81</f>
        <v>0</v>
      </c>
      <c r="S6" s="13">
        <f>'Income Statement'!S81</f>
        <v>0</v>
      </c>
      <c r="T6" s="12">
        <f>'Income Statement'!T87</f>
        <v>5728</v>
      </c>
      <c r="U6" s="12">
        <f>'Income Statement'!U87</f>
        <v>5624</v>
      </c>
      <c r="V6" s="12">
        <f>'Income Statement'!V87</f>
        <v>7506</v>
      </c>
      <c r="W6" s="12">
        <f>'Income Statement'!W87</f>
        <v>8699</v>
      </c>
      <c r="X6" s="13">
        <f>'Income Statement'!X87</f>
        <v>27557</v>
      </c>
      <c r="Y6" s="12">
        <f>'Income Statement'!Y87</f>
        <v>5681</v>
      </c>
      <c r="Z6" s="12">
        <f>'Income Statement'!Z87</f>
        <v>7105</v>
      </c>
      <c r="AA6" s="12">
        <f>'Income Statement'!AA87</f>
        <v>10832</v>
      </c>
      <c r="AB6" s="12">
        <f>'Income Statement'!AB87</f>
        <v>9376</v>
      </c>
      <c r="AC6" s="13">
        <f>SUM(Y6:AB6)</f>
        <v>32994</v>
      </c>
      <c r="AD6" s="12">
        <f>'Income Statement'!AD87</f>
        <v>8493</v>
      </c>
      <c r="AE6" s="12">
        <f>'Income Statement'!AE87</f>
        <v>9047</v>
      </c>
      <c r="AF6" s="12">
        <f>'Income Statement'!AF87</f>
        <v>11049</v>
      </c>
      <c r="AG6" s="12">
        <f>'Income Statement'!AG87</f>
        <v>10512</v>
      </c>
      <c r="AH6" s="13">
        <f>'Income Statement'!AH87</f>
        <v>39101</v>
      </c>
      <c r="AI6" s="12">
        <f>'Income Statement'!AI87</f>
        <v>11883</v>
      </c>
      <c r="AJ6" s="12">
        <f>'Income Statement'!AJ87</f>
        <v>14740</v>
      </c>
      <c r="AK6" s="12">
        <f>'Income Statement'!AK87</f>
        <v>17000</v>
      </c>
      <c r="AL6" s="81">
        <f>'Income Statement'!AL87</f>
        <v>15317</v>
      </c>
      <c r="AM6" s="13">
        <f>'Income Statement'!AM87</f>
        <v>58940</v>
      </c>
      <c r="AN6" s="12">
        <f>'Income Statement'!AN87</f>
        <v>17273</v>
      </c>
      <c r="AO6" s="12">
        <f>'Income Statement'!AO87</f>
        <v>18836</v>
      </c>
      <c r="AP6" s="12">
        <f>'Income Statement'!AP87</f>
        <v>20142</v>
      </c>
      <c r="AQ6" s="12">
        <f>'Income Statement'!AQ87</f>
        <v>8618</v>
      </c>
      <c r="AR6" s="13">
        <f>'Income Statement'!AR87</f>
        <v>64869</v>
      </c>
      <c r="AS6" s="12">
        <f>'Income Statement'!AS87</f>
        <v>18224</v>
      </c>
      <c r="AT6" s="81">
        <f>'Income Statement'!AT87</f>
        <v>25007</v>
      </c>
      <c r="AU6" s="81">
        <f>'Income Statement'!AU87</f>
        <v>35430</v>
      </c>
      <c r="AV6" s="12">
        <f>'Income Statement'!AV87</f>
        <v>31196</v>
      </c>
      <c r="AW6" s="13">
        <f>'Income Statement'!AW87</f>
        <v>109857</v>
      </c>
      <c r="AX6" s="81">
        <f>'Income Statement'!AX87</f>
        <v>32306</v>
      </c>
      <c r="AY6" s="12">
        <f>'Income Statement'!AY87</f>
        <v>31578</v>
      </c>
      <c r="AZ6" s="81">
        <f>'Income Statement'!AZ87</f>
        <v>38263</v>
      </c>
      <c r="BA6" s="12">
        <f>'Income Statement'!BA87</f>
        <v>61798</v>
      </c>
      <c r="BB6" s="13">
        <f>'Income Statement'!BB87</f>
        <v>163945</v>
      </c>
      <c r="BC6" s="12">
        <f>'Income Statement'!BC87</f>
        <v>37825</v>
      </c>
      <c r="BD6" s="12">
        <f>'Income Statement'!BD87</f>
        <v>39161</v>
      </c>
      <c r="BE6" s="12">
        <v>38924</v>
      </c>
      <c r="BF6" s="12">
        <v>31552</v>
      </c>
      <c r="BG6" s="13">
        <f>'Income Statement'!BG87</f>
        <v>147462</v>
      </c>
      <c r="BH6" s="12">
        <f>'Income Statement'!BH87</f>
        <v>27348</v>
      </c>
      <c r="BI6" s="12">
        <v>31999</v>
      </c>
      <c r="BJ6" s="12">
        <f>'Income Statement'!BJ87</f>
        <v>40390</v>
      </c>
      <c r="BK6" s="12">
        <f>'Income Statement'!BK87</f>
        <v>46790</v>
      </c>
      <c r="BL6" s="13">
        <f>'Income Statement'!BL87</f>
        <v>146527</v>
      </c>
      <c r="BM6" s="12">
        <f>'Income Statement'!BM87</f>
        <v>46815</v>
      </c>
      <c r="BN6" s="12">
        <f>'Income Statement'!BN87</f>
        <v>53140</v>
      </c>
      <c r="BO6" s="12">
        <f>'Income Statement'!BO87</f>
        <v>38531</v>
      </c>
      <c r="BP6" s="12">
        <f>'Income Statement'!BP87</f>
        <v>53341</v>
      </c>
      <c r="BQ6" s="13">
        <f>'Income Statement'!BQ87</f>
        <v>191827</v>
      </c>
      <c r="BR6" s="12">
        <f>'Income Statement'!BR87</f>
        <v>36977</v>
      </c>
      <c r="BS6" s="12">
        <f>'Income Statement'!BS87</f>
        <v>25529</v>
      </c>
      <c r="BT6" s="12">
        <f>'Income Statement'!BT87</f>
        <v>44169</v>
      </c>
      <c r="BU6" s="12">
        <f>'Income Statement'!BU87</f>
        <v>54782</v>
      </c>
      <c r="BV6" s="13">
        <f>'Income Statement'!BV87</f>
        <v>161457</v>
      </c>
      <c r="BW6" s="12">
        <f>'Income Statement'!BW87</f>
        <v>39984</v>
      </c>
      <c r="BX6" s="12">
        <f>'Income Statement'!BX87</f>
        <v>39946</v>
      </c>
      <c r="BY6" s="12">
        <f>'Income Statement'!BY87</f>
        <v>53232</v>
      </c>
      <c r="BZ6" s="12">
        <f>'Income Statement'!BZ87</f>
        <v>31077</v>
      </c>
      <c r="CA6" s="13">
        <f>'Income Statement'!CA87</f>
        <v>164239</v>
      </c>
      <c r="CB6" s="12">
        <f>'Income Statement'!CB87</f>
        <v>30875</v>
      </c>
      <c r="CC6" s="12">
        <v>49130</v>
      </c>
      <c r="CD6" s="12">
        <f>'Income Statement'!CD87</f>
        <v>47011</v>
      </c>
      <c r="CE6" s="12">
        <f>'Income Statement'!CE87</f>
        <v>38903</v>
      </c>
      <c r="CF6" s="13">
        <f>'Income Statement'!CF87</f>
        <v>165919</v>
      </c>
      <c r="CG6" s="12">
        <v>54170</v>
      </c>
      <c r="CH6" s="12">
        <v>67738</v>
      </c>
      <c r="CI6" s="12">
        <f>'Income Statement'!CI87</f>
        <v>75897</v>
      </c>
      <c r="CJ6" s="12">
        <f>'Income Statement'!CJ87</f>
        <v>65221</v>
      </c>
      <c r="CK6" s="13">
        <f>'Income Statement'!CK87</f>
        <v>263026</v>
      </c>
      <c r="CL6" s="12">
        <v>81052</v>
      </c>
      <c r="CM6" s="12">
        <f>'Income Statement'!CM87</f>
        <v>84627</v>
      </c>
      <c r="CN6" s="12">
        <f>'Income Statement'!CN87</f>
        <v>84393</v>
      </c>
      <c r="CO6" s="12">
        <v>65531</v>
      </c>
      <c r="CP6" s="13">
        <f>'Income Statement'!CP87</f>
        <v>330582.03399999999</v>
      </c>
      <c r="CQ6" s="12">
        <f>'Income Statement'!CQ87</f>
        <v>86322.556387350036</v>
      </c>
      <c r="CR6" s="12">
        <f>'Income Statement'!CR87</f>
        <v>97057.623846150003</v>
      </c>
      <c r="CS6" s="12">
        <f>'Income Statement'!CS87</f>
        <v>95059.005952500025</v>
      </c>
      <c r="CT6" s="12">
        <f>'Income Statement'!CT87</f>
        <v>96442.810687139412</v>
      </c>
      <c r="CU6" s="13">
        <f>'Income Statement'!CU87</f>
        <v>374881.99687313929</v>
      </c>
    </row>
    <row r="7" spans="1:99">
      <c r="B7" s="8"/>
      <c r="C7" s="7" t="s">
        <v>88</v>
      </c>
      <c r="D7" s="13"/>
      <c r="E7" s="12"/>
      <c r="F7" s="12"/>
      <c r="G7" s="12"/>
      <c r="H7" s="12"/>
      <c r="I7" s="13"/>
      <c r="J7" s="12"/>
      <c r="K7" s="12"/>
      <c r="L7" s="12"/>
      <c r="M7" s="12"/>
      <c r="N7" s="13"/>
      <c r="O7" s="12"/>
      <c r="P7" s="12"/>
      <c r="Q7" s="12"/>
      <c r="R7" s="12"/>
      <c r="S7" s="13"/>
      <c r="T7" s="12"/>
      <c r="U7" s="12"/>
      <c r="V7" s="12"/>
      <c r="W7" s="12"/>
      <c r="X7" s="13"/>
      <c r="Y7" s="12"/>
      <c r="Z7" s="7"/>
      <c r="AA7" s="7"/>
      <c r="AB7" s="7"/>
      <c r="AC7" s="9"/>
      <c r="AD7" s="7"/>
      <c r="AE7" s="7"/>
      <c r="AF7" s="7"/>
      <c r="AG7" s="7"/>
      <c r="AH7" s="9"/>
      <c r="AI7" s="7"/>
      <c r="AJ7" s="7"/>
      <c r="AK7" s="7"/>
      <c r="AL7" s="279"/>
      <c r="AM7" s="9"/>
      <c r="AN7" s="7"/>
      <c r="AO7" s="7"/>
      <c r="AP7" s="7"/>
      <c r="AQ7" s="7"/>
      <c r="AR7" s="9"/>
      <c r="AS7" s="7"/>
      <c r="AT7" s="279"/>
      <c r="AU7" s="279"/>
      <c r="AV7" s="279"/>
      <c r="AW7" s="9"/>
      <c r="AX7" s="279"/>
      <c r="AY7" s="7"/>
      <c r="AZ7" s="279"/>
      <c r="BA7" s="7"/>
      <c r="BB7" s="9"/>
      <c r="BC7" s="7"/>
      <c r="BD7" s="7"/>
      <c r="BE7" s="7"/>
      <c r="BF7" s="7"/>
      <c r="BG7" s="9"/>
      <c r="BH7" s="7"/>
      <c r="BI7" s="7"/>
      <c r="BJ7" s="7"/>
      <c r="BK7" s="7"/>
      <c r="BL7" s="9"/>
      <c r="BN7" s="7"/>
      <c r="BO7" s="7"/>
      <c r="BP7" s="7"/>
      <c r="BQ7" s="9"/>
      <c r="BR7" s="7"/>
      <c r="BS7" s="22"/>
      <c r="BT7" s="7"/>
      <c r="BU7" s="7"/>
      <c r="BV7" s="9"/>
      <c r="BW7" s="7"/>
      <c r="BX7" s="7"/>
      <c r="BY7" s="7"/>
      <c r="BZ7" s="7"/>
      <c r="CA7" s="9"/>
      <c r="CB7" s="7"/>
      <c r="CC7" s="7"/>
      <c r="CD7" s="7"/>
      <c r="CE7" s="7"/>
      <c r="CF7" s="9"/>
      <c r="CG7" s="7"/>
      <c r="CH7" s="7"/>
      <c r="CI7" s="7"/>
      <c r="CJ7" s="7"/>
      <c r="CK7" s="9"/>
      <c r="CL7" s="7"/>
      <c r="CM7" s="7"/>
      <c r="CN7" s="7"/>
      <c r="CO7" s="7"/>
      <c r="CP7" s="9"/>
      <c r="CQ7" s="7"/>
      <c r="CR7" s="7"/>
      <c r="CS7" s="7"/>
      <c r="CT7" s="7"/>
      <c r="CU7" s="9"/>
    </row>
    <row r="8" spans="1:99">
      <c r="B8" s="8"/>
      <c r="C8" s="7" t="s">
        <v>89</v>
      </c>
      <c r="D8" s="13">
        <v>11211</v>
      </c>
      <c r="E8" s="12">
        <v>2936</v>
      </c>
      <c r="F8" s="12">
        <f>5921-E8</f>
        <v>2985</v>
      </c>
      <c r="G8" s="12">
        <f>8989-F8-E8</f>
        <v>3068</v>
      </c>
      <c r="H8" s="12">
        <f t="shared" ref="H8:H15" si="0">I8-G8-F8-E8</f>
        <v>3622</v>
      </c>
      <c r="I8" s="13">
        <v>12611</v>
      </c>
      <c r="J8" s="12">
        <v>2332</v>
      </c>
      <c r="K8" s="12">
        <f>4734-J8</f>
        <v>2402</v>
      </c>
      <c r="L8" s="12">
        <f>7065-K8-J8</f>
        <v>2331</v>
      </c>
      <c r="M8" s="12">
        <f t="shared" ref="M8:M15" si="1">N8-L8-K8-J8</f>
        <v>2432</v>
      </c>
      <c r="N8" s="13">
        <v>9497</v>
      </c>
      <c r="O8" s="12">
        <v>2649</v>
      </c>
      <c r="P8" s="12">
        <f>5318-O8</f>
        <v>2669</v>
      </c>
      <c r="Q8" s="12">
        <f>8077-P8-O8</f>
        <v>2759</v>
      </c>
      <c r="R8" s="12">
        <f>S8-Q8-P8-O8</f>
        <v>2711</v>
      </c>
      <c r="S8" s="13">
        <v>10788</v>
      </c>
      <c r="T8" s="12">
        <v>2585</v>
      </c>
      <c r="U8" s="12">
        <f>5219-T8</f>
        <v>2634</v>
      </c>
      <c r="V8" s="12">
        <f>7778-U8-T8</f>
        <v>2559</v>
      </c>
      <c r="W8" s="12">
        <f>X8-V8-U8-T8</f>
        <v>2898</v>
      </c>
      <c r="X8" s="13">
        <v>10676</v>
      </c>
      <c r="Y8" s="12">
        <v>3026</v>
      </c>
      <c r="Z8" s="12">
        <f>6336-Y8</f>
        <v>3310</v>
      </c>
      <c r="AA8" s="12">
        <f>9616-Z8-Y8</f>
        <v>3280</v>
      </c>
      <c r="AB8" s="12">
        <v>3095</v>
      </c>
      <c r="AC8" s="13">
        <f>SUM(Y8:AB8)</f>
        <v>12711</v>
      </c>
      <c r="AD8" s="12">
        <f>1131+2191</f>
        <v>3322</v>
      </c>
      <c r="AE8" s="12">
        <f>6681-AD8</f>
        <v>3359</v>
      </c>
      <c r="AF8" s="12">
        <f>10093-AE8-AD8</f>
        <v>3412</v>
      </c>
      <c r="AG8" s="12">
        <v>3693</v>
      </c>
      <c r="AH8" s="13">
        <f>SUM(AD8:AG8)</f>
        <v>13786</v>
      </c>
      <c r="AI8" s="12">
        <v>3656</v>
      </c>
      <c r="AJ8" s="12">
        <f>7281-AI8</f>
        <v>3625</v>
      </c>
      <c r="AK8" s="12">
        <v>3655</v>
      </c>
      <c r="AL8" s="81">
        <v>3669</v>
      </c>
      <c r="AM8" s="13">
        <f>SUM(AI8:AL8)</f>
        <v>14605</v>
      </c>
      <c r="AN8" s="12">
        <v>3713</v>
      </c>
      <c r="AO8" s="12">
        <f>7484-AN8</f>
        <v>3771</v>
      </c>
      <c r="AP8" s="12">
        <f>4102</f>
        <v>4102</v>
      </c>
      <c r="AQ8" s="12">
        <v>7988</v>
      </c>
      <c r="AR8" s="13">
        <f>SUM(AN8:AQ8)</f>
        <v>19574</v>
      </c>
      <c r="AS8" s="12">
        <v>12176</v>
      </c>
      <c r="AT8" s="81">
        <v>12674</v>
      </c>
      <c r="AU8" s="81">
        <f>37521-AT8-AS8</f>
        <v>12671</v>
      </c>
      <c r="AV8" s="81">
        <v>12780</v>
      </c>
      <c r="AW8" s="13">
        <f>SUM(AS8:AV8)</f>
        <v>50301</v>
      </c>
      <c r="AX8" s="81">
        <v>13099</v>
      </c>
      <c r="AY8" s="12">
        <v>13267</v>
      </c>
      <c r="AZ8" s="81">
        <v>13730</v>
      </c>
      <c r="BA8" s="12">
        <v>13829</v>
      </c>
      <c r="BB8" s="13">
        <f>SUM(AX8:BA8)</f>
        <v>53925</v>
      </c>
      <c r="BC8" s="12">
        <v>14112</v>
      </c>
      <c r="BD8" s="12">
        <v>15537</v>
      </c>
      <c r="BE8" s="12">
        <v>15978</v>
      </c>
      <c r="BF8" s="12">
        <v>16132</v>
      </c>
      <c r="BG8" s="13">
        <f>SUM(BC8:BF8)</f>
        <v>61759</v>
      </c>
      <c r="BH8" s="12">
        <v>17308</v>
      </c>
      <c r="BI8" s="12">
        <v>19436</v>
      </c>
      <c r="BJ8" s="12">
        <v>19803</v>
      </c>
      <c r="BK8" s="12">
        <v>20125</v>
      </c>
      <c r="BL8" s="13">
        <f>SUM(BH8:BK8)</f>
        <v>76672</v>
      </c>
      <c r="BM8" s="12">
        <v>19985</v>
      </c>
      <c r="BN8" s="12">
        <v>20285</v>
      </c>
      <c r="BO8" s="12">
        <v>20476</v>
      </c>
      <c r="BP8" s="12">
        <v>20911</v>
      </c>
      <c r="BQ8" s="13">
        <f>SUM(BM8:BP8)</f>
        <v>81657</v>
      </c>
      <c r="BR8" s="12">
        <v>21100</v>
      </c>
      <c r="BS8" s="12">
        <f>60976-BR8</f>
        <v>39876</v>
      </c>
      <c r="BT8" s="12">
        <v>36888</v>
      </c>
      <c r="BU8" s="12">
        <v>37760</v>
      </c>
      <c r="BV8" s="13">
        <f>SUM(BR8:BU8)</f>
        <v>135624</v>
      </c>
      <c r="BW8" s="12">
        <v>38149</v>
      </c>
      <c r="BX8" s="12">
        <v>37717</v>
      </c>
      <c r="BY8" s="12">
        <v>41084</v>
      </c>
      <c r="BZ8" s="12">
        <v>42122</v>
      </c>
      <c r="CA8" s="13">
        <f>SUM(BW8:BZ8)</f>
        <v>159072</v>
      </c>
      <c r="CB8" s="12">
        <v>38112</v>
      </c>
      <c r="CC8" s="12">
        <v>37636</v>
      </c>
      <c r="CD8" s="12">
        <v>38450</v>
      </c>
      <c r="CE8" s="12">
        <v>39881</v>
      </c>
      <c r="CF8" s="13">
        <f>SUM(CB8:CE8)</f>
        <v>154079</v>
      </c>
      <c r="CG8" s="12">
        <v>40097</v>
      </c>
      <c r="CH8" s="12">
        <v>34139</v>
      </c>
      <c r="CI8" s="12">
        <v>34530</v>
      </c>
      <c r="CJ8" s="12">
        <v>34671</v>
      </c>
      <c r="CK8" s="13">
        <f>SUM(CG8:CJ8)</f>
        <v>143437</v>
      </c>
      <c r="CL8" s="12">
        <v>34621</v>
      </c>
      <c r="CM8" s="12">
        <v>34322</v>
      </c>
      <c r="CN8" s="12">
        <v>34988</v>
      </c>
      <c r="CO8" s="12">
        <v>34427</v>
      </c>
      <c r="CP8" s="13">
        <f>SUM(CL8:CO8)</f>
        <v>138358</v>
      </c>
      <c r="CQ8" s="12">
        <f>CQ9+CQ10</f>
        <v>34224.85</v>
      </c>
      <c r="CR8" s="12">
        <f>CR9+CR10</f>
        <v>30581.610500000003</v>
      </c>
      <c r="CS8" s="12">
        <f>CS9+CS10</f>
        <v>29193.397765000002</v>
      </c>
      <c r="CT8" s="12">
        <f>CT9+CT10</f>
        <v>26902.359921449999</v>
      </c>
      <c r="CU8" s="13">
        <f>SUM(CQ8:CT8)</f>
        <v>120902.21818645</v>
      </c>
    </row>
    <row r="9" spans="1:99">
      <c r="B9" s="8"/>
      <c r="C9" s="7" t="s">
        <v>153</v>
      </c>
      <c r="D9" s="13">
        <f t="shared" ref="D9:Y9" si="2">D8-D10</f>
        <v>7454</v>
      </c>
      <c r="E9" s="12">
        <f t="shared" si="2"/>
        <v>1933</v>
      </c>
      <c r="F9" s="12">
        <f t="shared" si="2"/>
        <v>-7112</v>
      </c>
      <c r="G9" s="12">
        <f t="shared" si="2"/>
        <v>1984</v>
      </c>
      <c r="H9" s="12">
        <f t="shared" si="2"/>
        <v>2524</v>
      </c>
      <c r="I9" s="13">
        <f t="shared" si="2"/>
        <v>12611</v>
      </c>
      <c r="J9" s="12">
        <f t="shared" si="2"/>
        <v>1345</v>
      </c>
      <c r="K9" s="12">
        <f t="shared" si="2"/>
        <v>1367</v>
      </c>
      <c r="L9" s="12">
        <f t="shared" si="2"/>
        <v>1277</v>
      </c>
      <c r="M9" s="12">
        <f t="shared" si="2"/>
        <v>1392</v>
      </c>
      <c r="N9" s="13">
        <f t="shared" si="2"/>
        <v>9497</v>
      </c>
      <c r="O9" s="12">
        <f t="shared" si="2"/>
        <v>2649</v>
      </c>
      <c r="P9" s="12">
        <f t="shared" si="2"/>
        <v>2669</v>
      </c>
      <c r="Q9" s="12">
        <f t="shared" si="2"/>
        <v>2759</v>
      </c>
      <c r="R9" s="12">
        <f t="shared" si="2"/>
        <v>2711</v>
      </c>
      <c r="S9" s="13">
        <f t="shared" si="2"/>
        <v>10788</v>
      </c>
      <c r="T9" s="12">
        <f t="shared" si="2"/>
        <v>1486</v>
      </c>
      <c r="U9" s="12">
        <f t="shared" si="2"/>
        <v>1587</v>
      </c>
      <c r="V9" s="12">
        <f t="shared" si="2"/>
        <v>1515</v>
      </c>
      <c r="W9" s="12">
        <f t="shared" si="2"/>
        <v>1632</v>
      </c>
      <c r="X9" s="13">
        <f t="shared" si="2"/>
        <v>6220</v>
      </c>
      <c r="Y9" s="12">
        <f t="shared" si="2"/>
        <v>1670</v>
      </c>
      <c r="Z9" s="12">
        <f t="shared" ref="Z9:AV9" si="3">Z8-Z10</f>
        <v>1691</v>
      </c>
      <c r="AA9" s="12">
        <f t="shared" si="3"/>
        <v>1699</v>
      </c>
      <c r="AB9" s="12">
        <f t="shared" si="3"/>
        <v>1484</v>
      </c>
      <c r="AC9" s="13">
        <f t="shared" si="3"/>
        <v>6544</v>
      </c>
      <c r="AD9" s="12">
        <f t="shared" si="3"/>
        <v>1642</v>
      </c>
      <c r="AE9" s="12">
        <f t="shared" si="3"/>
        <v>1708</v>
      </c>
      <c r="AF9" s="12">
        <f t="shared" si="3"/>
        <v>1770</v>
      </c>
      <c r="AG9" s="12">
        <f t="shared" si="3"/>
        <v>2071</v>
      </c>
      <c r="AH9" s="13">
        <f t="shared" si="3"/>
        <v>7191</v>
      </c>
      <c r="AI9" s="12">
        <f t="shared" si="3"/>
        <v>2046</v>
      </c>
      <c r="AJ9" s="12">
        <f t="shared" si="3"/>
        <v>2053</v>
      </c>
      <c r="AK9" s="12">
        <f t="shared" si="3"/>
        <v>2071</v>
      </c>
      <c r="AL9" s="12">
        <f t="shared" si="3"/>
        <v>2031</v>
      </c>
      <c r="AM9" s="13">
        <f t="shared" si="3"/>
        <v>8201</v>
      </c>
      <c r="AN9" s="12">
        <f t="shared" si="3"/>
        <v>2105</v>
      </c>
      <c r="AO9" s="12">
        <f t="shared" si="3"/>
        <v>2164</v>
      </c>
      <c r="AP9" s="12">
        <f t="shared" si="3"/>
        <v>2268</v>
      </c>
      <c r="AQ9" s="12">
        <f t="shared" si="3"/>
        <v>2692</v>
      </c>
      <c r="AR9" s="13">
        <f t="shared" si="3"/>
        <v>9229</v>
      </c>
      <c r="AS9" s="12">
        <f t="shared" si="3"/>
        <v>3355</v>
      </c>
      <c r="AT9" s="12">
        <f t="shared" si="3"/>
        <v>3541</v>
      </c>
      <c r="AU9" s="81">
        <f t="shared" si="3"/>
        <v>3615</v>
      </c>
      <c r="AV9" s="81">
        <f t="shared" si="3"/>
        <v>3824</v>
      </c>
      <c r="AW9" s="13">
        <f t="shared" ref="AW9:BE9" si="4">AW8-AW10</f>
        <v>14335</v>
      </c>
      <c r="AX9" s="11">
        <f t="shared" si="4"/>
        <v>4231</v>
      </c>
      <c r="AY9" s="12">
        <f t="shared" si="4"/>
        <v>4444</v>
      </c>
      <c r="AZ9" s="12">
        <f t="shared" si="4"/>
        <v>4765</v>
      </c>
      <c r="BA9" s="12">
        <f t="shared" si="4"/>
        <v>4887</v>
      </c>
      <c r="BB9" s="13">
        <f>BB8-BB10</f>
        <v>18327</v>
      </c>
      <c r="BC9" s="12">
        <f t="shared" si="4"/>
        <v>5415</v>
      </c>
      <c r="BD9" s="12">
        <f t="shared" si="4"/>
        <v>5772</v>
      </c>
      <c r="BE9" s="12">
        <f t="shared" si="4"/>
        <v>5695</v>
      </c>
      <c r="BF9" s="12">
        <v>6260</v>
      </c>
      <c r="BG9" s="13">
        <f>BG8-BG10</f>
        <v>22570</v>
      </c>
      <c r="BH9" s="12">
        <f>+BH8-BH10</f>
        <v>5776</v>
      </c>
      <c r="BI9" s="12">
        <v>5762</v>
      </c>
      <c r="BJ9" s="12">
        <f t="shared" ref="BJ9:BU9" si="5">BJ8-BJ10</f>
        <v>6182</v>
      </c>
      <c r="BK9" s="12">
        <f t="shared" si="5"/>
        <v>6445</v>
      </c>
      <c r="BL9" s="13">
        <f t="shared" si="5"/>
        <v>24585</v>
      </c>
      <c r="BM9" s="12">
        <f t="shared" si="5"/>
        <v>6566</v>
      </c>
      <c r="BN9" s="12">
        <f t="shared" si="5"/>
        <v>6887</v>
      </c>
      <c r="BO9" s="12">
        <f t="shared" si="5"/>
        <v>7119</v>
      </c>
      <c r="BP9" s="12">
        <f t="shared" si="5"/>
        <v>7461</v>
      </c>
      <c r="BQ9" s="13">
        <f t="shared" si="5"/>
        <v>28033</v>
      </c>
      <c r="BR9" s="12">
        <f t="shared" si="5"/>
        <v>7724</v>
      </c>
      <c r="BS9" s="12">
        <f t="shared" si="5"/>
        <v>16633</v>
      </c>
      <c r="BT9" s="12">
        <f t="shared" si="5"/>
        <v>9809</v>
      </c>
      <c r="BU9" s="12">
        <f t="shared" si="5"/>
        <v>11008</v>
      </c>
      <c r="BV9" s="13">
        <f>SUM(BR9:BU9)</f>
        <v>45174</v>
      </c>
      <c r="BW9" s="12">
        <f t="shared" ref="BW9:CG9" si="6">BW8-BW10</f>
        <v>10214</v>
      </c>
      <c r="BX9" s="12">
        <f t="shared" si="6"/>
        <v>10074</v>
      </c>
      <c r="BY9" s="12">
        <f t="shared" si="6"/>
        <v>12521</v>
      </c>
      <c r="BZ9" s="12">
        <f t="shared" si="6"/>
        <v>12708</v>
      </c>
      <c r="CA9" s="13">
        <f>CA8-CA10</f>
        <v>45517</v>
      </c>
      <c r="CB9" s="12">
        <f t="shared" si="6"/>
        <v>10785</v>
      </c>
      <c r="CC9" s="12">
        <f t="shared" si="6"/>
        <v>10346</v>
      </c>
      <c r="CD9" s="12">
        <f t="shared" si="6"/>
        <v>10889</v>
      </c>
      <c r="CE9" s="12">
        <f t="shared" si="6"/>
        <v>11365</v>
      </c>
      <c r="CF9" s="13">
        <f>CF8-CF10</f>
        <v>43385</v>
      </c>
      <c r="CG9" s="12">
        <f t="shared" si="6"/>
        <v>21979</v>
      </c>
      <c r="CH9" s="12">
        <f>CH8-CH10</f>
        <v>20294</v>
      </c>
      <c r="CI9" s="12">
        <f>CI8-CI10</f>
        <v>20680</v>
      </c>
      <c r="CJ9" s="12">
        <f t="shared" ref="CJ9" si="7">CJ8-CJ10</f>
        <v>20857</v>
      </c>
      <c r="CK9" s="13">
        <f t="shared" ref="CK9:CP9" si="8">CK8-CK10</f>
        <v>46846</v>
      </c>
      <c r="CL9" s="12">
        <f t="shared" si="8"/>
        <v>20482</v>
      </c>
      <c r="CM9" s="12">
        <f t="shared" si="8"/>
        <v>20489</v>
      </c>
      <c r="CN9" s="12">
        <f t="shared" si="8"/>
        <v>20787</v>
      </c>
      <c r="CO9" s="12">
        <f t="shared" si="8"/>
        <v>20181</v>
      </c>
      <c r="CP9" s="13">
        <f t="shared" si="8"/>
        <v>44504</v>
      </c>
      <c r="CQ9" s="12">
        <f>CQ62*'Balance Sheet'!CP15+'Income Statement'!CQ58</f>
        <v>22224.85</v>
      </c>
      <c r="CR9" s="12">
        <f>CR62*'Balance Sheet'!CQ15+'Income Statement'!CR58</f>
        <v>18581.610500000003</v>
      </c>
      <c r="CS9" s="12">
        <f>CS62*'Balance Sheet'!CR15+'Income Statement'!CS58</f>
        <v>17193.397765000002</v>
      </c>
      <c r="CT9" s="12">
        <f>CT62*'Balance Sheet'!CS15+'Income Statement'!CT58</f>
        <v>14902.359921449999</v>
      </c>
      <c r="CU9" s="13">
        <f>CU8-CU10</f>
        <v>35902.218186450002</v>
      </c>
    </row>
    <row r="10" spans="1:99">
      <c r="B10" s="8"/>
      <c r="C10" s="7" t="s">
        <v>979</v>
      </c>
      <c r="D10" s="13">
        <f>'Income Statement'!D110</f>
        <v>3757</v>
      </c>
      <c r="E10" s="12">
        <f>'Income Statement'!E110</f>
        <v>1003</v>
      </c>
      <c r="F10" s="12">
        <f>'Income Statement'!F110</f>
        <v>10097</v>
      </c>
      <c r="G10" s="12">
        <f>'Income Statement'!G110</f>
        <v>1084</v>
      </c>
      <c r="H10" s="12">
        <f>'Income Statement'!H110</f>
        <v>1098</v>
      </c>
      <c r="I10" s="13">
        <f>'Income Statement'!I110</f>
        <v>0</v>
      </c>
      <c r="J10" s="12">
        <f>'Income Statement'!J110</f>
        <v>987</v>
      </c>
      <c r="K10" s="12">
        <f>'Income Statement'!K110</f>
        <v>1035</v>
      </c>
      <c r="L10" s="12">
        <f>'Income Statement'!L110</f>
        <v>1054</v>
      </c>
      <c r="M10" s="12">
        <f>'Income Statement'!M110</f>
        <v>1040</v>
      </c>
      <c r="N10" s="13">
        <f>'Income Statement'!N110</f>
        <v>0</v>
      </c>
      <c r="O10" s="12">
        <f>'Income Statement'!O58+'Income Statement'!O59</f>
        <v>0</v>
      </c>
      <c r="P10" s="12">
        <f>'Income Statement'!P58+'Income Statement'!P59</f>
        <v>0</v>
      </c>
      <c r="Q10" s="12">
        <f>'Income Statement'!Q58+'Income Statement'!Q59</f>
        <v>0</v>
      </c>
      <c r="R10" s="12">
        <f>'Income Statement'!R58+'Income Statement'!R59</f>
        <v>0</v>
      </c>
      <c r="S10" s="13">
        <f>'Income Statement'!S58+'Income Statement'!S59</f>
        <v>0</v>
      </c>
      <c r="T10" s="12">
        <f>'Income Statement'!T58+'Income Statement'!T59</f>
        <v>1099</v>
      </c>
      <c r="U10" s="12">
        <f>'Income Statement'!U58+'Income Statement'!U59</f>
        <v>1047</v>
      </c>
      <c r="V10" s="12">
        <f>'Income Statement'!V58+'Income Statement'!V59</f>
        <v>1044</v>
      </c>
      <c r="W10" s="12">
        <f>'Income Statement'!W58+'Income Statement'!W59</f>
        <v>1266</v>
      </c>
      <c r="X10" s="13">
        <f>'Income Statement'!X58+'Income Statement'!X59</f>
        <v>4456</v>
      </c>
      <c r="Y10" s="12">
        <f>'Income Statement'!Y58+'Income Statement'!Y59</f>
        <v>1356</v>
      </c>
      <c r="Z10" s="12">
        <f>'Income Statement'!Z58+'Income Statement'!Z59</f>
        <v>1619</v>
      </c>
      <c r="AA10" s="12">
        <f>'Income Statement'!AA58+'Income Statement'!AA59</f>
        <v>1581</v>
      </c>
      <c r="AB10" s="12">
        <f>'Income Statement'!AB58+'Income Statement'!AB59</f>
        <v>1611</v>
      </c>
      <c r="AC10" s="13">
        <f>'Income Statement'!AC58+'Income Statement'!AC59</f>
        <v>6167</v>
      </c>
      <c r="AD10" s="12">
        <f>'Income Statement'!AD58+'Income Statement'!AD59</f>
        <v>1680</v>
      </c>
      <c r="AE10" s="12">
        <f>'Income Statement'!AE58+'Income Statement'!AE59</f>
        <v>1651</v>
      </c>
      <c r="AF10" s="12">
        <f>'Income Statement'!AF58+'Income Statement'!AF59</f>
        <v>1642</v>
      </c>
      <c r="AG10" s="12">
        <f>'Income Statement'!AG58+'Income Statement'!AG59</f>
        <v>1622</v>
      </c>
      <c r="AH10" s="13">
        <f>'Income Statement'!AH58+'Income Statement'!AH59</f>
        <v>6595</v>
      </c>
      <c r="AI10" s="12">
        <f>'Income Statement'!AI58+'Income Statement'!AI59</f>
        <v>1610</v>
      </c>
      <c r="AJ10" s="12">
        <f>'Income Statement'!AJ58+'Income Statement'!AJ59</f>
        <v>1572</v>
      </c>
      <c r="AK10" s="12">
        <f>'Income Statement'!AK58+'Income Statement'!AK59</f>
        <v>1584</v>
      </c>
      <c r="AL10" s="81">
        <f>'Income Statement'!AL58+'Income Statement'!AL59</f>
        <v>1638</v>
      </c>
      <c r="AM10" s="13">
        <f>'Income Statement'!AM58+'Income Statement'!AM59</f>
        <v>6404</v>
      </c>
      <c r="AN10" s="81">
        <f>'Income Statement'!AN58+'Income Statement'!AN59</f>
        <v>1608</v>
      </c>
      <c r="AO10" s="12">
        <f>'Income Statement'!AO58+'Income Statement'!AO59</f>
        <v>1607</v>
      </c>
      <c r="AP10" s="12">
        <f>'Income Statement'!AP58+'Income Statement'!AP59</f>
        <v>1834</v>
      </c>
      <c r="AQ10" s="12">
        <f>'Income Statement'!AQ58+'Income Statement'!AQ59</f>
        <v>5296</v>
      </c>
      <c r="AR10" s="13">
        <f>'Income Statement'!AR58+'Income Statement'!AR59</f>
        <v>10345</v>
      </c>
      <c r="AS10" s="81">
        <f>'Income Statement'!AS58+'Income Statement'!AS59</f>
        <v>8821</v>
      </c>
      <c r="AT10" s="81">
        <f>'Income Statement'!AT58+'Income Statement'!AT59</f>
        <v>9133</v>
      </c>
      <c r="AU10" s="81">
        <f>'Income Statement'!AU58+'Income Statement'!AU59</f>
        <v>9056</v>
      </c>
      <c r="AV10" s="81">
        <f>'Income Statement'!AV58+'Income Statement'!AV59</f>
        <v>8956</v>
      </c>
      <c r="AW10" s="13">
        <f>'Income Statement'!AW58+'Income Statement'!AW59</f>
        <v>35966</v>
      </c>
      <c r="AX10" s="81">
        <f>'Income Statement'!AX58+'Income Statement'!AX59</f>
        <v>8868</v>
      </c>
      <c r="AY10" s="12">
        <f>'Income Statement'!AY58+'Income Statement'!AY59</f>
        <v>8823</v>
      </c>
      <c r="AZ10" s="81">
        <f>'Income Statement'!AZ58+'Income Statement'!AZ59</f>
        <v>8965</v>
      </c>
      <c r="BA10" s="12">
        <f>'Income Statement'!BA58+'Income Statement'!BA59</f>
        <v>8942</v>
      </c>
      <c r="BB10" s="13">
        <f>'Income Statement'!BB58+'Income Statement'!BB59</f>
        <v>35598</v>
      </c>
      <c r="BC10" s="12">
        <f>'Income Statement'!BC58+'Income Statement'!BC59</f>
        <v>8697</v>
      </c>
      <c r="BD10" s="12">
        <f>'Income Statement'!BD58+'Income Statement'!BD59</f>
        <v>9765</v>
      </c>
      <c r="BE10" s="12">
        <f>'Income Statement'!BE58+'Income Statement'!BE59</f>
        <v>10283</v>
      </c>
      <c r="BF10" s="12">
        <v>10444</v>
      </c>
      <c r="BG10" s="13">
        <f>'Income Statement'!BG58+'Income Statement'!BG59</f>
        <v>39189</v>
      </c>
      <c r="BH10" s="12">
        <f>'Income Statement'!BH58+'Income Statement'!BH59</f>
        <v>11532</v>
      </c>
      <c r="BI10" s="12">
        <f>'Income Statement'!BI58+'Income Statement'!BI59</f>
        <v>13254</v>
      </c>
      <c r="BJ10" s="12">
        <f>'Income Statement'!BJ58+'Income Statement'!BJ59</f>
        <v>13621</v>
      </c>
      <c r="BK10" s="12">
        <f>'Income Statement'!BK58+'Income Statement'!BK59</f>
        <v>13680</v>
      </c>
      <c r="BL10" s="13">
        <f>'Income Statement'!BL58+'Income Statement'!BL59</f>
        <v>52087</v>
      </c>
      <c r="BM10" s="12">
        <f>'Income Statement'!BM58+'Income Statement'!BM59</f>
        <v>13419</v>
      </c>
      <c r="BN10" s="12">
        <f>'Income Statement'!BN58+'Income Statement'!BN59</f>
        <v>13398</v>
      </c>
      <c r="BO10" s="12">
        <f>'Income Statement'!BO58+'Income Statement'!BO59</f>
        <v>13357</v>
      </c>
      <c r="BP10" s="12">
        <f>'Income Statement'!BP58+'Income Statement'!BP59</f>
        <v>13450</v>
      </c>
      <c r="BQ10" s="13">
        <f>'Income Statement'!BQ58+'Income Statement'!BQ59</f>
        <v>53624</v>
      </c>
      <c r="BR10" s="12">
        <f>'Income Statement'!BR58+'Income Statement'!BR59</f>
        <v>13376</v>
      </c>
      <c r="BS10" s="12">
        <f>'Income Statement'!BS58+'Income Statement'!BS59</f>
        <v>23243</v>
      </c>
      <c r="BT10" s="12">
        <f>'Income Statement'!BT58+'Income Statement'!BT59</f>
        <v>27079</v>
      </c>
      <c r="BU10" s="12">
        <f>'Income Statement'!BU58+'Income Statement'!BU59</f>
        <v>26752</v>
      </c>
      <c r="BV10" s="13">
        <f>SUM(BR10:BU10)</f>
        <v>90450</v>
      </c>
      <c r="BW10" s="12">
        <f>'Income Statement'!BW58+'Income Statement'!BW59</f>
        <v>27935</v>
      </c>
      <c r="BX10" s="12">
        <f>'Income Statement'!BX58+'Income Statement'!BX59</f>
        <v>27643</v>
      </c>
      <c r="BY10" s="12">
        <f>'Income Statement'!BY58+'Income Statement'!BY59</f>
        <v>28563</v>
      </c>
      <c r="BZ10" s="12">
        <f>'Income Statement'!BZ58+'Income Statement'!BZ59</f>
        <v>29414</v>
      </c>
      <c r="CA10" s="13">
        <f>'Income Statement'!CA58+'Income Statement'!CA59</f>
        <v>113555</v>
      </c>
      <c r="CB10" s="12">
        <f>'Income Statement'!CB58+'Income Statement'!CB59</f>
        <v>27327</v>
      </c>
      <c r="CC10" s="12">
        <f>'Income Statement'!CC58+'Income Statement'!CC59</f>
        <v>27290</v>
      </c>
      <c r="CD10" s="12">
        <f>'Income Statement'!CD58+'Income Statement'!CD59</f>
        <v>27561</v>
      </c>
      <c r="CE10" s="12">
        <f>'Income Statement'!CE58+'Income Statement'!CE59</f>
        <v>28516</v>
      </c>
      <c r="CF10" s="13">
        <f>'Income Statement'!CF58+'Income Statement'!CF59</f>
        <v>110694</v>
      </c>
      <c r="CG10" s="12">
        <f>'Income Statement'!CG59</f>
        <v>18118</v>
      </c>
      <c r="CH10" s="12">
        <f>'Income Statement'!CH59</f>
        <v>13845</v>
      </c>
      <c r="CI10" s="12">
        <f>'Income Statement'!CI59</f>
        <v>13850</v>
      </c>
      <c r="CJ10" s="12">
        <f>'Income Statement'!CJ59</f>
        <v>13814</v>
      </c>
      <c r="CK10" s="13">
        <f>'Income Statement'!CK58+'Income Statement'!CK59</f>
        <v>96591</v>
      </c>
      <c r="CL10" s="12">
        <f>'Income Statement'!CL59</f>
        <v>14139</v>
      </c>
      <c r="CM10" s="12">
        <f>'Income Statement'!CM59</f>
        <v>13833</v>
      </c>
      <c r="CN10" s="12">
        <f>'Income Statement'!CN59</f>
        <v>14201</v>
      </c>
      <c r="CO10" s="12">
        <f>'Income Statement'!CO59</f>
        <v>14246</v>
      </c>
      <c r="CP10" s="13">
        <f>'Income Statement'!CP58+'Income Statement'!CP59</f>
        <v>93854</v>
      </c>
      <c r="CQ10" s="12">
        <f>'Income Statement'!CQ59</f>
        <v>12000</v>
      </c>
      <c r="CR10" s="12">
        <f>'Income Statement'!CR59</f>
        <v>12000</v>
      </c>
      <c r="CS10" s="12">
        <f>'Income Statement'!CS59</f>
        <v>12000</v>
      </c>
      <c r="CT10" s="12">
        <f>'Income Statement'!CT59</f>
        <v>12000</v>
      </c>
      <c r="CU10" s="13">
        <f>'Income Statement'!CU58+'Income Statement'!CU59</f>
        <v>85000</v>
      </c>
    </row>
    <row r="11" spans="1:99">
      <c r="B11" s="8"/>
      <c r="C11" s="7" t="s">
        <v>118</v>
      </c>
      <c r="D11" s="13">
        <v>0</v>
      </c>
      <c r="E11" s="12">
        <v>0</v>
      </c>
      <c r="F11" s="12">
        <f>9045-E11</f>
        <v>9045</v>
      </c>
      <c r="G11" s="12">
        <f>9045-F11-E11</f>
        <v>0</v>
      </c>
      <c r="H11" s="12">
        <f t="shared" si="0"/>
        <v>0</v>
      </c>
      <c r="I11" s="13">
        <v>9045</v>
      </c>
      <c r="J11" s="12">
        <v>0</v>
      </c>
      <c r="K11" s="12">
        <v>0</v>
      </c>
      <c r="L11" s="12">
        <v>0</v>
      </c>
      <c r="M11" s="12">
        <f t="shared" si="1"/>
        <v>0</v>
      </c>
      <c r="N11" s="13">
        <v>0</v>
      </c>
      <c r="O11" s="12">
        <v>0</v>
      </c>
      <c r="P11" s="12">
        <v>0</v>
      </c>
      <c r="Q11" s="12">
        <v>0</v>
      </c>
      <c r="R11" s="12">
        <v>0</v>
      </c>
      <c r="S11" s="13">
        <v>0</v>
      </c>
      <c r="T11" s="12">
        <v>0</v>
      </c>
      <c r="U11" s="12">
        <v>0</v>
      </c>
      <c r="V11" s="12">
        <v>0</v>
      </c>
      <c r="W11" s="12">
        <v>0</v>
      </c>
      <c r="X11" s="13">
        <v>0</v>
      </c>
      <c r="Y11" s="12">
        <v>0</v>
      </c>
      <c r="Z11" s="7"/>
      <c r="AA11" s="7"/>
      <c r="AB11" s="7"/>
      <c r="AC11" s="23">
        <f>SUM(Y11:AB11)</f>
        <v>0</v>
      </c>
      <c r="AD11" s="7"/>
      <c r="AE11" s="7"/>
      <c r="AF11" s="7"/>
      <c r="AG11" s="7"/>
      <c r="AH11" s="13">
        <f>SUM(AD11:AG11)</f>
        <v>0</v>
      </c>
      <c r="AI11" s="7"/>
      <c r="AJ11" s="7"/>
      <c r="AK11" s="7"/>
      <c r="AL11" s="279"/>
      <c r="AM11" s="13">
        <f t="shared" ref="AM11:AM17" si="9">SUM(AI11:AL11)</f>
        <v>0</v>
      </c>
      <c r="AN11" s="7"/>
      <c r="AO11" s="7"/>
      <c r="AP11" s="7"/>
      <c r="AQ11" s="12"/>
      <c r="AR11" s="13">
        <f t="shared" ref="AR11:AR17" si="10">SUM(AN11:AQ11)</f>
        <v>0</v>
      </c>
      <c r="AS11" s="7"/>
      <c r="AT11" s="279"/>
      <c r="AU11" s="279"/>
      <c r="AV11" s="81"/>
      <c r="AW11" s="13">
        <f>SUM(AS11:AV11)</f>
        <v>0</v>
      </c>
      <c r="AX11" s="279"/>
      <c r="AY11" s="7"/>
      <c r="AZ11" s="279"/>
      <c r="BA11" s="7"/>
      <c r="BB11" s="13">
        <f>SUM(AX11:BA11)</f>
        <v>0</v>
      </c>
      <c r="BC11" s="7"/>
      <c r="BD11" s="7"/>
      <c r="BE11" s="7"/>
      <c r="BF11" s="7"/>
      <c r="BG11" s="13">
        <f>SUM(BC11:BF11)</f>
        <v>0</v>
      </c>
      <c r="BH11" s="7"/>
      <c r="BI11" s="7"/>
      <c r="BJ11" s="7"/>
      <c r="BK11" s="7"/>
      <c r="BL11" s="13">
        <f t="shared" ref="BL11:BL19" si="11">SUM(BH11:BK11)</f>
        <v>0</v>
      </c>
      <c r="BM11" s="7"/>
      <c r="BN11" s="7"/>
      <c r="BO11" s="7"/>
      <c r="BP11" s="7"/>
      <c r="BQ11" s="13">
        <f t="shared" ref="BQ11:BQ17" si="12">SUM(BM11:BP11)</f>
        <v>0</v>
      </c>
      <c r="BR11" s="7"/>
      <c r="BS11" s="7"/>
      <c r="BT11" s="7"/>
      <c r="BU11" s="7"/>
      <c r="BV11" s="13">
        <f t="shared" ref="BV11:BV25" si="13">SUM(BR11:BU11)</f>
        <v>0</v>
      </c>
      <c r="BW11" s="7"/>
      <c r="BX11" s="7"/>
      <c r="BY11" s="7"/>
      <c r="BZ11" s="7"/>
      <c r="CA11" s="13">
        <f>SUM(BW11:BZ11)</f>
        <v>0</v>
      </c>
      <c r="CB11" s="7"/>
      <c r="CC11" s="7"/>
      <c r="CD11" s="7"/>
      <c r="CE11" s="7"/>
      <c r="CF11" s="13">
        <f t="shared" ref="CF11:CF17" si="14">SUM(CB11:CE11)</f>
        <v>0</v>
      </c>
      <c r="CG11" s="7"/>
      <c r="CH11" s="7"/>
      <c r="CI11" s="7"/>
      <c r="CJ11" s="7"/>
      <c r="CK11" s="13">
        <f t="shared" ref="CK11:CK23" si="15">SUM(CG11:CJ11)</f>
        <v>0</v>
      </c>
      <c r="CL11" s="7"/>
      <c r="CM11" s="7"/>
      <c r="CN11" s="7"/>
      <c r="CO11" s="7"/>
      <c r="CP11" s="13">
        <f>SUM(CL11:CO11)</f>
        <v>0</v>
      </c>
      <c r="CQ11" s="7"/>
      <c r="CR11" s="7"/>
      <c r="CS11" s="7"/>
      <c r="CT11" s="7"/>
      <c r="CU11" s="13">
        <f>SUM(CQ11:CT11)</f>
        <v>0</v>
      </c>
    </row>
    <row r="12" spans="1:99">
      <c r="B12" s="8"/>
      <c r="C12" s="7" t="s">
        <v>91</v>
      </c>
      <c r="D12" s="13">
        <v>2365</v>
      </c>
      <c r="E12" s="12">
        <v>716</v>
      </c>
      <c r="F12" s="12">
        <f>1621-E12</f>
        <v>905</v>
      </c>
      <c r="G12" s="12">
        <f>2719-F12-E12</f>
        <v>1098</v>
      </c>
      <c r="H12" s="12">
        <f t="shared" si="0"/>
        <v>1101</v>
      </c>
      <c r="I12" s="13">
        <v>3820</v>
      </c>
      <c r="J12" s="12">
        <v>1127</v>
      </c>
      <c r="K12" s="12">
        <f>2365-J12</f>
        <v>1238</v>
      </c>
      <c r="L12" s="12">
        <f>3653-K12-J12</f>
        <v>1288</v>
      </c>
      <c r="M12" s="12">
        <f t="shared" si="1"/>
        <v>1392</v>
      </c>
      <c r="N12" s="13">
        <v>5045</v>
      </c>
      <c r="O12" s="12">
        <v>1465</v>
      </c>
      <c r="P12" s="12">
        <f>3073-O12</f>
        <v>1608</v>
      </c>
      <c r="Q12" s="12">
        <f>4617-P12-O12</f>
        <v>1544</v>
      </c>
      <c r="R12" s="12">
        <f>S12-Q12-P12-O12</f>
        <v>1515</v>
      </c>
      <c r="S12" s="13">
        <v>6132</v>
      </c>
      <c r="T12" s="12">
        <v>1449</v>
      </c>
      <c r="U12" s="12">
        <f>2969-T12</f>
        <v>1520</v>
      </c>
      <c r="V12" s="12">
        <f>4585-U12-T12</f>
        <v>1616</v>
      </c>
      <c r="W12" s="12">
        <f>X12-V12-U12-T12</f>
        <v>1668</v>
      </c>
      <c r="X12" s="13">
        <v>6253</v>
      </c>
      <c r="Y12" s="12">
        <v>1835</v>
      </c>
      <c r="Z12" s="22">
        <f>3603-Y12</f>
        <v>1768</v>
      </c>
      <c r="AA12" s="12">
        <f>5506-Z12-Y12</f>
        <v>1903</v>
      </c>
      <c r="AB12" s="12">
        <v>1905</v>
      </c>
      <c r="AC12" s="13">
        <f>SUM(Y12:AB12)</f>
        <v>7411</v>
      </c>
      <c r="AD12" s="12">
        <f>'Income Statement'!AD60</f>
        <v>2575</v>
      </c>
      <c r="AE12" s="12">
        <f>5478-AD12</f>
        <v>2903</v>
      </c>
      <c r="AF12" s="12">
        <f>8539-AE12-AD12</f>
        <v>3061</v>
      </c>
      <c r="AG12" s="12">
        <v>3114</v>
      </c>
      <c r="AH12" s="13">
        <f>SUM(AD12:AG12)</f>
        <v>11653</v>
      </c>
      <c r="AI12" s="12">
        <v>3462</v>
      </c>
      <c r="AJ12" s="12">
        <f>7002-AI12</f>
        <v>3540</v>
      </c>
      <c r="AK12" s="12">
        <v>3885</v>
      </c>
      <c r="AL12" s="81">
        <v>3932</v>
      </c>
      <c r="AM12" s="13">
        <f t="shared" si="9"/>
        <v>14819</v>
      </c>
      <c r="AN12" s="12">
        <v>4258</v>
      </c>
      <c r="AO12" s="12">
        <f>8861-AN12</f>
        <v>4603</v>
      </c>
      <c r="AP12" s="12">
        <f>5598</f>
        <v>5598</v>
      </c>
      <c r="AQ12" s="12">
        <v>5723</v>
      </c>
      <c r="AR12" s="13">
        <f t="shared" si="10"/>
        <v>20182</v>
      </c>
      <c r="AS12" s="12">
        <v>6480</v>
      </c>
      <c r="AT12" s="81">
        <v>7212</v>
      </c>
      <c r="AU12" s="81">
        <v>7656</v>
      </c>
      <c r="AV12" s="81">
        <v>8399</v>
      </c>
      <c r="AW12" s="13">
        <f>SUM(AS12:AV12)</f>
        <v>29747</v>
      </c>
      <c r="AX12" s="81">
        <v>8676</v>
      </c>
      <c r="AY12" s="12">
        <v>8901</v>
      </c>
      <c r="AZ12" s="81">
        <v>9791</v>
      </c>
      <c r="BA12" s="12">
        <v>9980</v>
      </c>
      <c r="BB12" s="13">
        <f>SUM(AX12:BA12)</f>
        <v>37348</v>
      </c>
      <c r="BC12" s="12">
        <v>10557</v>
      </c>
      <c r="BD12" s="12">
        <v>12933</v>
      </c>
      <c r="BE12" s="12">
        <v>14476</v>
      </c>
      <c r="BF12" s="12">
        <v>14774</v>
      </c>
      <c r="BG12" s="13">
        <f>SUM(BC12:BF12)</f>
        <v>52740</v>
      </c>
      <c r="BH12" s="12">
        <v>14416</v>
      </c>
      <c r="BI12" s="12">
        <v>15066</v>
      </c>
      <c r="BJ12" s="12">
        <v>14887</v>
      </c>
      <c r="BK12" s="12">
        <v>15598</v>
      </c>
      <c r="BL12" s="13">
        <f t="shared" si="11"/>
        <v>59967</v>
      </c>
      <c r="BM12" s="12">
        <v>17302</v>
      </c>
      <c r="BN12" s="12">
        <v>18386</v>
      </c>
      <c r="BO12" s="12">
        <v>18424</v>
      </c>
      <c r="BP12" s="12">
        <v>13253</v>
      </c>
      <c r="BQ12" s="13">
        <f t="shared" si="12"/>
        <v>67365</v>
      </c>
      <c r="BR12" s="12">
        <v>25724</v>
      </c>
      <c r="BS12" s="12">
        <f>50899-BR12</f>
        <v>25175</v>
      </c>
      <c r="BT12" s="12">
        <f>'Income Statement'!BT60</f>
        <v>29461</v>
      </c>
      <c r="BU12" s="12">
        <v>24366</v>
      </c>
      <c r="BV12" s="13">
        <f t="shared" si="13"/>
        <v>104726</v>
      </c>
      <c r="BW12" s="12">
        <v>25279</v>
      </c>
      <c r="BX12" s="12">
        <v>25800</v>
      </c>
      <c r="BY12" s="12">
        <v>26912</v>
      </c>
      <c r="BZ12" s="12">
        <v>24994</v>
      </c>
      <c r="CA12" s="13">
        <f>SUM(BW12:BZ12)</f>
        <v>102985</v>
      </c>
      <c r="CB12" s="12">
        <v>27896</v>
      </c>
      <c r="CC12" s="12">
        <v>26028</v>
      </c>
      <c r="CD12" s="12">
        <v>26981</v>
      </c>
      <c r="CE12" s="12">
        <v>27433</v>
      </c>
      <c r="CF12" s="13">
        <f t="shared" si="14"/>
        <v>108338</v>
      </c>
      <c r="CG12" s="12">
        <v>26866</v>
      </c>
      <c r="CH12" s="12">
        <v>30407</v>
      </c>
      <c r="CI12" s="12">
        <v>31187</v>
      </c>
      <c r="CJ12" s="12">
        <v>34353</v>
      </c>
      <c r="CK12" s="13">
        <f t="shared" si="15"/>
        <v>122813</v>
      </c>
      <c r="CL12" s="12">
        <v>37660</v>
      </c>
      <c r="CM12" s="12">
        <v>38302</v>
      </c>
      <c r="CN12" s="12">
        <v>36669</v>
      </c>
      <c r="CO12" s="12">
        <v>38645</v>
      </c>
      <c r="CP12" s="13">
        <f>SUM(CL12:CO12)</f>
        <v>151276</v>
      </c>
      <c r="CQ12" s="12">
        <f>'Income Statement'!CQ60</f>
        <v>35000</v>
      </c>
      <c r="CR12" s="12">
        <f>'Income Statement'!CR60</f>
        <v>35000</v>
      </c>
      <c r="CS12" s="12">
        <f>'Income Statement'!CS60</f>
        <v>35000</v>
      </c>
      <c r="CT12" s="12">
        <f>'Income Statement'!CT60</f>
        <v>37000</v>
      </c>
      <c r="CU12" s="13">
        <f>SUM(CQ12:CT12)</f>
        <v>142000</v>
      </c>
    </row>
    <row r="13" spans="1:99">
      <c r="B13" s="8"/>
      <c r="C13" s="7" t="s">
        <v>119</v>
      </c>
      <c r="D13" s="13">
        <v>753</v>
      </c>
      <c r="E13" s="12">
        <v>0</v>
      </c>
      <c r="F13" s="12">
        <v>0</v>
      </c>
      <c r="G13" s="12">
        <v>0</v>
      </c>
      <c r="H13" s="12">
        <f t="shared" si="0"/>
        <v>1764</v>
      </c>
      <c r="I13" s="13">
        <v>1764</v>
      </c>
      <c r="J13" s="12">
        <v>0</v>
      </c>
      <c r="K13" s="12">
        <v>0</v>
      </c>
      <c r="L13" s="12">
        <v>0</v>
      </c>
      <c r="M13" s="12">
        <f t="shared" si="1"/>
        <v>1538</v>
      </c>
      <c r="N13" s="13">
        <v>1538</v>
      </c>
      <c r="O13" s="12">
        <v>0</v>
      </c>
      <c r="P13" s="12">
        <v>0</v>
      </c>
      <c r="Q13" s="12">
        <v>0</v>
      </c>
      <c r="R13" s="12">
        <f>S13-Q13-P13-O13</f>
        <v>1161</v>
      </c>
      <c r="S13" s="13">
        <v>1161</v>
      </c>
      <c r="T13" s="12">
        <v>0</v>
      </c>
      <c r="U13" s="12">
        <v>0</v>
      </c>
      <c r="V13" s="12">
        <v>0</v>
      </c>
      <c r="W13" s="12">
        <v>0</v>
      </c>
      <c r="X13" s="13">
        <v>805</v>
      </c>
      <c r="Y13" s="12">
        <v>0</v>
      </c>
      <c r="Z13" s="7"/>
      <c r="AA13" s="7"/>
      <c r="AB13" s="7">
        <v>961</v>
      </c>
      <c r="AC13" s="23">
        <f>SUM(Y13:AB13)</f>
        <v>961</v>
      </c>
      <c r="AD13" s="7"/>
      <c r="AE13" s="7"/>
      <c r="AF13" s="7"/>
      <c r="AG13" s="7">
        <v>729</v>
      </c>
      <c r="AH13" s="13">
        <f>SUM(AD13:AG13)</f>
        <v>729</v>
      </c>
      <c r="AI13" s="7"/>
      <c r="AJ13" s="7"/>
      <c r="AK13" s="7"/>
      <c r="AL13" s="279">
        <v>1897</v>
      </c>
      <c r="AM13" s="13">
        <f t="shared" si="9"/>
        <v>1897</v>
      </c>
      <c r="AN13" s="12"/>
      <c r="AO13" s="12"/>
      <c r="AP13" s="7"/>
      <c r="AQ13" s="12">
        <v>1756</v>
      </c>
      <c r="AR13" s="13">
        <f t="shared" si="10"/>
        <v>1756</v>
      </c>
      <c r="AS13" s="7"/>
      <c r="AT13" s="279"/>
      <c r="AU13" s="81"/>
      <c r="AV13" s="81">
        <v>4484</v>
      </c>
      <c r="AW13" s="13">
        <f>SUM(AS13:AV13)</f>
        <v>4484</v>
      </c>
      <c r="AX13" s="81"/>
      <c r="AY13" s="12"/>
      <c r="AZ13" s="81"/>
      <c r="BA13" s="12">
        <v>4110</v>
      </c>
      <c r="BB13" s="13">
        <f>SUM(AX13:BA13)</f>
        <v>4110</v>
      </c>
      <c r="BC13" s="12"/>
      <c r="BD13" s="12"/>
      <c r="BE13" s="12"/>
      <c r="BF13" s="7">
        <v>2286</v>
      </c>
      <c r="BG13" s="13">
        <f>SUM(BC13:BF13)</f>
        <v>2286</v>
      </c>
      <c r="BH13" s="12"/>
      <c r="BI13" s="12"/>
      <c r="BJ13" s="12"/>
      <c r="BK13" s="7">
        <v>1636</v>
      </c>
      <c r="BL13" s="13">
        <f t="shared" si="11"/>
        <v>1636</v>
      </c>
      <c r="BM13" s="12"/>
      <c r="BN13" s="12"/>
      <c r="BO13" s="12"/>
      <c r="BP13" s="7">
        <v>3517</v>
      </c>
      <c r="BQ13" s="13">
        <f t="shared" si="12"/>
        <v>3517</v>
      </c>
      <c r="BR13" s="12"/>
      <c r="BS13" s="12"/>
      <c r="BT13" s="12"/>
      <c r="BU13" s="12">
        <v>2831</v>
      </c>
      <c r="BV13" s="13">
        <f t="shared" si="13"/>
        <v>2831</v>
      </c>
      <c r="BW13" s="12">
        <v>-55</v>
      </c>
      <c r="BX13" s="12">
        <v>2</v>
      </c>
      <c r="BY13" s="12">
        <v>97</v>
      </c>
      <c r="BZ13" s="12">
        <v>2781</v>
      </c>
      <c r="CA13" s="13">
        <f>SUM(BW13:BZ13)</f>
        <v>2825</v>
      </c>
      <c r="CB13" s="12"/>
      <c r="CC13" s="12"/>
      <c r="CD13" s="12">
        <v>-1</v>
      </c>
      <c r="CE13" s="12">
        <v>8233</v>
      </c>
      <c r="CF13" s="13">
        <f t="shared" si="14"/>
        <v>8232</v>
      </c>
      <c r="CG13" s="12"/>
      <c r="CH13" s="12"/>
      <c r="CI13" s="12"/>
      <c r="CJ13" s="12">
        <v>-5504</v>
      </c>
      <c r="CK13" s="13">
        <f t="shared" si="15"/>
        <v>-5504</v>
      </c>
      <c r="CL13" s="12"/>
      <c r="CM13" s="12"/>
      <c r="CN13" s="12"/>
      <c r="CO13" s="12">
        <v>14647</v>
      </c>
      <c r="CP13" s="13">
        <f t="shared" ref="CP13:CP19" si="16">SUM(CL13:CO13)</f>
        <v>14647</v>
      </c>
      <c r="CQ13" s="12"/>
      <c r="CR13" s="12"/>
      <c r="CS13" s="12"/>
      <c r="CT13" s="12"/>
      <c r="CU13" s="13">
        <f>SUM(CQ13:CT13)</f>
        <v>0</v>
      </c>
    </row>
    <row r="14" spans="1:99">
      <c r="B14" s="8"/>
      <c r="C14" s="7" t="s">
        <v>90</v>
      </c>
      <c r="D14" s="13">
        <v>-1891</v>
      </c>
      <c r="E14" s="12">
        <v>0</v>
      </c>
      <c r="F14" s="12">
        <f>-367-E14</f>
        <v>-367</v>
      </c>
      <c r="G14" s="12">
        <f>-560-F14-E14</f>
        <v>-193</v>
      </c>
      <c r="H14" s="12">
        <f t="shared" si="0"/>
        <v>-106</v>
      </c>
      <c r="I14" s="13">
        <v>-666</v>
      </c>
      <c r="J14" s="12">
        <v>-148</v>
      </c>
      <c r="K14" s="12">
        <f>-357-J14</f>
        <v>-209</v>
      </c>
      <c r="L14" s="12">
        <f>-525-K14-J14</f>
        <v>-168</v>
      </c>
      <c r="M14" s="12">
        <f t="shared" si="1"/>
        <v>-600</v>
      </c>
      <c r="N14" s="13">
        <v>-1125</v>
      </c>
      <c r="O14" s="12">
        <v>-48</v>
      </c>
      <c r="P14" s="12">
        <f>-1161-O14</f>
        <v>-1113</v>
      </c>
      <c r="Q14" s="12">
        <f>-1209-P14-O14</f>
        <v>-48</v>
      </c>
      <c r="R14" s="12">
        <f>S14-Q14-P14-O14</f>
        <v>-791</v>
      </c>
      <c r="S14" s="13">
        <v>-2000</v>
      </c>
      <c r="T14" s="12">
        <v>-272</v>
      </c>
      <c r="U14" s="12">
        <f>-1692-T14</f>
        <v>-1420</v>
      </c>
      <c r="V14" s="12">
        <f>-1721-U14-T14</f>
        <v>-29</v>
      </c>
      <c r="W14" s="12">
        <f>X14-V14-U14-T14</f>
        <v>-1869</v>
      </c>
      <c r="X14" s="13">
        <v>-3590</v>
      </c>
      <c r="Y14" s="12">
        <v>-686</v>
      </c>
      <c r="Z14" s="22">
        <f>-1581-Y14</f>
        <v>-895</v>
      </c>
      <c r="AA14" s="22">
        <f>-3283-Z14-Y14</f>
        <v>-1702</v>
      </c>
      <c r="AB14" s="22">
        <v>-5481</v>
      </c>
      <c r="AC14" s="23">
        <f>SUM(Y14:AB14)</f>
        <v>-8764</v>
      </c>
      <c r="AD14" s="12">
        <v>-1523</v>
      </c>
      <c r="AE14" s="12">
        <f>-5661-AD14</f>
        <v>-4138</v>
      </c>
      <c r="AF14" s="12">
        <f>-13200-AE14-AD14</f>
        <v>-7539</v>
      </c>
      <c r="AG14" s="12">
        <v>-15007</v>
      </c>
      <c r="AH14" s="13">
        <f>SUM(AD14:AG14)</f>
        <v>-28207</v>
      </c>
      <c r="AI14" s="12">
        <v>-2158</v>
      </c>
      <c r="AJ14" s="22">
        <f>-3206-AI14</f>
        <v>-1048</v>
      </c>
      <c r="AK14" s="12">
        <v>-3511</v>
      </c>
      <c r="AL14" s="81">
        <v>-12685</v>
      </c>
      <c r="AM14" s="13">
        <f t="shared" si="9"/>
        <v>-19402</v>
      </c>
      <c r="AN14" s="12">
        <v>-3558</v>
      </c>
      <c r="AO14" s="12">
        <f>-8827-AN14</f>
        <v>-5269</v>
      </c>
      <c r="AP14" s="22">
        <f>-1974</f>
        <v>-1974</v>
      </c>
      <c r="AQ14" s="12">
        <v>-34513</v>
      </c>
      <c r="AR14" s="13">
        <f t="shared" si="10"/>
        <v>-45314</v>
      </c>
      <c r="AS14" s="12">
        <v>-1051</v>
      </c>
      <c r="AT14" s="81">
        <v>-5643</v>
      </c>
      <c r="AU14" s="81">
        <v>-12122</v>
      </c>
      <c r="AV14" s="81">
        <f>0-AU14-AT14-AS14</f>
        <v>18816</v>
      </c>
      <c r="AW14" s="13">
        <f>SUM(AS14:AV14)</f>
        <v>0</v>
      </c>
      <c r="AX14" s="81">
        <v>-4089</v>
      </c>
      <c r="AY14" s="12">
        <v>-5009</v>
      </c>
      <c r="AZ14" s="81">
        <v>-5119</v>
      </c>
      <c r="BA14" s="12">
        <v>-15649</v>
      </c>
      <c r="BB14" s="13">
        <f>SUM(AX14:BA14)</f>
        <v>-29866</v>
      </c>
      <c r="BC14" s="12">
        <v>-2658</v>
      </c>
      <c r="BD14" s="12">
        <v>-2538</v>
      </c>
      <c r="BE14" s="12"/>
      <c r="BF14" s="12">
        <v>0</v>
      </c>
      <c r="BG14" s="13">
        <f>SUM(BC14:BF14)</f>
        <v>-5196</v>
      </c>
      <c r="BH14" s="7">
        <v>-4785</v>
      </c>
      <c r="BI14" s="7">
        <f>-7440-BH14</f>
        <v>-2655</v>
      </c>
      <c r="BJ14" s="7">
        <f>-10329-BI14-BH14</f>
        <v>-2889</v>
      </c>
      <c r="BK14" s="7">
        <f>-6088-BJ14-BI14-BH14</f>
        <v>4241</v>
      </c>
      <c r="BL14" s="13">
        <f>SUM(BH14:BK14)</f>
        <v>-6088</v>
      </c>
      <c r="BM14" s="12">
        <v>-2668</v>
      </c>
      <c r="BN14" s="12">
        <v>-1061</v>
      </c>
      <c r="BO14" s="12">
        <v>1271</v>
      </c>
      <c r="BP14" s="12">
        <f>-7936-BO14-BN14-BM14</f>
        <v>-5478</v>
      </c>
      <c r="BQ14" s="13">
        <f t="shared" si="12"/>
        <v>-7936</v>
      </c>
      <c r="BR14" s="12">
        <v>-3267</v>
      </c>
      <c r="BS14" s="12">
        <f>-6430-BR14</f>
        <v>-3163</v>
      </c>
      <c r="BT14" s="12"/>
      <c r="BU14" s="12"/>
      <c r="BV14" s="13">
        <f t="shared" si="13"/>
        <v>-6430</v>
      </c>
      <c r="BW14" s="12"/>
      <c r="BX14" s="12"/>
      <c r="BY14" s="12"/>
      <c r="BZ14" s="12"/>
      <c r="CA14" s="13">
        <f>SUM(BW14:BZ14)</f>
        <v>0</v>
      </c>
      <c r="CB14" s="12"/>
      <c r="CC14" s="12"/>
      <c r="CD14" s="12"/>
      <c r="CE14" s="12"/>
      <c r="CF14" s="13">
        <f t="shared" si="14"/>
        <v>0</v>
      </c>
      <c r="CG14" s="12"/>
      <c r="CH14" s="12"/>
      <c r="CI14" s="12"/>
      <c r="CJ14" s="12"/>
      <c r="CK14" s="13">
        <f t="shared" si="15"/>
        <v>0</v>
      </c>
      <c r="CL14" s="12"/>
      <c r="CM14" s="12"/>
      <c r="CN14" s="12"/>
      <c r="CO14" s="12"/>
      <c r="CP14" s="13">
        <f t="shared" si="16"/>
        <v>0</v>
      </c>
      <c r="CQ14" s="12">
        <v>-2500</v>
      </c>
      <c r="CR14" s="12">
        <v>-2500</v>
      </c>
      <c r="CS14" s="12">
        <v>-2500</v>
      </c>
      <c r="CT14" s="12">
        <v>-2500</v>
      </c>
      <c r="CU14" s="13">
        <f>SUM(CQ14:CT14)</f>
        <v>-10000</v>
      </c>
    </row>
    <row r="15" spans="1:99">
      <c r="B15" s="8"/>
      <c r="C15" s="7" t="s">
        <v>120</v>
      </c>
      <c r="D15" s="13">
        <v>-1598</v>
      </c>
      <c r="E15" s="12">
        <v>0</v>
      </c>
      <c r="F15" s="12">
        <v>0</v>
      </c>
      <c r="G15" s="12">
        <v>0</v>
      </c>
      <c r="H15" s="12">
        <f t="shared" si="0"/>
        <v>-2151</v>
      </c>
      <c r="I15" s="13">
        <v>-2151</v>
      </c>
      <c r="J15" s="12">
        <v>0</v>
      </c>
      <c r="K15" s="12">
        <v>0</v>
      </c>
      <c r="L15" s="12">
        <v>0</v>
      </c>
      <c r="M15" s="12">
        <f t="shared" si="1"/>
        <v>-1730</v>
      </c>
      <c r="N15" s="13">
        <v>-1730</v>
      </c>
      <c r="O15" s="12">
        <v>0</v>
      </c>
      <c r="P15" s="12">
        <v>0</v>
      </c>
      <c r="Q15" s="12">
        <v>0</v>
      </c>
      <c r="R15" s="12">
        <f>S15-Q15-P15-O15</f>
        <v>-959</v>
      </c>
      <c r="S15" s="13">
        <v>-959</v>
      </c>
      <c r="T15" s="12">
        <v>0</v>
      </c>
      <c r="U15" s="12">
        <v>0</v>
      </c>
      <c r="V15" s="12">
        <v>0</v>
      </c>
      <c r="W15" s="12">
        <v>0</v>
      </c>
      <c r="X15" s="13">
        <v>-2916</v>
      </c>
      <c r="Y15" s="12">
        <v>0</v>
      </c>
      <c r="Z15" s="7"/>
      <c r="AA15" s="7"/>
      <c r="AB15" s="7">
        <v>-215</v>
      </c>
      <c r="AC15" s="23">
        <f>SUM(Y15:AB15)</f>
        <v>-215</v>
      </c>
      <c r="AD15" s="7"/>
      <c r="AE15" s="7"/>
      <c r="AF15" s="7"/>
      <c r="AG15" s="7">
        <v>-1497</v>
      </c>
      <c r="AH15" s="13">
        <f>SUM(AD15:AG15)</f>
        <v>-1497</v>
      </c>
      <c r="AI15" s="7"/>
      <c r="AJ15" s="7"/>
      <c r="AK15" s="7"/>
      <c r="AL15" s="81">
        <v>-3804</v>
      </c>
      <c r="AM15" s="13">
        <f t="shared" si="9"/>
        <v>-3804</v>
      </c>
      <c r="AN15" s="12"/>
      <c r="AO15" s="12"/>
      <c r="AP15" s="7"/>
      <c r="AQ15" s="12">
        <v>-7956</v>
      </c>
      <c r="AR15" s="13">
        <f t="shared" si="10"/>
        <v>-7956</v>
      </c>
      <c r="AS15" s="7"/>
      <c r="AT15" s="279"/>
      <c r="AU15" s="81">
        <v>-11289</v>
      </c>
      <c r="AV15" s="81">
        <v>-17650</v>
      </c>
      <c r="AW15" s="13">
        <f>SUM(AS15:AV15)</f>
        <v>-28939</v>
      </c>
      <c r="AX15" s="279"/>
      <c r="AY15" s="12"/>
      <c r="AZ15" s="279"/>
      <c r="BA15" s="7"/>
      <c r="BB15" s="13">
        <f>SUM(AX15:BA15)</f>
        <v>0</v>
      </c>
      <c r="BC15" s="7"/>
      <c r="BD15" s="7"/>
      <c r="BE15" s="7">
        <v>162</v>
      </c>
      <c r="BF15" s="7">
        <v>-35</v>
      </c>
      <c r="BG15" s="13">
        <f>SUM(BC15:BF15)</f>
        <v>127</v>
      </c>
      <c r="BL15" s="13"/>
      <c r="BM15" s="7"/>
      <c r="BN15" s="7"/>
      <c r="BO15" s="7"/>
      <c r="BP15" s="7"/>
      <c r="BQ15" s="13">
        <f t="shared" si="12"/>
        <v>0</v>
      </c>
      <c r="BR15" s="7"/>
      <c r="BS15" s="12"/>
      <c r="BT15" s="12">
        <v>-9251</v>
      </c>
      <c r="BU15" s="7">
        <v>2410</v>
      </c>
      <c r="BV15" s="13">
        <f t="shared" si="13"/>
        <v>-6841</v>
      </c>
      <c r="BW15" s="12">
        <v>-9438</v>
      </c>
      <c r="BX15" s="12">
        <v>-9698</v>
      </c>
      <c r="BY15" s="12">
        <v>-13709</v>
      </c>
      <c r="BZ15" s="12">
        <v>-54347</v>
      </c>
      <c r="CA15" s="13">
        <f>SUM(BW15:BZ15)</f>
        <v>-87192</v>
      </c>
      <c r="CB15" s="12">
        <v>-18556</v>
      </c>
      <c r="CC15" s="12">
        <v>-21109</v>
      </c>
      <c r="CD15" s="12">
        <v>-4335</v>
      </c>
      <c r="CE15" s="12">
        <v>-29704</v>
      </c>
      <c r="CF15" s="13">
        <f t="shared" si="14"/>
        <v>-73704</v>
      </c>
      <c r="CG15" s="12">
        <v>-24334</v>
      </c>
      <c r="CH15" s="12">
        <v>-12473</v>
      </c>
      <c r="CI15" s="12">
        <v>-4697</v>
      </c>
      <c r="CJ15" s="12">
        <v>10841</v>
      </c>
      <c r="CK15" s="13">
        <f t="shared" si="15"/>
        <v>-30663</v>
      </c>
      <c r="CL15" s="12">
        <v>-11080</v>
      </c>
      <c r="CM15" s="12">
        <v>0</v>
      </c>
      <c r="CN15" s="12">
        <v>37462</v>
      </c>
      <c r="CO15" s="12">
        <v>17469</v>
      </c>
      <c r="CP15" s="13">
        <f t="shared" si="16"/>
        <v>43851</v>
      </c>
      <c r="CQ15" s="12"/>
      <c r="CR15" s="12"/>
      <c r="CS15" s="12"/>
      <c r="CT15" s="12"/>
      <c r="CU15" s="13">
        <f>SUM(CQ15:CT15)</f>
        <v>0</v>
      </c>
    </row>
    <row r="16" spans="1:99">
      <c r="B16" s="8"/>
      <c r="C16" s="7" t="s">
        <v>57</v>
      </c>
      <c r="D16" s="13"/>
      <c r="E16" s="12"/>
      <c r="F16" s="12"/>
      <c r="G16" s="12"/>
      <c r="H16" s="12"/>
      <c r="I16" s="13"/>
      <c r="J16" s="12"/>
      <c r="K16" s="12"/>
      <c r="L16" s="12"/>
      <c r="M16" s="12"/>
      <c r="N16" s="13"/>
      <c r="O16" s="12"/>
      <c r="P16" s="12"/>
      <c r="Q16" s="12"/>
      <c r="R16" s="12"/>
      <c r="S16" s="13"/>
      <c r="T16" s="12"/>
      <c r="U16" s="12"/>
      <c r="V16" s="12"/>
      <c r="W16" s="12"/>
      <c r="X16" s="13"/>
      <c r="Y16" s="12"/>
      <c r="Z16" s="7"/>
      <c r="AA16" s="7"/>
      <c r="AB16" s="7"/>
      <c r="AC16" s="23"/>
      <c r="AD16" s="7"/>
      <c r="AE16" s="7"/>
      <c r="AF16" s="7"/>
      <c r="AG16" s="7"/>
      <c r="AH16" s="13"/>
      <c r="AI16" s="7"/>
      <c r="AJ16" s="7"/>
      <c r="AK16" s="7"/>
      <c r="AL16" s="81"/>
      <c r="AM16" s="13"/>
      <c r="AN16" s="12"/>
      <c r="AO16" s="12"/>
      <c r="AP16" s="7"/>
      <c r="AQ16" s="12"/>
      <c r="AR16" s="13"/>
      <c r="AS16" s="7"/>
      <c r="AT16" s="279"/>
      <c r="AU16" s="81"/>
      <c r="AV16" s="81"/>
      <c r="AW16" s="13"/>
      <c r="AX16" s="279"/>
      <c r="AY16" s="12"/>
      <c r="AZ16" s="279"/>
      <c r="BA16" s="7"/>
      <c r="BB16" s="13"/>
      <c r="BC16" s="7"/>
      <c r="BD16" s="7"/>
      <c r="BE16" s="7"/>
      <c r="BF16" s="7"/>
      <c r="BG16" s="13"/>
      <c r="BL16" s="13"/>
      <c r="BM16" s="7"/>
      <c r="BN16" s="7"/>
      <c r="BO16" s="7"/>
      <c r="BP16" s="7"/>
      <c r="BQ16" s="13"/>
      <c r="BR16" s="7"/>
      <c r="BS16" s="12"/>
      <c r="BT16" s="12"/>
      <c r="BU16" s="7"/>
      <c r="BV16" s="13">
        <f t="shared" si="13"/>
        <v>0</v>
      </c>
      <c r="BW16" s="12"/>
      <c r="BX16" s="12"/>
      <c r="BY16" s="12"/>
      <c r="BZ16" s="12"/>
      <c r="CA16" s="13">
        <f t="shared" ref="CA16:CA17" si="17">SUM(BW16:BZ16)</f>
        <v>0</v>
      </c>
      <c r="CB16" s="12">
        <v>499</v>
      </c>
      <c r="CC16" s="12">
        <f>-54+2</f>
        <v>-52</v>
      </c>
      <c r="CD16" s="12">
        <v>-47</v>
      </c>
      <c r="CE16" s="12">
        <v>77</v>
      </c>
      <c r="CF16" s="13">
        <f t="shared" si="14"/>
        <v>477</v>
      </c>
      <c r="CG16" s="12">
        <v>-35</v>
      </c>
      <c r="CH16" s="12">
        <f>225-1</f>
        <v>224</v>
      </c>
      <c r="CI16" s="12">
        <f>38-1</f>
        <v>37</v>
      </c>
      <c r="CJ16" s="12">
        <f>26-21</f>
        <v>5</v>
      </c>
      <c r="CK16" s="13">
        <f t="shared" si="15"/>
        <v>231</v>
      </c>
      <c r="CL16" s="12">
        <v>1</v>
      </c>
      <c r="CM16" s="12">
        <v>39</v>
      </c>
      <c r="CN16" s="12">
        <v>43</v>
      </c>
      <c r="CO16" s="12">
        <f>-8-2</f>
        <v>-10</v>
      </c>
      <c r="CP16" s="13">
        <f t="shared" si="16"/>
        <v>73</v>
      </c>
      <c r="CQ16" s="12"/>
      <c r="CR16" s="12"/>
      <c r="CS16" s="12"/>
      <c r="CT16" s="12"/>
      <c r="CU16" s="13"/>
    </row>
    <row r="17" spans="2:99">
      <c r="B17" s="8"/>
      <c r="C17" s="7" t="s">
        <v>96</v>
      </c>
      <c r="D17" s="13"/>
      <c r="E17" s="12"/>
      <c r="F17" s="12"/>
      <c r="G17" s="12"/>
      <c r="H17" s="12"/>
      <c r="I17" s="13"/>
      <c r="J17" s="12"/>
      <c r="K17" s="12"/>
      <c r="L17" s="12"/>
      <c r="M17" s="12"/>
      <c r="N17" s="13"/>
      <c r="O17" s="12"/>
      <c r="P17" s="12"/>
      <c r="Q17" s="12"/>
      <c r="R17" s="12"/>
      <c r="S17" s="13"/>
      <c r="T17" s="12"/>
      <c r="U17" s="12"/>
      <c r="V17" s="12"/>
      <c r="W17" s="12"/>
      <c r="X17" s="13"/>
      <c r="Y17" s="12"/>
      <c r="Z17" s="7"/>
      <c r="AA17" s="7"/>
      <c r="AB17" s="7"/>
      <c r="AC17" s="9"/>
      <c r="AD17" s="7"/>
      <c r="AE17" s="7"/>
      <c r="AF17" s="7"/>
      <c r="AG17" s="7"/>
      <c r="AH17" s="9"/>
      <c r="AI17" s="12"/>
      <c r="AJ17" s="12"/>
      <c r="AK17" s="12"/>
      <c r="AL17" s="81"/>
      <c r="AM17" s="94">
        <f t="shared" si="9"/>
        <v>0</v>
      </c>
      <c r="AN17" s="81"/>
      <c r="AO17" s="81"/>
      <c r="AP17" s="279"/>
      <c r="AQ17" s="81"/>
      <c r="AR17" s="13">
        <f t="shared" si="10"/>
        <v>0</v>
      </c>
      <c r="AS17" s="279"/>
      <c r="AT17" s="81"/>
      <c r="AU17" s="81"/>
      <c r="AV17" s="81"/>
      <c r="AW17" s="13"/>
      <c r="AX17" s="81"/>
      <c r="AY17" s="12"/>
      <c r="AZ17" s="279"/>
      <c r="BA17" s="12"/>
      <c r="BB17" s="9"/>
      <c r="BC17" s="279"/>
      <c r="BD17" s="7"/>
      <c r="BE17" s="7"/>
      <c r="BF17" s="7"/>
      <c r="BG17" s="9"/>
      <c r="BH17" s="279"/>
      <c r="BI17" s="7"/>
      <c r="BJ17" s="7"/>
      <c r="BK17" s="7"/>
      <c r="BL17" s="13">
        <f t="shared" si="11"/>
        <v>0</v>
      </c>
      <c r="BM17" s="7"/>
      <c r="BN17" s="7"/>
      <c r="BO17" s="7"/>
      <c r="BP17" s="7"/>
      <c r="BQ17" s="9">
        <f t="shared" si="12"/>
        <v>0</v>
      </c>
      <c r="BR17" s="7"/>
      <c r="BS17" s="12">
        <v>0</v>
      </c>
      <c r="BT17" s="7"/>
      <c r="BU17" s="7"/>
      <c r="BV17" s="13">
        <f t="shared" si="13"/>
        <v>0</v>
      </c>
      <c r="BW17" s="7"/>
      <c r="BX17" s="7"/>
      <c r="BY17" s="7"/>
      <c r="BZ17" s="7">
        <v>1</v>
      </c>
      <c r="CA17" s="13">
        <f t="shared" si="17"/>
        <v>1</v>
      </c>
      <c r="CB17" s="12">
        <v>-7921</v>
      </c>
      <c r="CC17" s="12">
        <v>-113582</v>
      </c>
      <c r="CD17" s="12">
        <v>63748</v>
      </c>
      <c r="CE17" s="12">
        <v>58166</v>
      </c>
      <c r="CF17" s="13">
        <f t="shared" si="14"/>
        <v>411</v>
      </c>
      <c r="CG17" s="12">
        <v>-27447</v>
      </c>
      <c r="CH17" s="12">
        <v>-58074</v>
      </c>
      <c r="CI17" s="12">
        <f>124365</f>
        <v>124365</v>
      </c>
      <c r="CJ17" s="12">
        <v>83517</v>
      </c>
      <c r="CK17" s="13">
        <f t="shared" si="15"/>
        <v>122361</v>
      </c>
      <c r="CL17" s="12">
        <v>-88384</v>
      </c>
      <c r="CM17" s="12">
        <v>-61550</v>
      </c>
      <c r="CN17" s="12">
        <v>59336</v>
      </c>
      <c r="CO17" s="12">
        <v>70828</v>
      </c>
      <c r="CP17" s="13">
        <f t="shared" si="16"/>
        <v>-19770</v>
      </c>
      <c r="CQ17" s="12"/>
      <c r="CR17" s="12"/>
      <c r="CS17" s="12"/>
      <c r="CT17" s="12"/>
      <c r="CU17" s="13"/>
    </row>
    <row r="18" spans="2:99">
      <c r="B18" s="8"/>
      <c r="C18" s="7" t="s">
        <v>92</v>
      </c>
      <c r="D18" s="13">
        <v>-1575</v>
      </c>
      <c r="E18" s="12">
        <v>5607</v>
      </c>
      <c r="F18" s="12">
        <f>-12686-E18</f>
        <v>-18293</v>
      </c>
      <c r="G18" s="12">
        <f>63-F18-E18</f>
        <v>12749</v>
      </c>
      <c r="H18" s="12">
        <f t="shared" ref="H18:H24" si="18">I18-G18-F18-E18</f>
        <v>-11916</v>
      </c>
      <c r="I18" s="13">
        <v>-11853</v>
      </c>
      <c r="J18" s="12">
        <v>11298</v>
      </c>
      <c r="K18" s="12">
        <f>-6102-J18</f>
        <v>-17400</v>
      </c>
      <c r="L18" s="12">
        <f>-8572-K18-J18</f>
        <v>-2470</v>
      </c>
      <c r="M18" s="12">
        <f t="shared" ref="M18:M24" si="19">N18-L18-K18-J18</f>
        <v>2295</v>
      </c>
      <c r="N18" s="13">
        <v>-6277</v>
      </c>
      <c r="O18" s="12">
        <v>18078</v>
      </c>
      <c r="P18" s="12">
        <f>-8014-O18</f>
        <v>-26092</v>
      </c>
      <c r="Q18" s="12">
        <f>3837-P18-O18</f>
        <v>11851</v>
      </c>
      <c r="R18" s="12">
        <f t="shared" ref="R18:R24" si="20">S18-Q18-P18-O18</f>
        <v>-5826</v>
      </c>
      <c r="S18" s="13">
        <v>-1989</v>
      </c>
      <c r="T18" s="12">
        <v>15214</v>
      </c>
      <c r="U18" s="12">
        <f>-8026-T18</f>
        <v>-23240</v>
      </c>
      <c r="V18" s="12">
        <f>6423-U18-T18</f>
        <v>14449</v>
      </c>
      <c r="W18" s="12">
        <f t="shared" ref="W18:W24" si="21">X18-V18-U18-T18</f>
        <v>-14967</v>
      </c>
      <c r="X18" s="13">
        <v>-8544</v>
      </c>
      <c r="Y18" s="12">
        <v>32037</v>
      </c>
      <c r="Z18" s="12">
        <f>-7706-Y18</f>
        <v>-39743</v>
      </c>
      <c r="AA18" s="12">
        <f>14431-Z18-Y18</f>
        <v>22137</v>
      </c>
      <c r="AB18" s="12">
        <v>6773</v>
      </c>
      <c r="AC18" s="13">
        <f>SUM(Y18:AB18)</f>
        <v>21204</v>
      </c>
      <c r="AD18" s="12">
        <v>22558</v>
      </c>
      <c r="AE18" s="12">
        <f>-21658-AD18</f>
        <v>-44216</v>
      </c>
      <c r="AF18" s="12">
        <f>8798-AE18-AD18</f>
        <v>30456</v>
      </c>
      <c r="AG18" s="12">
        <f>-7488-AF18-AE18-AD18</f>
        <v>-16286</v>
      </c>
      <c r="AH18" s="13">
        <f>SUM(AD18:AG18)</f>
        <v>-7488</v>
      </c>
      <c r="AI18" s="12">
        <v>24298</v>
      </c>
      <c r="AJ18" s="12">
        <f>-38203-AI18</f>
        <v>-62501</v>
      </c>
      <c r="AK18" s="12">
        <f>-5851-AJ18-AI18</f>
        <v>32352</v>
      </c>
      <c r="AL18" s="81">
        <f>+AM18-AK18-AJ18-AI18</f>
        <v>-3061</v>
      </c>
      <c r="AM18" s="94">
        <v>-8912</v>
      </c>
      <c r="AN18" s="81">
        <v>8320</v>
      </c>
      <c r="AO18" s="81">
        <f>-36624-AN18</f>
        <v>-44944</v>
      </c>
      <c r="AP18" s="81">
        <f>-14356-AO18-AN18</f>
        <v>22268</v>
      </c>
      <c r="AQ18" s="381">
        <f>-28172-AP18-AO18-AN18</f>
        <v>-13816</v>
      </c>
      <c r="AR18" s="94">
        <f>SUM(AN18:AQ18)</f>
        <v>-28172</v>
      </c>
      <c r="AS18" s="81">
        <v>35750</v>
      </c>
      <c r="AT18" s="81">
        <f>-35530-AS18</f>
        <v>-71280</v>
      </c>
      <c r="AU18" s="81">
        <f>-14641-AT18-AS18</f>
        <v>20889</v>
      </c>
      <c r="AV18" s="81">
        <v>-15586</v>
      </c>
      <c r="AW18" s="13">
        <f>SUM(AS18:AV18)</f>
        <v>-30227</v>
      </c>
      <c r="AX18" s="81">
        <v>36514</v>
      </c>
      <c r="AY18" s="81">
        <f>-33348-AX18</f>
        <v>-69862</v>
      </c>
      <c r="AZ18" s="81">
        <f>-7097-AY18-AX18</f>
        <v>26251</v>
      </c>
      <c r="BA18" s="12">
        <f>-35558-AZ18-AY18-AX18</f>
        <v>-28461</v>
      </c>
      <c r="BB18" s="13">
        <f>SUM(AX18:BA18)</f>
        <v>-35558</v>
      </c>
      <c r="BC18" s="12">
        <v>-15205</v>
      </c>
      <c r="BD18" s="12">
        <v>-42494</v>
      </c>
      <c r="BE18" s="12">
        <v>42583</v>
      </c>
      <c r="BF18" s="12">
        <v>6141</v>
      </c>
      <c r="BG18" s="13">
        <f>SUM(BC18:BF18)</f>
        <v>-8975</v>
      </c>
      <c r="BH18" s="12">
        <v>9622</v>
      </c>
      <c r="BI18" s="12">
        <f>-69058-BH18</f>
        <v>-78680</v>
      </c>
      <c r="BJ18" s="12">
        <f>-35544-BI18-BH18</f>
        <v>33514</v>
      </c>
      <c r="BK18" s="12">
        <f>-65738-BJ18-BI18-BH18</f>
        <v>-30194</v>
      </c>
      <c r="BL18" s="13">
        <f>SUM(BH18:BK18)</f>
        <v>-65738</v>
      </c>
      <c r="BM18" s="12">
        <v>56982</v>
      </c>
      <c r="BN18" s="12">
        <f>-30332-BM18</f>
        <v>-87314</v>
      </c>
      <c r="BO18" s="12">
        <f>9394-BN18-BM18</f>
        <v>39726</v>
      </c>
      <c r="BP18" s="12">
        <f>-10733-BO18-BN18-BM18</f>
        <v>-20127</v>
      </c>
      <c r="BQ18" s="13">
        <f t="shared" ref="BQ18:BQ24" si="22">SUM(BM18:BP18)</f>
        <v>-10733</v>
      </c>
      <c r="BR18" s="12">
        <v>49317</v>
      </c>
      <c r="BS18" s="12">
        <f>-46312-BR18</f>
        <v>-95629</v>
      </c>
      <c r="BT18" s="12">
        <v>101137</v>
      </c>
      <c r="BU18" s="12">
        <v>-10339</v>
      </c>
      <c r="BV18" s="13">
        <f t="shared" si="13"/>
        <v>44486</v>
      </c>
      <c r="BW18" s="12">
        <f>-43460</f>
        <v>-43460</v>
      </c>
      <c r="BX18" s="12">
        <v>-19110</v>
      </c>
      <c r="BY18" s="12">
        <v>17625</v>
      </c>
      <c r="BZ18" s="12">
        <v>71500</v>
      </c>
      <c r="CA18" s="13">
        <f>SUM(BW18:BZ18)</f>
        <v>26555</v>
      </c>
      <c r="CB18" s="12"/>
      <c r="CC18" s="12">
        <v>0</v>
      </c>
      <c r="CD18" s="12"/>
      <c r="CE18" s="12"/>
      <c r="CF18" s="13">
        <f>SUM(CB18:CE18)</f>
        <v>0</v>
      </c>
      <c r="CG18" s="12"/>
      <c r="CH18" s="12"/>
      <c r="CI18" s="12"/>
      <c r="CJ18" s="12"/>
      <c r="CK18" s="13">
        <f t="shared" si="15"/>
        <v>0</v>
      </c>
      <c r="CL18" s="12"/>
      <c r="CM18" s="12"/>
      <c r="CN18" s="12"/>
      <c r="CO18" s="12"/>
      <c r="CP18" s="13">
        <f t="shared" si="16"/>
        <v>0</v>
      </c>
      <c r="CQ18" s="12">
        <f>('Balance Sheet'!CP7+'Balance Sheet'!CP14)-('Balance Sheet'!CQ7+'Balance Sheet'!CQ14)</f>
        <v>-91551.512699999963</v>
      </c>
      <c r="CR18" s="12">
        <f>('Balance Sheet'!CQ7+'Balance Sheet'!CQ14)-('Balance Sheet'!CR7+'Balance Sheet'!CR14)</f>
        <v>-29448.006700000027</v>
      </c>
      <c r="CS18" s="12">
        <f>('Balance Sheet'!CR7+'Balance Sheet'!CR14)-('Balance Sheet'!CS7+'Balance Sheet'!CS14)</f>
        <v>45950.841199999908</v>
      </c>
      <c r="CT18" s="12">
        <f>('Balance Sheet'!CS7+'Balance Sheet'!CS14)-('Balance Sheet'!CT7+'Balance Sheet'!CT14)</f>
        <v>12312.877943599946</v>
      </c>
      <c r="CU18" s="13">
        <f>SUM(CQ18:CT18)</f>
        <v>-62735.800256400136</v>
      </c>
    </row>
    <row r="19" spans="2:99">
      <c r="B19" s="8"/>
      <c r="C19" s="7" t="s">
        <v>677</v>
      </c>
      <c r="D19" s="13"/>
      <c r="E19" s="12"/>
      <c r="F19" s="12"/>
      <c r="G19" s="12"/>
      <c r="H19" s="12"/>
      <c r="I19" s="13"/>
      <c r="J19" s="12"/>
      <c r="K19" s="12"/>
      <c r="L19" s="12"/>
      <c r="M19" s="12"/>
      <c r="N19" s="13"/>
      <c r="O19" s="12"/>
      <c r="P19" s="12"/>
      <c r="Q19" s="12"/>
      <c r="R19" s="12"/>
      <c r="S19" s="13"/>
      <c r="T19" s="12"/>
      <c r="U19" s="12"/>
      <c r="V19" s="12"/>
      <c r="W19" s="12"/>
      <c r="X19" s="13"/>
      <c r="Y19" s="12"/>
      <c r="Z19" s="12"/>
      <c r="AA19" s="12"/>
      <c r="AB19" s="12"/>
      <c r="AC19" s="13"/>
      <c r="AD19" s="12"/>
      <c r="AE19" s="12"/>
      <c r="AF19" s="12"/>
      <c r="AG19" s="12"/>
      <c r="AH19" s="13"/>
      <c r="AI19" s="12"/>
      <c r="AJ19" s="12"/>
      <c r="AK19" s="12"/>
      <c r="AL19" s="81"/>
      <c r="AM19" s="94"/>
      <c r="AN19" s="81"/>
      <c r="AO19" s="81"/>
      <c r="AP19" s="81"/>
      <c r="AQ19" s="381"/>
      <c r="AR19" s="94"/>
      <c r="AS19" s="81"/>
      <c r="AT19" s="81"/>
      <c r="AU19" s="81"/>
      <c r="AV19" s="81"/>
      <c r="AW19" s="13"/>
      <c r="AX19" s="81"/>
      <c r="AY19" s="81"/>
      <c r="AZ19" s="81"/>
      <c r="BA19" s="12"/>
      <c r="BB19" s="13"/>
      <c r="BC19" s="12"/>
      <c r="BD19" s="12"/>
      <c r="BE19" s="12"/>
      <c r="BF19" s="12"/>
      <c r="BG19" s="13"/>
      <c r="BH19" s="12">
        <v>1165</v>
      </c>
      <c r="BI19" s="12">
        <f>2551-BH19</f>
        <v>1386</v>
      </c>
      <c r="BJ19" s="12">
        <f>3979-BI19-BH19</f>
        <v>1428</v>
      </c>
      <c r="BK19" s="12">
        <v>1418</v>
      </c>
      <c r="BL19" s="13">
        <f t="shared" si="11"/>
        <v>5397</v>
      </c>
      <c r="BM19" s="12">
        <v>1457</v>
      </c>
      <c r="BN19" s="12">
        <v>1386</v>
      </c>
      <c r="BO19" s="12">
        <v>1390</v>
      </c>
      <c r="BP19" s="12">
        <v>1549</v>
      </c>
      <c r="BQ19" s="13">
        <f t="shared" si="22"/>
        <v>5782</v>
      </c>
      <c r="BR19" s="12">
        <v>1546</v>
      </c>
      <c r="BS19" s="12">
        <f>4034-BR19</f>
        <v>2488</v>
      </c>
      <c r="BT19" s="12">
        <v>2982</v>
      </c>
      <c r="BU19" s="12">
        <v>3200</v>
      </c>
      <c r="BV19" s="13">
        <f t="shared" si="13"/>
        <v>10216</v>
      </c>
      <c r="BW19" s="12">
        <v>3082</v>
      </c>
      <c r="BX19" s="12">
        <v>2022</v>
      </c>
      <c r="BY19" s="12">
        <v>4136</v>
      </c>
      <c r="BZ19" s="12">
        <v>3729</v>
      </c>
      <c r="CA19" s="13">
        <f>SUM(BW19:BZ19)</f>
        <v>12969</v>
      </c>
      <c r="CB19" s="12">
        <v>3804</v>
      </c>
      <c r="CC19" s="12">
        <v>2765</v>
      </c>
      <c r="CD19" s="12">
        <v>5689</v>
      </c>
      <c r="CE19" s="12">
        <v>4430</v>
      </c>
      <c r="CF19" s="13">
        <f>SUM(CB19:CE19)</f>
        <v>16688</v>
      </c>
      <c r="CG19" s="12">
        <v>2522</v>
      </c>
      <c r="CH19" s="12">
        <v>2343</v>
      </c>
      <c r="CI19" s="12">
        <v>2397</v>
      </c>
      <c r="CJ19" s="12">
        <v>1670</v>
      </c>
      <c r="CK19" s="13">
        <f t="shared" si="15"/>
        <v>8932</v>
      </c>
      <c r="CL19" s="12">
        <v>2288</v>
      </c>
      <c r="CM19" s="12">
        <v>2572</v>
      </c>
      <c r="CN19" s="12">
        <v>2300</v>
      </c>
      <c r="CO19" s="12">
        <v>2346</v>
      </c>
      <c r="CP19" s="13">
        <f t="shared" si="16"/>
        <v>9506</v>
      </c>
      <c r="CQ19" s="12"/>
      <c r="CR19" s="12"/>
      <c r="CS19" s="12"/>
      <c r="CT19" s="12"/>
      <c r="CU19" s="13"/>
    </row>
    <row r="20" spans="2:99">
      <c r="B20" s="8"/>
      <c r="C20" s="7" t="s">
        <v>93</v>
      </c>
      <c r="D20" s="13">
        <v>3919</v>
      </c>
      <c r="E20" s="12">
        <v>740</v>
      </c>
      <c r="F20" s="12">
        <f>-2672-E20</f>
        <v>-3412</v>
      </c>
      <c r="G20" s="12">
        <f>-412-F20-E20</f>
        <v>2260</v>
      </c>
      <c r="H20" s="12">
        <f t="shared" si="18"/>
        <v>1239</v>
      </c>
      <c r="I20" s="13">
        <v>827</v>
      </c>
      <c r="J20" s="12">
        <v>2830</v>
      </c>
      <c r="K20" s="12">
        <f>-158-J20</f>
        <v>-2988</v>
      </c>
      <c r="L20" s="12">
        <f>318-K20-J20</f>
        <v>476</v>
      </c>
      <c r="M20" s="12">
        <f t="shared" si="19"/>
        <v>1073</v>
      </c>
      <c r="N20" s="13">
        <v>1391</v>
      </c>
      <c r="O20" s="12">
        <v>1215</v>
      </c>
      <c r="P20" s="12">
        <f>-1630-O20</f>
        <v>-2845</v>
      </c>
      <c r="Q20" s="12">
        <f>-78-P20-O20</f>
        <v>1552</v>
      </c>
      <c r="R20" s="12">
        <f t="shared" si="20"/>
        <v>44</v>
      </c>
      <c r="S20" s="13">
        <v>-34</v>
      </c>
      <c r="T20" s="12">
        <v>3592</v>
      </c>
      <c r="U20" s="12">
        <f>1552-T20</f>
        <v>-2040</v>
      </c>
      <c r="V20" s="12">
        <f>3225-U20-T20</f>
        <v>1673</v>
      </c>
      <c r="W20" s="12">
        <f t="shared" si="21"/>
        <v>2859</v>
      </c>
      <c r="X20" s="13">
        <v>6084</v>
      </c>
      <c r="Y20" s="12">
        <v>2267</v>
      </c>
      <c r="Z20" s="12">
        <f>-190-Y20</f>
        <v>-2457</v>
      </c>
      <c r="AA20" s="12">
        <f>2533-Z20-Y20</f>
        <v>2723</v>
      </c>
      <c r="AB20" s="12">
        <f>'Balance Sheet'!AB30-'Balance Sheet'!AA30</f>
        <v>0</v>
      </c>
      <c r="AC20" s="13">
        <f>SUM(Y20:AB20)</f>
        <v>2533</v>
      </c>
      <c r="AD20" s="12">
        <v>5638</v>
      </c>
      <c r="AE20" s="12">
        <f>2378-AD20</f>
        <v>-3260</v>
      </c>
      <c r="AF20" s="12">
        <f>8853-AE20-AD20</f>
        <v>6475</v>
      </c>
      <c r="AG20" s="12">
        <f>18898-AF20-AE20-AD20</f>
        <v>10045</v>
      </c>
      <c r="AH20" s="13">
        <f>SUM(AD20:AG20)</f>
        <v>18898</v>
      </c>
      <c r="AI20" s="12">
        <v>7695</v>
      </c>
      <c r="AJ20" s="12">
        <f>7746-AI20</f>
        <v>51</v>
      </c>
      <c r="AK20" s="12">
        <f>16182-AJ20-AI20</f>
        <v>8436</v>
      </c>
      <c r="AL20" s="81">
        <f>+AM20-AK20-AJ20-AI20</f>
        <v>12935</v>
      </c>
      <c r="AM20" s="94">
        <v>29117</v>
      </c>
      <c r="AN20" s="81">
        <v>8394</v>
      </c>
      <c r="AO20" s="81">
        <f>2735-AN20</f>
        <v>-5659</v>
      </c>
      <c r="AP20" s="81">
        <f>4754-AO20-AN20</f>
        <v>2019</v>
      </c>
      <c r="AQ20" s="381">
        <f>24255-AP20-AO20-AN20</f>
        <v>19501</v>
      </c>
      <c r="AR20" s="94">
        <f>SUM(AN20:AQ20)</f>
        <v>24255</v>
      </c>
      <c r="AS20" s="81">
        <v>10424</v>
      </c>
      <c r="AT20" s="81">
        <f>4207-AS20</f>
        <v>-6217</v>
      </c>
      <c r="AU20" s="81">
        <f>22215-AT20-AS20</f>
        <v>18008</v>
      </c>
      <c r="AV20" s="81">
        <v>-4030</v>
      </c>
      <c r="AW20" s="13">
        <f>SUM(AS20:AV20)</f>
        <v>18185</v>
      </c>
      <c r="AX20" s="81">
        <v>7576</v>
      </c>
      <c r="AY20" s="81">
        <f>-9311-AX20</f>
        <v>-16887</v>
      </c>
      <c r="AZ20" s="81">
        <f>-467-AY20-AX20</f>
        <v>8844</v>
      </c>
      <c r="BA20" s="12">
        <f>-8444-AZ20-AY20-AX20</f>
        <v>-7977</v>
      </c>
      <c r="BB20" s="13">
        <f>SUM(AX20:BA20)</f>
        <v>-8444</v>
      </c>
      <c r="BC20" s="12"/>
      <c r="BD20" s="12">
        <f>'Balance Sheet'!BD30-'Balance Sheet'!BC30</f>
        <v>0</v>
      </c>
      <c r="BE20" s="12"/>
      <c r="BF20" s="12"/>
      <c r="BG20" s="13">
        <f>SUM(BC20:BF20)</f>
        <v>0</v>
      </c>
      <c r="BH20" s="12">
        <v>12425</v>
      </c>
      <c r="BI20" s="12">
        <f>4806-BH20</f>
        <v>-7619</v>
      </c>
      <c r="BJ20" s="12">
        <f>4553-BI20-BH20</f>
        <v>-253</v>
      </c>
      <c r="BK20" s="12">
        <f>-1925-BJ20-BI20-BH20</f>
        <v>-6478</v>
      </c>
      <c r="BL20" s="13">
        <f>SUM(BH20:BK20)</f>
        <v>-1925</v>
      </c>
      <c r="BM20" s="12">
        <v>-10175</v>
      </c>
      <c r="BN20" s="12">
        <f>-21453-BM20</f>
        <v>-11278</v>
      </c>
      <c r="BO20" s="12">
        <f>-14270-BN20-BM20</f>
        <v>7183</v>
      </c>
      <c r="BP20" s="12">
        <f>-15117-BO20-BN20-BM20</f>
        <v>-847</v>
      </c>
      <c r="BQ20" s="13">
        <f t="shared" si="22"/>
        <v>-15117</v>
      </c>
      <c r="BR20" s="12">
        <v>4533</v>
      </c>
      <c r="BS20" s="12">
        <f>7276-BR20</f>
        <v>2743</v>
      </c>
      <c r="BT20" s="12">
        <f>'Balance Sheet'!BT30-'Balance Sheet'!BS30</f>
        <v>0</v>
      </c>
      <c r="BU20" s="12">
        <f>'Balance Sheet'!BU30-'Balance Sheet'!BT30</f>
        <v>0</v>
      </c>
      <c r="BV20" s="13">
        <f t="shared" si="13"/>
        <v>7276</v>
      </c>
      <c r="BW20" s="12"/>
      <c r="BX20" s="12"/>
      <c r="BY20" s="12"/>
      <c r="BZ20" s="12"/>
      <c r="CA20" s="13">
        <f>SUM(BW20:BZ20)</f>
        <v>0</v>
      </c>
      <c r="CB20" s="12"/>
      <c r="CC20" s="12"/>
      <c r="CD20" s="12"/>
      <c r="CE20" s="12"/>
      <c r="CF20" s="13">
        <f>SUM(CB20:CE20)</f>
        <v>0</v>
      </c>
      <c r="CG20" s="12"/>
      <c r="CH20" s="12"/>
      <c r="CI20" s="12"/>
      <c r="CJ20" s="12"/>
      <c r="CK20" s="13">
        <f t="shared" si="15"/>
        <v>0</v>
      </c>
      <c r="CL20" s="12"/>
      <c r="CM20" s="12"/>
      <c r="CN20" s="12"/>
      <c r="CO20" s="12"/>
      <c r="CP20" s="13">
        <f>SUM(CL20:CO20)</f>
        <v>0</v>
      </c>
      <c r="CQ20" s="12"/>
      <c r="CR20" s="12">
        <f>'Balance Sheet'!CR30-'Balance Sheet'!CQ30</f>
        <v>0</v>
      </c>
      <c r="CS20" s="12">
        <f>'Balance Sheet'!CS30-'Balance Sheet'!CR30</f>
        <v>0</v>
      </c>
      <c r="CT20" s="12">
        <f>'Balance Sheet'!CT30-'Balance Sheet'!CS30</f>
        <v>0</v>
      </c>
      <c r="CU20" s="13">
        <f>SUM(CQ20:CT20)</f>
        <v>0</v>
      </c>
    </row>
    <row r="21" spans="2:99">
      <c r="B21" s="8"/>
      <c r="C21" s="7" t="s">
        <v>94</v>
      </c>
      <c r="D21" s="13">
        <v>-304</v>
      </c>
      <c r="E21" s="12">
        <v>-478</v>
      </c>
      <c r="F21" s="12">
        <f>-368-E21</f>
        <v>110</v>
      </c>
      <c r="G21" s="12">
        <f>515-F21-E21</f>
        <v>883</v>
      </c>
      <c r="H21" s="12">
        <f t="shared" si="18"/>
        <v>-853</v>
      </c>
      <c r="I21" s="13">
        <v>-338</v>
      </c>
      <c r="J21" s="12">
        <v>-162</v>
      </c>
      <c r="K21" s="12">
        <f>128-J21</f>
        <v>290</v>
      </c>
      <c r="L21" s="12">
        <f>1294-K21-J21</f>
        <v>1166</v>
      </c>
      <c r="M21" s="12">
        <f t="shared" si="19"/>
        <v>83</v>
      </c>
      <c r="N21" s="13">
        <v>1377</v>
      </c>
      <c r="O21" s="12">
        <v>180</v>
      </c>
      <c r="P21" s="12">
        <f>840-O21</f>
        <v>660</v>
      </c>
      <c r="Q21" s="12">
        <f>425-P21-O21</f>
        <v>-415</v>
      </c>
      <c r="R21" s="12">
        <f t="shared" si="20"/>
        <v>-321</v>
      </c>
      <c r="S21" s="13">
        <v>104</v>
      </c>
      <c r="T21" s="12">
        <v>-343</v>
      </c>
      <c r="U21" s="12">
        <f>-814-T21</f>
        <v>-471</v>
      </c>
      <c r="V21" s="12">
        <f>-655-U21-T21</f>
        <v>159</v>
      </c>
      <c r="W21" s="12">
        <f t="shared" si="21"/>
        <v>441</v>
      </c>
      <c r="X21" s="13">
        <v>-214</v>
      </c>
      <c r="Y21" s="12">
        <v>-341</v>
      </c>
      <c r="Z21" s="12">
        <f>-262-Y21</f>
        <v>79</v>
      </c>
      <c r="AA21" s="12">
        <f>-302-Z21-Y21</f>
        <v>-40</v>
      </c>
      <c r="AB21" s="12">
        <f>'Balance Sheet'!AA9-'Balance Sheet'!AB9</f>
        <v>0</v>
      </c>
      <c r="AC21" s="13">
        <f>SUM(Y21:AB21)</f>
        <v>-302</v>
      </c>
      <c r="AD21" s="12">
        <v>-1204</v>
      </c>
      <c r="AE21" s="12">
        <f>-2596-AD21</f>
        <v>-1392</v>
      </c>
      <c r="AF21" s="12">
        <f>-2750-AE21-AD21</f>
        <v>-154</v>
      </c>
      <c r="AG21" s="12">
        <f>-4154-AF21-AE21-AD21</f>
        <v>-1404</v>
      </c>
      <c r="AH21" s="13">
        <f>SUM(AD21:AG21)</f>
        <v>-4154</v>
      </c>
      <c r="AI21" s="12">
        <v>-1547</v>
      </c>
      <c r="AJ21" s="12">
        <f>-2069-AI21</f>
        <v>-522</v>
      </c>
      <c r="AK21" s="12">
        <f>-1570-AJ21-AI21</f>
        <v>499</v>
      </c>
      <c r="AL21" s="81">
        <f>+AM21-AK21-AJ21-AI21</f>
        <v>-2126</v>
      </c>
      <c r="AM21" s="94">
        <v>-3696</v>
      </c>
      <c r="AN21" s="81">
        <v>763</v>
      </c>
      <c r="AO21" s="81">
        <f>-549-AN21</f>
        <v>-1312</v>
      </c>
      <c r="AP21" s="81">
        <f>717-AO21-AN21</f>
        <v>1266</v>
      </c>
      <c r="AQ21" s="381">
        <f>-3054-AP21-AO21-AN21</f>
        <v>-3771</v>
      </c>
      <c r="AR21" s="94">
        <f>SUM(AN21:AQ21)</f>
        <v>-3054</v>
      </c>
      <c r="AS21" s="81">
        <v>2074</v>
      </c>
      <c r="AT21" s="81">
        <f>-1435-AS21</f>
        <v>-3509</v>
      </c>
      <c r="AU21" s="81">
        <f>1169-AT21-AS21</f>
        <v>2604</v>
      </c>
      <c r="AV21" s="81">
        <v>1060</v>
      </c>
      <c r="AW21" s="13">
        <f>SUM(AS21:AV21)</f>
        <v>2229</v>
      </c>
      <c r="AX21" s="81">
        <v>-557</v>
      </c>
      <c r="AY21" s="81">
        <f>-3984-AX21</f>
        <v>-3427</v>
      </c>
      <c r="AZ21" s="81">
        <f>-2706-AY21-AX21</f>
        <v>1278</v>
      </c>
      <c r="BA21" s="12">
        <f>-5897-AZ21-AY21-AX21</f>
        <v>-3191</v>
      </c>
      <c r="BB21" s="13">
        <f>SUM(AX21:BA21)</f>
        <v>-5897</v>
      </c>
      <c r="BC21" s="12"/>
      <c r="BD21" s="12"/>
      <c r="BE21" s="12"/>
      <c r="BF21" s="12"/>
      <c r="BG21" s="13">
        <f>SUM(BC21:BF21)</f>
        <v>0</v>
      </c>
      <c r="BH21" s="12">
        <v>-3862</v>
      </c>
      <c r="BI21" s="12">
        <f>-9987-BH21</f>
        <v>-6125</v>
      </c>
      <c r="BJ21" s="12">
        <f>-7630-BI21-BH21</f>
        <v>2357</v>
      </c>
      <c r="BK21" s="12">
        <f>-8976-BJ21-BI21-BH21</f>
        <v>-1346</v>
      </c>
      <c r="BL21" s="13">
        <f>SUM(BH21:BK21)</f>
        <v>-8976</v>
      </c>
      <c r="BM21" s="12">
        <v>-11186</v>
      </c>
      <c r="BN21" s="12">
        <f>-9870-BM21</f>
        <v>1316</v>
      </c>
      <c r="BO21" s="12">
        <f>-7333-BN21-BM21</f>
        <v>2537</v>
      </c>
      <c r="BP21" s="12">
        <f>-8304-BO21-BN21-BM21</f>
        <v>-971</v>
      </c>
      <c r="BQ21" s="13">
        <f t="shared" si="22"/>
        <v>-8304</v>
      </c>
      <c r="BR21" s="12">
        <v>-9261</v>
      </c>
      <c r="BS21" s="12">
        <f>-10434-BR21</f>
        <v>-1173</v>
      </c>
      <c r="BT21" s="12"/>
      <c r="BU21" s="12">
        <f>'Balance Sheet'!BT11-'Balance Sheet'!BU11</f>
        <v>0</v>
      </c>
      <c r="BV21" s="13">
        <f t="shared" si="13"/>
        <v>-10434</v>
      </c>
      <c r="BW21" s="12"/>
      <c r="BX21" s="12"/>
      <c r="BY21" s="12"/>
      <c r="BZ21" s="12"/>
      <c r="CA21" s="13">
        <f>SUM(BW21:BZ21)</f>
        <v>0</v>
      </c>
      <c r="CB21" s="12"/>
      <c r="CC21" s="12"/>
      <c r="CD21" s="12"/>
      <c r="CE21" s="12"/>
      <c r="CF21" s="13">
        <f>SUM(CB21:CE21)</f>
        <v>0</v>
      </c>
      <c r="CG21" s="12"/>
      <c r="CH21" s="12"/>
      <c r="CI21" s="12"/>
      <c r="CJ21" s="12"/>
      <c r="CK21" s="13">
        <f t="shared" si="15"/>
        <v>0</v>
      </c>
      <c r="CL21" s="12"/>
      <c r="CM21" s="12"/>
      <c r="CN21" s="12"/>
      <c r="CO21" s="12"/>
      <c r="CP21" s="13">
        <f>SUM(CL21:CO21)</f>
        <v>0</v>
      </c>
      <c r="CQ21" s="12">
        <f>'Balance Sheet'!CQ8-'Balance Sheet'!CP8</f>
        <v>0</v>
      </c>
      <c r="CR21" s="12">
        <f>'Balance Sheet'!CR8-'Balance Sheet'!CQ8</f>
        <v>0</v>
      </c>
      <c r="CS21" s="12">
        <f>'Balance Sheet'!CS8-'Balance Sheet'!CR8</f>
        <v>0</v>
      </c>
      <c r="CT21" s="12">
        <f>'Balance Sheet'!CT8-'Balance Sheet'!CS8</f>
        <v>0</v>
      </c>
      <c r="CU21" s="13">
        <f>SUM(CQ21:CT21)</f>
        <v>0</v>
      </c>
    </row>
    <row r="22" spans="2:99">
      <c r="B22" s="8"/>
      <c r="C22" s="7" t="s">
        <v>123</v>
      </c>
      <c r="D22" s="13">
        <v>-3574</v>
      </c>
      <c r="E22" s="10">
        <v>-935</v>
      </c>
      <c r="F22" s="10">
        <v>-595</v>
      </c>
      <c r="G22" s="10">
        <v>4252</v>
      </c>
      <c r="H22" s="10">
        <v>-172</v>
      </c>
      <c r="I22" s="13">
        <v>2550</v>
      </c>
      <c r="J22" s="10">
        <v>-2346</v>
      </c>
      <c r="K22" s="10">
        <v>553</v>
      </c>
      <c r="L22" s="10">
        <v>5836</v>
      </c>
      <c r="M22" s="10">
        <v>-893</v>
      </c>
      <c r="N22" s="13">
        <v>3150</v>
      </c>
      <c r="O22" s="10">
        <v>-8188</v>
      </c>
      <c r="P22" s="10">
        <v>-533</v>
      </c>
      <c r="Q22" s="10">
        <v>3231</v>
      </c>
      <c r="R22" s="10">
        <v>-891</v>
      </c>
      <c r="S22" s="13">
        <v>-6381</v>
      </c>
      <c r="T22" s="10">
        <v>312</v>
      </c>
      <c r="U22" s="10">
        <v>590</v>
      </c>
      <c r="V22" s="10">
        <v>186</v>
      </c>
      <c r="W22" s="10">
        <v>4374</v>
      </c>
      <c r="X22" s="13">
        <v>5462</v>
      </c>
      <c r="Y22" s="10">
        <v>-10008</v>
      </c>
      <c r="Z22" s="12">
        <f>-1637-2152-Y22</f>
        <v>6219</v>
      </c>
      <c r="AA22" s="12">
        <f>-1236-Z22-Y22-2263</f>
        <v>290</v>
      </c>
      <c r="AB22" s="12"/>
      <c r="AC22" s="13">
        <f>SUM(Y22:AB22)</f>
        <v>-3499</v>
      </c>
      <c r="AD22" s="12">
        <f>-579-7031</f>
        <v>-7610</v>
      </c>
      <c r="AE22" s="12">
        <f>671-1601-AD22</f>
        <v>6680</v>
      </c>
      <c r="AF22" s="12">
        <f>841-2022-AE22-AD22</f>
        <v>-251</v>
      </c>
      <c r="AG22" s="12">
        <f>-574+7655-AF22-AE22-AD22</f>
        <v>8262</v>
      </c>
      <c r="AH22" s="13">
        <f>SUM(AD22:AG22)</f>
        <v>7081</v>
      </c>
      <c r="AI22" s="12">
        <f>39-13328</f>
        <v>-13289</v>
      </c>
      <c r="AJ22" s="12">
        <f>51-4237-AI22</f>
        <v>9103</v>
      </c>
      <c r="AK22" s="12">
        <f>864-1815-AJ22-AI22</f>
        <v>3235</v>
      </c>
      <c r="AL22" s="81">
        <f>+AM22-AK22-AJ22-AI22</f>
        <v>8863</v>
      </c>
      <c r="AM22" s="94">
        <f>1586+6326</f>
        <v>7912</v>
      </c>
      <c r="AN22" s="81">
        <f>-328-16423</f>
        <v>-16751</v>
      </c>
      <c r="AO22" s="81">
        <f>-371-5685-AN22</f>
        <v>10695</v>
      </c>
      <c r="AP22" s="81">
        <f>-369-3349-AO22-AN22</f>
        <v>2338</v>
      </c>
      <c r="AQ22" s="381">
        <f>490+652-AP22-AO22-AN22</f>
        <v>4860</v>
      </c>
      <c r="AR22" s="94">
        <f>SUM(AN22:AQ22)</f>
        <v>1142</v>
      </c>
      <c r="AS22" s="81">
        <f>-473-11738</f>
        <v>-12211</v>
      </c>
      <c r="AT22" s="81">
        <f>(-236+4883)-AS22</f>
        <v>16858</v>
      </c>
      <c r="AU22" s="81">
        <f>-917+8515-AT22-AS22</f>
        <v>2951</v>
      </c>
      <c r="AV22" s="81">
        <v>3506</v>
      </c>
      <c r="AW22" s="94">
        <f>SUM(AS22:AV22)</f>
        <v>11104</v>
      </c>
      <c r="AX22" s="81">
        <f>-1166-15939</f>
        <v>-17105</v>
      </c>
      <c r="AY22" s="81">
        <f>2152-11061-AX22</f>
        <v>8196</v>
      </c>
      <c r="AZ22" s="81">
        <f>-2733-AY22-AX22</f>
        <v>6176</v>
      </c>
      <c r="BA22" s="12">
        <f>878+6050-AZ22-AY22-AX22</f>
        <v>9661</v>
      </c>
      <c r="BB22" s="13">
        <f>SUM(AX22:BA22)</f>
        <v>6928</v>
      </c>
      <c r="BC22" s="12"/>
      <c r="BD22" s="12"/>
      <c r="BE22" s="12"/>
      <c r="BF22" s="12"/>
      <c r="BG22" s="13">
        <f>SUM(BC22:BF22)</f>
        <v>0</v>
      </c>
      <c r="BH22" s="12">
        <f>-1501-3760</f>
        <v>-5261</v>
      </c>
      <c r="BI22" s="12">
        <f>550+846-BH22</f>
        <v>6657</v>
      </c>
      <c r="BJ22" s="12">
        <f>1548-1379-BI22-BH22</f>
        <v>-1227</v>
      </c>
      <c r="BK22" s="12">
        <f>7403+1516-BJ22-BI22-BH22</f>
        <v>8750</v>
      </c>
      <c r="BL22" s="13">
        <f>SUM(BH22:BK22)</f>
        <v>8919</v>
      </c>
      <c r="BM22" s="12">
        <f>-2020-12210</f>
        <v>-14230</v>
      </c>
      <c r="BN22" s="12">
        <f>-6338-19136-BM22</f>
        <v>-11244</v>
      </c>
      <c r="BO22" s="12">
        <f>-3904+6276-BN22-BM22</f>
        <v>27846</v>
      </c>
      <c r="BP22" s="12">
        <f>-967+2870-BO22-BN22-BM22</f>
        <v>-469</v>
      </c>
      <c r="BQ22" s="13">
        <f t="shared" si="22"/>
        <v>1903</v>
      </c>
      <c r="BR22" s="12">
        <f>-2292+-8965</f>
        <v>-11257</v>
      </c>
      <c r="BS22" s="12">
        <f>(-57471+-30217)-BR22</f>
        <v>-76431</v>
      </c>
      <c r="BT22" s="12"/>
      <c r="BU22" s="12"/>
      <c r="BV22" s="13">
        <f t="shared" si="13"/>
        <v>-87688</v>
      </c>
      <c r="BW22" s="12"/>
      <c r="BX22" s="12"/>
      <c r="BY22" s="12"/>
      <c r="BZ22" s="12"/>
      <c r="CA22" s="13">
        <f>SUM(BW22:BZ22)</f>
        <v>0</v>
      </c>
      <c r="CB22" s="12"/>
      <c r="CC22" s="12"/>
      <c r="CD22" s="12"/>
      <c r="CE22" s="12"/>
      <c r="CF22" s="13">
        <f>SUM(CB22:CE22)</f>
        <v>0</v>
      </c>
      <c r="CG22" s="12"/>
      <c r="CH22" s="12"/>
      <c r="CI22" s="12"/>
      <c r="CJ22" s="12"/>
      <c r="CK22" s="13">
        <f t="shared" si="15"/>
        <v>0</v>
      </c>
      <c r="CL22" s="12"/>
      <c r="CM22" s="12"/>
      <c r="CN22" s="12"/>
      <c r="CO22" s="12"/>
      <c r="CP22" s="13">
        <f>SUM(CL22:CO22)</f>
        <v>0</v>
      </c>
      <c r="CQ22" s="12">
        <f>'Balance Sheet'!CQ27-'Balance Sheet'!CP27</f>
        <v>-30656.221499999985</v>
      </c>
      <c r="CR22" s="12">
        <f>'Balance Sheet'!CR27-'Balance Sheet'!CQ27</f>
        <v>22234.82799999998</v>
      </c>
      <c r="CS22" s="12">
        <f>'Balance Sheet'!CS27-'Balance Sheet'!CR27</f>
        <v>-6572.3294999999343</v>
      </c>
      <c r="CT22" s="12">
        <f>'Balance Sheet'!CT27-'Balance Sheet'!CS27</f>
        <v>70324.469098399975</v>
      </c>
      <c r="CU22" s="13">
        <f>SUM(CQ22:CT22)</f>
        <v>55330.746098400035</v>
      </c>
    </row>
    <row r="23" spans="2:99">
      <c r="B23" s="8"/>
      <c r="C23" s="7" t="s">
        <v>671</v>
      </c>
      <c r="D23" s="13"/>
      <c r="E23" s="10"/>
      <c r="F23" s="10"/>
      <c r="G23" s="10"/>
      <c r="H23" s="10"/>
      <c r="I23" s="13"/>
      <c r="J23" s="10"/>
      <c r="K23" s="10"/>
      <c r="L23" s="10"/>
      <c r="M23" s="10"/>
      <c r="N23" s="13"/>
      <c r="O23" s="10"/>
      <c r="P23" s="10"/>
      <c r="Q23" s="10"/>
      <c r="R23" s="10"/>
      <c r="S23" s="13"/>
      <c r="T23" s="10"/>
      <c r="U23" s="10"/>
      <c r="V23" s="10"/>
      <c r="W23" s="10"/>
      <c r="X23" s="13"/>
      <c r="Y23" s="10"/>
      <c r="Z23" s="12"/>
      <c r="AA23" s="12"/>
      <c r="AB23" s="12"/>
      <c r="AC23" s="13"/>
      <c r="AD23" s="12"/>
      <c r="AE23" s="12"/>
      <c r="AF23" s="12"/>
      <c r="AG23" s="12"/>
      <c r="AH23" s="13"/>
      <c r="AI23" s="12"/>
      <c r="AJ23" s="12"/>
      <c r="AK23" s="12"/>
      <c r="AL23" s="81"/>
      <c r="AM23" s="94"/>
      <c r="AN23" s="81"/>
      <c r="AO23" s="81"/>
      <c r="AP23" s="81"/>
      <c r="AQ23" s="381"/>
      <c r="AR23" s="94"/>
      <c r="AS23" s="81"/>
      <c r="AT23" s="81"/>
      <c r="AU23" s="81"/>
      <c r="AV23" s="81"/>
      <c r="AW23" s="94"/>
      <c r="AX23" s="81"/>
      <c r="AY23" s="81"/>
      <c r="AZ23" s="81"/>
      <c r="BA23" s="12"/>
      <c r="BB23" s="13"/>
      <c r="BC23" s="12"/>
      <c r="BD23" s="12"/>
      <c r="BE23" s="12"/>
      <c r="BF23" s="12"/>
      <c r="BG23" s="13"/>
      <c r="BH23" s="12">
        <v>-1272</v>
      </c>
      <c r="BI23" s="12">
        <f>-2866-BH23</f>
        <v>-1594</v>
      </c>
      <c r="BJ23" s="12">
        <f>-4530-BI23-BH23</f>
        <v>-1664</v>
      </c>
      <c r="BK23" s="12">
        <f>-6113-BJ23-BI23-BH23</f>
        <v>-1583</v>
      </c>
      <c r="BL23" s="13">
        <f>SUM(BH23:BK23)</f>
        <v>-6113</v>
      </c>
      <c r="BM23" s="12">
        <v>-1743</v>
      </c>
      <c r="BN23" s="12">
        <f>-3375-BM23</f>
        <v>-1632</v>
      </c>
      <c r="BO23" s="12">
        <f>-5121-BN23-BM23</f>
        <v>-1746</v>
      </c>
      <c r="BP23" s="12">
        <f>-6549-BO23-BN23-BM23</f>
        <v>-1428</v>
      </c>
      <c r="BQ23" s="13">
        <f t="shared" si="22"/>
        <v>-6549</v>
      </c>
      <c r="BR23" s="12">
        <v>-1639</v>
      </c>
      <c r="BS23" s="12">
        <f>-4361-BR23</f>
        <v>-2722</v>
      </c>
      <c r="BT23" s="12"/>
      <c r="BU23" s="12"/>
      <c r="BV23" s="13">
        <f t="shared" si="13"/>
        <v>-4361</v>
      </c>
      <c r="BW23" s="12"/>
      <c r="BX23" s="12"/>
      <c r="BY23" s="12"/>
      <c r="BZ23" s="12"/>
      <c r="CA23" s="13"/>
      <c r="CB23" s="12"/>
      <c r="CC23" s="12"/>
      <c r="CD23" s="12"/>
      <c r="CE23" s="12"/>
      <c r="CF23" s="13"/>
      <c r="CG23" s="12"/>
      <c r="CH23" s="12"/>
      <c r="CI23" s="12"/>
      <c r="CJ23" s="12"/>
      <c r="CK23" s="13">
        <f t="shared" si="15"/>
        <v>0</v>
      </c>
      <c r="CL23" s="12"/>
      <c r="CM23" s="12"/>
      <c r="CN23" s="12"/>
      <c r="CO23" s="12"/>
      <c r="CP23" s="13"/>
      <c r="CQ23" s="12"/>
      <c r="CR23" s="12"/>
      <c r="CS23" s="12"/>
      <c r="CT23" s="12"/>
      <c r="CU23" s="13"/>
    </row>
    <row r="24" spans="2:99">
      <c r="B24" s="8"/>
      <c r="C24" s="7" t="s">
        <v>95</v>
      </c>
      <c r="D24" s="13">
        <v>7304</v>
      </c>
      <c r="E24" s="12">
        <v>6056</v>
      </c>
      <c r="F24" s="12">
        <f>15603-E24</f>
        <v>9547</v>
      </c>
      <c r="G24" s="12">
        <f>12587-F24-E24</f>
        <v>-3016</v>
      </c>
      <c r="H24" s="12">
        <f t="shared" si="18"/>
        <v>4744</v>
      </c>
      <c r="I24" s="13">
        <v>17331</v>
      </c>
      <c r="J24" s="12">
        <v>-8731</v>
      </c>
      <c r="K24" s="12">
        <f>-3363-J24</f>
        <v>5368</v>
      </c>
      <c r="L24" s="12">
        <f>3619-K24-J24</f>
        <v>6982</v>
      </c>
      <c r="M24" s="12">
        <f t="shared" si="19"/>
        <v>-554</v>
      </c>
      <c r="N24" s="13">
        <v>3065</v>
      </c>
      <c r="O24" s="12">
        <v>-13289</v>
      </c>
      <c r="P24" s="12">
        <f>-1200-O24</f>
        <v>12089</v>
      </c>
      <c r="Q24" s="12">
        <f>-759-P24-O24</f>
        <v>441</v>
      </c>
      <c r="R24" s="12">
        <f t="shared" si="20"/>
        <v>4233</v>
      </c>
      <c r="S24" s="13">
        <v>3474</v>
      </c>
      <c r="T24" s="12">
        <v>-10798</v>
      </c>
      <c r="U24" s="12">
        <f>7865-T24</f>
        <v>18663</v>
      </c>
      <c r="V24" s="12">
        <f>5524-U24-T24</f>
        <v>-2341</v>
      </c>
      <c r="W24" s="12">
        <f t="shared" si="21"/>
        <v>9338</v>
      </c>
      <c r="X24" s="13">
        <v>14862</v>
      </c>
      <c r="Y24" s="12">
        <v>-15727</v>
      </c>
      <c r="Z24" s="12">
        <f>-772-Y24</f>
        <v>14955</v>
      </c>
      <c r="AA24" s="12">
        <f>-6366-Z24-Y24</f>
        <v>-5594</v>
      </c>
      <c r="AB24" s="12"/>
      <c r="AC24" s="13">
        <f>SUM(Y24:AB24)</f>
        <v>-6366</v>
      </c>
      <c r="AD24" s="12">
        <v>-15165</v>
      </c>
      <c r="AE24" s="12">
        <f>15354-AD24</f>
        <v>30519</v>
      </c>
      <c r="AF24" s="12">
        <f>10960-AE24-AD24</f>
        <v>-4394</v>
      </c>
      <c r="AG24" s="12">
        <f>16188-AF24-AE24-AD24</f>
        <v>5228</v>
      </c>
      <c r="AH24" s="13">
        <f>SUM(AD24:AG24)</f>
        <v>16188</v>
      </c>
      <c r="AI24" s="12">
        <v>-17440</v>
      </c>
      <c r="AJ24" s="12">
        <f>27840-AI24</f>
        <v>45280</v>
      </c>
      <c r="AK24" s="12">
        <f>28592-AJ24-AI24</f>
        <v>752</v>
      </c>
      <c r="AL24" s="81">
        <f>+AM24-AK24-AJ24-AI24</f>
        <v>3369</v>
      </c>
      <c r="AM24" s="94">
        <v>31961</v>
      </c>
      <c r="AN24" s="81">
        <v>-24507</v>
      </c>
      <c r="AO24" s="81">
        <f>11680-AN24</f>
        <v>36187</v>
      </c>
      <c r="AP24" s="81">
        <f>11021-AO24-AN24</f>
        <v>-659</v>
      </c>
      <c r="AQ24" s="381">
        <f>41731-AP24-AO24-AN24</f>
        <v>30710</v>
      </c>
      <c r="AR24" s="94">
        <f>SUM(AN24:AQ24)</f>
        <v>41731</v>
      </c>
      <c r="AS24" s="81">
        <v>-30451</v>
      </c>
      <c r="AT24" s="81">
        <f>14459-AS24</f>
        <v>44910</v>
      </c>
      <c r="AU24" s="81">
        <f>17918-AT24-AS24</f>
        <v>3459</v>
      </c>
      <c r="AV24" s="81">
        <v>7200</v>
      </c>
      <c r="AW24" s="94">
        <f>SUM(AS24:AV24)</f>
        <v>25118</v>
      </c>
      <c r="AX24" s="81">
        <v>-28241</v>
      </c>
      <c r="AY24" s="81">
        <f>6397-AX24</f>
        <v>34638</v>
      </c>
      <c r="AZ24" s="81">
        <f>-1329+1318-AY24-AX24</f>
        <v>-6408</v>
      </c>
      <c r="BA24" s="12">
        <f>9263-AZ24-AY24-AX24</f>
        <v>9274</v>
      </c>
      <c r="BB24" s="13">
        <f>SUM(AX24:BA24)</f>
        <v>9263</v>
      </c>
      <c r="BC24" s="12"/>
      <c r="BD24" s="12"/>
      <c r="BE24" s="12"/>
      <c r="BF24" s="12"/>
      <c r="BG24" s="13">
        <f>SUM(BC24:BF24)</f>
        <v>0</v>
      </c>
      <c r="BH24" s="12">
        <v>-43147</v>
      </c>
      <c r="BI24" s="12">
        <f>3479-BH24</f>
        <v>46626</v>
      </c>
      <c r="BJ24" s="12">
        <f>27206-BI24-BH24</f>
        <v>23727</v>
      </c>
      <c r="BK24" s="12">
        <f>44442-BJ24-BI24-BH24</f>
        <v>17236</v>
      </c>
      <c r="BL24" s="13">
        <f>SUM(BH24:BK24)</f>
        <v>44442</v>
      </c>
      <c r="BM24" s="12">
        <v>-46568</v>
      </c>
      <c r="BN24" s="12">
        <f>10510-BM24</f>
        <v>57078</v>
      </c>
      <c r="BO24" s="12">
        <f>23927-BN24-BM24</f>
        <v>13417</v>
      </c>
      <c r="BP24" s="12">
        <f>48684-BO24-BN24-BM24</f>
        <v>24757</v>
      </c>
      <c r="BQ24" s="13">
        <f t="shared" si="22"/>
        <v>48684</v>
      </c>
      <c r="BR24" s="12">
        <v>-42069</v>
      </c>
      <c r="BS24" s="12">
        <f>20868-BR24</f>
        <v>62937</v>
      </c>
      <c r="BT24" s="12"/>
      <c r="BU24" s="12"/>
      <c r="BV24" s="13">
        <f t="shared" si="13"/>
        <v>20868</v>
      </c>
      <c r="BW24" s="12"/>
      <c r="BX24" s="12"/>
      <c r="BY24" s="12"/>
      <c r="BZ24" s="12"/>
      <c r="CA24" s="13">
        <f>SUM(BW24:BZ24)</f>
        <v>0</v>
      </c>
      <c r="CB24" s="12"/>
      <c r="CC24" s="12"/>
      <c r="CD24" s="12"/>
      <c r="CE24" s="12"/>
      <c r="CF24" s="13">
        <f>SUM(CB24:CE24)</f>
        <v>0</v>
      </c>
      <c r="CG24" s="12"/>
      <c r="CH24" s="12"/>
      <c r="CI24" s="12"/>
      <c r="CJ24" s="12"/>
      <c r="CK24" s="13">
        <f>SUM(CG24:CJ24)</f>
        <v>0</v>
      </c>
      <c r="CL24" s="12"/>
      <c r="CM24" s="12"/>
      <c r="CN24" s="12"/>
      <c r="CO24" s="12"/>
      <c r="CP24" s="13">
        <f>SUM(CL24:CO24)</f>
        <v>0</v>
      </c>
      <c r="CQ24" s="12">
        <f>'Balance Sheet'!CQ29-'Balance Sheet'!CP29</f>
        <v>-50605.756000000052</v>
      </c>
      <c r="CR24" s="12">
        <f>'Balance Sheet'!CR29-'Balance Sheet'!CQ29</f>
        <v>80960.043500000029</v>
      </c>
      <c r="CS24" s="12">
        <f>'Balance Sheet'!CS29-'Balance Sheet'!CR29</f>
        <v>48763.30150000006</v>
      </c>
      <c r="CT24" s="12">
        <f>'Balance Sheet'!CT29-'Balance Sheet'!CS29</f>
        <v>6893.4635664001107</v>
      </c>
      <c r="CU24" s="13">
        <f>SUM(CQ24:CT24)</f>
        <v>86011.052566400147</v>
      </c>
    </row>
    <row r="25" spans="2:99">
      <c r="B25" s="8"/>
      <c r="C25" s="7" t="s">
        <v>778</v>
      </c>
      <c r="D25" s="13"/>
      <c r="E25" s="12"/>
      <c r="F25" s="12"/>
      <c r="G25" s="12"/>
      <c r="H25" s="12"/>
      <c r="I25" s="13"/>
      <c r="J25" s="12"/>
      <c r="K25" s="12"/>
      <c r="L25" s="12"/>
      <c r="M25" s="12"/>
      <c r="N25" s="13"/>
      <c r="O25" s="12"/>
      <c r="P25" s="12"/>
      <c r="Q25" s="12"/>
      <c r="R25" s="12"/>
      <c r="S25" s="13"/>
      <c r="T25" s="12"/>
      <c r="U25" s="12"/>
      <c r="V25" s="12"/>
      <c r="W25" s="12"/>
      <c r="X25" s="13"/>
      <c r="Y25" s="12"/>
      <c r="Z25" s="12"/>
      <c r="AA25" s="12"/>
      <c r="AB25" s="12"/>
      <c r="AC25" s="13"/>
      <c r="AD25" s="12"/>
      <c r="AE25" s="12"/>
      <c r="AF25" s="12"/>
      <c r="AG25" s="12"/>
      <c r="AH25" s="13"/>
      <c r="AI25" s="12"/>
      <c r="AJ25" s="12"/>
      <c r="AK25" s="12"/>
      <c r="AL25" s="81"/>
      <c r="AM25" s="94"/>
      <c r="AN25" s="81"/>
      <c r="AO25" s="81"/>
      <c r="AP25" s="81"/>
      <c r="AQ25" s="381"/>
      <c r="AR25" s="94"/>
      <c r="AS25" s="81"/>
      <c r="AT25" s="81"/>
      <c r="AU25" s="81"/>
      <c r="AV25" s="81"/>
      <c r="AW25" s="94"/>
      <c r="AX25" s="81"/>
      <c r="AY25" s="81"/>
      <c r="AZ25" s="81"/>
      <c r="BA25" s="12"/>
      <c r="BB25" s="13"/>
      <c r="BC25" s="12"/>
      <c r="BD25" s="12"/>
      <c r="BE25" s="12"/>
      <c r="BF25" s="12"/>
      <c r="BG25" s="13"/>
      <c r="BH25" s="12"/>
      <c r="BI25" s="12"/>
      <c r="BJ25" s="12"/>
      <c r="BK25" s="12"/>
      <c r="BL25" s="13"/>
      <c r="BM25" s="12"/>
      <c r="BN25" s="12"/>
      <c r="BO25" s="12"/>
      <c r="BP25" s="12"/>
      <c r="BQ25" s="13"/>
      <c r="BR25" s="12"/>
      <c r="BS25" s="12">
        <f>22-BR25</f>
        <v>22</v>
      </c>
      <c r="BT25" s="12"/>
      <c r="BU25" s="12"/>
      <c r="BV25" s="13">
        <f t="shared" si="13"/>
        <v>22</v>
      </c>
      <c r="BW25" s="12"/>
      <c r="BX25" s="12"/>
      <c r="BY25" s="12"/>
      <c r="BZ25" s="12"/>
      <c r="CA25" s="13"/>
      <c r="CB25" s="12"/>
      <c r="CC25" s="12"/>
      <c r="CD25" s="12"/>
      <c r="CE25" s="12"/>
      <c r="CF25" s="13"/>
      <c r="CG25" s="12"/>
      <c r="CH25" s="12"/>
      <c r="CI25" s="12"/>
      <c r="CJ25" s="12"/>
      <c r="CK25" s="13"/>
      <c r="CL25" s="12"/>
      <c r="CM25" s="12"/>
      <c r="CN25" s="12"/>
      <c r="CO25" s="12"/>
      <c r="CP25" s="13"/>
      <c r="CQ25" s="12"/>
      <c r="CR25" s="12"/>
      <c r="CS25" s="12"/>
      <c r="CT25" s="12"/>
      <c r="CU25" s="13"/>
    </row>
    <row r="26" spans="2:99" s="77" customFormat="1">
      <c r="B26" s="34" t="s">
        <v>97</v>
      </c>
      <c r="C26" s="27"/>
      <c r="D26" s="70">
        <f t="shared" ref="D26:S26" si="23">SUM(D6:D24)</f>
        <v>27821</v>
      </c>
      <c r="E26" s="71">
        <f t="shared" si="23"/>
        <v>17578</v>
      </c>
      <c r="F26" s="71">
        <f t="shared" si="23"/>
        <v>2910</v>
      </c>
      <c r="G26" s="71">
        <f t="shared" si="23"/>
        <v>24169</v>
      </c>
      <c r="H26" s="71">
        <f t="shared" si="23"/>
        <v>894</v>
      </c>
      <c r="I26" s="70">
        <f t="shared" si="23"/>
        <v>45551</v>
      </c>
      <c r="J26" s="71">
        <f t="shared" si="23"/>
        <v>8532</v>
      </c>
      <c r="K26" s="71">
        <f t="shared" si="23"/>
        <v>-8344</v>
      </c>
      <c r="L26" s="71">
        <f t="shared" si="23"/>
        <v>17772</v>
      </c>
      <c r="M26" s="71">
        <f t="shared" si="23"/>
        <v>7468</v>
      </c>
      <c r="N26" s="70">
        <f t="shared" si="23"/>
        <v>25428</v>
      </c>
      <c r="O26" s="71">
        <f t="shared" si="23"/>
        <v>4711</v>
      </c>
      <c r="P26" s="71">
        <f t="shared" si="23"/>
        <v>-10888</v>
      </c>
      <c r="Q26" s="71">
        <f t="shared" si="23"/>
        <v>23674</v>
      </c>
      <c r="R26" s="71">
        <f t="shared" si="23"/>
        <v>3587</v>
      </c>
      <c r="S26" s="70">
        <f t="shared" si="23"/>
        <v>21084</v>
      </c>
      <c r="T26" s="71">
        <f t="shared" ref="T26:Y26" si="24">SUM(T6:T24)-T10-T9</f>
        <v>17467</v>
      </c>
      <c r="U26" s="71">
        <f t="shared" si="24"/>
        <v>1860</v>
      </c>
      <c r="V26" s="71">
        <f t="shared" si="24"/>
        <v>25778</v>
      </c>
      <c r="W26" s="71">
        <f t="shared" si="24"/>
        <v>13441</v>
      </c>
      <c r="X26" s="70">
        <f t="shared" si="24"/>
        <v>56435</v>
      </c>
      <c r="Y26" s="71">
        <f t="shared" si="24"/>
        <v>18084</v>
      </c>
      <c r="Z26" s="71">
        <f>SUM(Z6:Z24)-Z10-Z9</f>
        <v>-9659</v>
      </c>
      <c r="AA26" s="71">
        <f t="shared" ref="AA26:AH26" si="25">SUM(AA6:AA24)-AA10-AA9</f>
        <v>33829</v>
      </c>
      <c r="AB26" s="71">
        <f t="shared" si="25"/>
        <v>16414</v>
      </c>
      <c r="AC26" s="70">
        <f t="shared" si="25"/>
        <v>58668</v>
      </c>
      <c r="AD26" s="71">
        <f>SUM(AD6:AD24)-AD10-AD9</f>
        <v>17084</v>
      </c>
      <c r="AE26" s="71">
        <f>SUM(AE6:AE24)-AE10-AE9</f>
        <v>-498</v>
      </c>
      <c r="AF26" s="71">
        <f t="shared" si="25"/>
        <v>42115</v>
      </c>
      <c r="AG26" s="71">
        <f t="shared" si="25"/>
        <v>7389</v>
      </c>
      <c r="AH26" s="70">
        <f t="shared" si="25"/>
        <v>66090</v>
      </c>
      <c r="AI26" s="71">
        <f t="shared" ref="AI26:BK26" si="26">SUM(AI6:AI24)-AI10-AI9</f>
        <v>16560</v>
      </c>
      <c r="AJ26" s="71">
        <f t="shared" si="26"/>
        <v>12268</v>
      </c>
      <c r="AK26" s="71">
        <f t="shared" si="26"/>
        <v>66303</v>
      </c>
      <c r="AL26" s="280">
        <f t="shared" si="26"/>
        <v>28306</v>
      </c>
      <c r="AM26" s="95">
        <f t="shared" si="26"/>
        <v>123437</v>
      </c>
      <c r="AN26" s="280">
        <f t="shared" si="26"/>
        <v>-2095</v>
      </c>
      <c r="AO26" s="280">
        <f t="shared" si="26"/>
        <v>16908</v>
      </c>
      <c r="AP26" s="280">
        <f t="shared" si="26"/>
        <v>55100</v>
      </c>
      <c r="AQ26" s="382">
        <f t="shared" si="26"/>
        <v>19100</v>
      </c>
      <c r="AR26" s="95">
        <f t="shared" si="26"/>
        <v>89013</v>
      </c>
      <c r="AS26" s="280">
        <f t="shared" si="26"/>
        <v>41415</v>
      </c>
      <c r="AT26" s="280">
        <f t="shared" si="26"/>
        <v>20012</v>
      </c>
      <c r="AU26" s="280">
        <f t="shared" si="26"/>
        <v>80257</v>
      </c>
      <c r="AV26" s="280">
        <f t="shared" si="26"/>
        <v>50175</v>
      </c>
      <c r="AW26" s="95">
        <f t="shared" si="26"/>
        <v>191859</v>
      </c>
      <c r="AX26" s="280">
        <f t="shared" si="26"/>
        <v>48179</v>
      </c>
      <c r="AY26" s="280">
        <f t="shared" si="26"/>
        <v>1395</v>
      </c>
      <c r="AZ26" s="280">
        <f t="shared" si="26"/>
        <v>92806</v>
      </c>
      <c r="BA26" s="71">
        <f t="shared" si="26"/>
        <v>53374</v>
      </c>
      <c r="BB26" s="70">
        <f t="shared" si="26"/>
        <v>195754</v>
      </c>
      <c r="BC26" s="280">
        <f t="shared" si="26"/>
        <v>44631</v>
      </c>
      <c r="BD26" s="71">
        <f t="shared" si="26"/>
        <v>22599</v>
      </c>
      <c r="BE26" s="71">
        <f t="shared" si="26"/>
        <v>112123</v>
      </c>
      <c r="BF26" s="71">
        <f t="shared" si="26"/>
        <v>70850</v>
      </c>
      <c r="BG26" s="70">
        <f t="shared" si="26"/>
        <v>250203</v>
      </c>
      <c r="BH26" s="280">
        <f t="shared" si="26"/>
        <v>23957</v>
      </c>
      <c r="BI26" s="71">
        <f t="shared" si="26"/>
        <v>24497</v>
      </c>
      <c r="BJ26" s="71">
        <f t="shared" si="26"/>
        <v>130073</v>
      </c>
      <c r="BK26" s="71">
        <f t="shared" si="26"/>
        <v>76193</v>
      </c>
      <c r="BL26" s="70">
        <f t="shared" ref="BL26:BQ26" si="27">SUM(BL6:BL24)-BL10-BL9</f>
        <v>254720</v>
      </c>
      <c r="BM26" s="71">
        <f t="shared" si="27"/>
        <v>55971</v>
      </c>
      <c r="BN26" s="71">
        <f t="shared" si="27"/>
        <v>39062</v>
      </c>
      <c r="BO26" s="71">
        <f t="shared" si="27"/>
        <v>169055</v>
      </c>
      <c r="BP26" s="71">
        <f t="shared" si="27"/>
        <v>88008</v>
      </c>
      <c r="BQ26" s="70">
        <f t="shared" si="27"/>
        <v>352096</v>
      </c>
      <c r="BR26" s="71">
        <f>BR6+BR8+SUM(BR11:BR25)</f>
        <v>71704</v>
      </c>
      <c r="BS26" s="71">
        <f>BS6+BS8+SUM(BS11:BS25)</f>
        <v>-20348</v>
      </c>
      <c r="BT26" s="71">
        <f t="shared" ref="BT26:CA26" si="28">BT6+BT8+SUM(BT11:BT24)</f>
        <v>205386</v>
      </c>
      <c r="BU26" s="71">
        <f t="shared" si="28"/>
        <v>115010</v>
      </c>
      <c r="BV26" s="70">
        <f>BV6+BV8+SUM(BV11:BV25)</f>
        <v>371752</v>
      </c>
      <c r="BW26" s="71">
        <f t="shared" si="28"/>
        <v>53541</v>
      </c>
      <c r="BX26" s="71">
        <f t="shared" si="28"/>
        <v>76679</v>
      </c>
      <c r="BY26" s="71">
        <f t="shared" si="28"/>
        <v>129377</v>
      </c>
      <c r="BZ26" s="71">
        <f>BZ6+BZ8+SUM(BZ11:BZ24)</f>
        <v>121857</v>
      </c>
      <c r="CA26" s="70">
        <f t="shared" si="28"/>
        <v>381454</v>
      </c>
      <c r="CB26" s="71">
        <f t="shared" ref="CB26:CP26" si="29">CB6+CB8+SUM(CB11:CB24)</f>
        <v>74709</v>
      </c>
      <c r="CC26" s="71">
        <f t="shared" si="29"/>
        <v>-19184</v>
      </c>
      <c r="CD26" s="71">
        <f t="shared" si="29"/>
        <v>177496</v>
      </c>
      <c r="CE26" s="71">
        <f t="shared" si="29"/>
        <v>147419</v>
      </c>
      <c r="CF26" s="70">
        <f t="shared" si="29"/>
        <v>380440</v>
      </c>
      <c r="CG26" s="71">
        <f t="shared" si="29"/>
        <v>71839</v>
      </c>
      <c r="CH26" s="71">
        <f>CH6+CH8+SUM(CH11:CH24)</f>
        <v>64304</v>
      </c>
      <c r="CI26" s="71">
        <f>CI6+CI8+SUM(CI11:CI24)</f>
        <v>263716</v>
      </c>
      <c r="CJ26" s="71">
        <f t="shared" ref="CJ26" si="30">CJ6+CJ8+SUM(CJ11:CJ24)</f>
        <v>224774</v>
      </c>
      <c r="CK26" s="70">
        <f t="shared" si="29"/>
        <v>624633</v>
      </c>
      <c r="CL26" s="71">
        <f t="shared" ref="CL26" si="31">CL6+CL8+SUM(CL11:CL24)</f>
        <v>56158</v>
      </c>
      <c r="CM26" s="71">
        <f t="shared" si="29"/>
        <v>98312</v>
      </c>
      <c r="CN26" s="71">
        <f t="shared" si="29"/>
        <v>255191</v>
      </c>
      <c r="CO26" s="71">
        <f t="shared" si="29"/>
        <v>243883</v>
      </c>
      <c r="CP26" s="70">
        <f t="shared" si="29"/>
        <v>668523.03399999999</v>
      </c>
      <c r="CQ26" s="71">
        <f t="shared" ref="CQ26:CU26" si="32">CQ6+CQ8+SUM(CQ11:CQ24)</f>
        <v>-19766.083812649973</v>
      </c>
      <c r="CR26" s="71">
        <f t="shared" si="32"/>
        <v>233886.09914614999</v>
      </c>
      <c r="CS26" s="71">
        <f t="shared" si="32"/>
        <v>244894.21691750007</v>
      </c>
      <c r="CT26" s="71">
        <f t="shared" si="32"/>
        <v>247375.98121698946</v>
      </c>
      <c r="CU26" s="70">
        <f t="shared" si="32"/>
        <v>706390.21346798935</v>
      </c>
    </row>
    <row r="27" spans="2:99" s="103" customFormat="1" ht="10.5">
      <c r="B27" s="98"/>
      <c r="C27" s="99" t="s">
        <v>29</v>
      </c>
      <c r="D27" s="100">
        <f>D26/'Income Statement'!D23</f>
        <v>0.12657646181004203</v>
      </c>
      <c r="E27" s="99">
        <f>E26/'Income Statement'!E23</f>
        <v>0.29617024144496301</v>
      </c>
      <c r="F27" s="99">
        <f>F26/'Income Statement'!F23</f>
        <v>4.3067086977756075E-2</v>
      </c>
      <c r="G27" s="99">
        <f>G26/'Income Statement'!G23</f>
        <v>0.35212786106618876</v>
      </c>
      <c r="H27" s="99">
        <f>H26/'Income Statement'!H23</f>
        <v>1.2855170827102266E-2</v>
      </c>
      <c r="I27" s="100">
        <f>I26/'Income Statement'!I23</f>
        <v>0.17182507798914376</v>
      </c>
      <c r="J27" s="99">
        <f>J26/'Income Statement'!J23</f>
        <v>0.12264788327463523</v>
      </c>
      <c r="K27" s="99">
        <f>K26/'Income Statement'!K23</f>
        <v>-0.11561270298730809</v>
      </c>
      <c r="L27" s="99">
        <f>L26/'Income Statement'!L23</f>
        <v>0.23908949039444655</v>
      </c>
      <c r="M27" s="99">
        <f>M26/'Income Statement'!M23</f>
        <v>0.10062384628858617</v>
      </c>
      <c r="N27" s="100">
        <f>N26/'Income Statement'!N23</f>
        <v>8.7596370476013305E-2</v>
      </c>
      <c r="O27" s="99">
        <f>O26/'Income Statement'!O23</f>
        <v>6.7473503294185042E-2</v>
      </c>
      <c r="P27" s="99">
        <f>P26/'Income Statement'!P23</f>
        <v>-0.14997245179063362</v>
      </c>
      <c r="Q27" s="99">
        <f>Q26/'Income Statement'!Q23</f>
        <v>0.32092071195217503</v>
      </c>
      <c r="R27" s="99">
        <f>R26/'Income Statement'!R23</f>
        <v>4.9517525090075787E-2</v>
      </c>
      <c r="S27" s="100">
        <f>S26/'Income Statement'!S23</f>
        <v>7.3049045830619344E-2</v>
      </c>
      <c r="T27" s="99">
        <f>T26/'Income Statement'!T23</f>
        <v>0.23799272410175357</v>
      </c>
      <c r="U27" s="99">
        <f>U26/'Income Statement'!U23</f>
        <v>2.4239265002932168E-2</v>
      </c>
      <c r="V27" s="99">
        <f>V26/'Income Statement'!V23</f>
        <v>0.33398113598673301</v>
      </c>
      <c r="W27" s="99">
        <f>W26/'Income Statement'!W23</f>
        <v>0.16375686838289941</v>
      </c>
      <c r="X27" s="100">
        <f>X26/'Income Statement'!X23</f>
        <v>0.18240672805608438</v>
      </c>
      <c r="Y27" s="98">
        <f>Y26/'Income Statement'!Y23</f>
        <v>0.21860909299711084</v>
      </c>
      <c r="Z27" s="99">
        <f>Z26/'Income Statement'!Z23</f>
        <v>-0.10571534891865861</v>
      </c>
      <c r="AA27" s="99">
        <f>AA26/'Income Statement'!AA23</f>
        <v>0.36047738291864245</v>
      </c>
      <c r="AB27" s="99">
        <f>AB26/'Income Statement'!AB23</f>
        <v>0.17211223890613203</v>
      </c>
      <c r="AC27" s="100">
        <f>AC26/'Income Statement'!AC23</f>
        <v>0.16148459692158634</v>
      </c>
      <c r="AD27" s="99">
        <f>AD26/'Income Statement'!AD23</f>
        <v>0.1783317153623733</v>
      </c>
      <c r="AE27" s="99">
        <f>AE26/'Income Statement'!AE23</f>
        <v>-4.8308241502405709E-3</v>
      </c>
      <c r="AF27" s="99">
        <f>AF26/'Income Statement'!AF23</f>
        <v>0.39352089776772781</v>
      </c>
      <c r="AG27" s="99">
        <f>AG26/'Income Statement'!AG23</f>
        <v>6.6726870456495238E-2</v>
      </c>
      <c r="AH27" s="100">
        <f>AH26/'Income Statement'!AH23</f>
        <v>0.15862500990056236</v>
      </c>
      <c r="AI27" s="99">
        <f>AI26/'Income Statement'!AI23</f>
        <v>0.14703532044110595</v>
      </c>
      <c r="AJ27" s="99">
        <f>AJ26/'Income Statement'!AJ23</f>
        <v>9.8640358282879453E-2</v>
      </c>
      <c r="AK27" s="99">
        <f>AK26/'Income Statement'!AK23</f>
        <v>0.51531897034135421</v>
      </c>
      <c r="AL27" s="236">
        <f>AL26/'Income Statement'!AL23</f>
        <v>0.22211236660389203</v>
      </c>
      <c r="AM27" s="389">
        <f>AM26/'Income Statement'!AM23</f>
        <v>0.25032802610418553</v>
      </c>
      <c r="AN27" s="236">
        <f>AN26/'Income Statement'!AN23</f>
        <v>-1.5522427870722997E-2</v>
      </c>
      <c r="AO27" s="236">
        <f>AO26/'Income Statement'!AO23</f>
        <v>0.11557469496565159</v>
      </c>
      <c r="AP27" s="236">
        <f>AP26/'Income Statement'!AP23</f>
        <v>0.36527561404090292</v>
      </c>
      <c r="AQ27" s="383">
        <f>AQ26/'Income Statement'!AQ23</f>
        <v>0.11780015912272802</v>
      </c>
      <c r="AR27" s="389">
        <f>AR26/'Income Statement'!AR23</f>
        <v>0.14979175255997104</v>
      </c>
      <c r="AS27" s="236">
        <f>AS26/'Income Statement'!AS23</f>
        <v>0.22387938677103381</v>
      </c>
      <c r="AT27" s="236">
        <f>AT26/'Income Statement'!AT23</f>
        <v>0.10328827503625825</v>
      </c>
      <c r="AU27" s="236">
        <f>AU26/'Income Statement'!AU23</f>
        <v>0.40583645585238448</v>
      </c>
      <c r="AV27" s="236">
        <f>AV26/'Income Statement'!AV23</f>
        <v>0.25723382003117051</v>
      </c>
      <c r="AW27" s="389">
        <f>AW26/'Income Statement'!AW23</f>
        <v>0.24866696908819907</v>
      </c>
      <c r="AX27" s="236">
        <f>AX26/'Income Statement'!AX23</f>
        <v>0.24106736316466273</v>
      </c>
      <c r="AY27" s="236">
        <f>AY26/'Income Statement'!AY23</f>
        <v>6.661318511302753E-3</v>
      </c>
      <c r="AZ27" s="236">
        <f>AZ26/'Income Statement'!AZ23</f>
        <v>0.43284765493824856</v>
      </c>
      <c r="BA27" s="99">
        <f>BA26/'Income Statement'!BA23</f>
        <v>0.24473831424300505</v>
      </c>
      <c r="BB27" s="100">
        <f>BB26/'Income Statement'!BB23</f>
        <v>0.23255073541553561</v>
      </c>
      <c r="BC27" s="236">
        <f>BC26/'Income Statement'!BC23</f>
        <v>0.2015990243241412</v>
      </c>
      <c r="BD27" s="99">
        <f>BD26/'Income Statement'!BD23</f>
        <v>9.5064823617502792E-2</v>
      </c>
      <c r="BE27" s="99">
        <f>BE26/'Income Statement'!BE23</f>
        <v>0.47196171201508619</v>
      </c>
      <c r="BF27" s="99">
        <f>BF26/'Income Statement'!BF23</f>
        <v>0.29152419630255971</v>
      </c>
      <c r="BG27" s="100">
        <f>BG26/'Income Statement'!BG23</f>
        <v>0.26625611360124635</v>
      </c>
      <c r="BH27" s="236">
        <f>BH26/'Income Statement'!BH23</f>
        <v>9.6304514738928218E-2</v>
      </c>
      <c r="BI27" s="99">
        <f>BI26/'Income Statement'!BI23</f>
        <v>8.8124727949032491E-2</v>
      </c>
      <c r="BJ27" s="99">
        <f>BJ26/'Income Statement'!BJ23</f>
        <v>0.46926082392031371</v>
      </c>
      <c r="BK27" s="99">
        <f>BK26/'Income Statement'!BK23</f>
        <v>0.26508828390014788</v>
      </c>
      <c r="BL27" s="100">
        <f>BL26/'Income Statement'!BL23</f>
        <v>0.23339771806816476</v>
      </c>
      <c r="BM27" s="499"/>
      <c r="BN27" s="99">
        <f>BN26/'Income Statement'!BN23</f>
        <v>0.14396544416557022</v>
      </c>
      <c r="BO27" s="99">
        <f>BO26/'Income Statement'!BO23</f>
        <v>0.59123163494056385</v>
      </c>
      <c r="BP27" s="99">
        <f>BP26/'Income Statement'!BP23</f>
        <v>0.31053463557838873</v>
      </c>
      <c r="BQ27" s="100">
        <f>BQ26/'Income Statement'!BQ23</f>
        <v>0.31508769041052248</v>
      </c>
      <c r="BR27" s="99">
        <f>BR26/'Income Statement'!BR23</f>
        <v>0.24322765788563172</v>
      </c>
      <c r="BS27" s="99">
        <f>BS26/'Income Statement'!BS23</f>
        <v>-5.0196983937853233E-2</v>
      </c>
      <c r="BT27" s="99">
        <f>BT26/'Income Statement'!BT23</f>
        <v>0.44588644968564384</v>
      </c>
      <c r="BU27" s="99">
        <f>BU26/'Income Statement'!BU23</f>
        <v>0.264892578125</v>
      </c>
      <c r="BV27" s="100">
        <f>BV26/'Income Statement'!BV23</f>
        <v>0.23307846880652552</v>
      </c>
      <c r="BW27" s="99">
        <f>BW26/'Income Statement'!BW23</f>
        <v>0.11738667157778421</v>
      </c>
      <c r="BX27" s="99">
        <f>BX26/'Income Statement'!BX23</f>
        <v>0.16360455316470551</v>
      </c>
      <c r="BY27" s="99">
        <f>BY26/'Income Statement'!BY23</f>
        <v>0.27341390685790729</v>
      </c>
      <c r="BZ27" s="99">
        <f>BZ26/'Income Statement'!BZ23</f>
        <v>0.26946397770996416</v>
      </c>
      <c r="CA27" s="100">
        <f>CA26/'Income Statement'!CA23</f>
        <v>0.20616861708222445</v>
      </c>
      <c r="CB27" s="99">
        <f>CB26/'Income Statement'!CB23</f>
        <v>0.15833109040315521</v>
      </c>
      <c r="CC27" s="99">
        <f>CC26/'Income Statement'!CC23</f>
        <v>-3.8042432859587652E-2</v>
      </c>
      <c r="CD27" s="99">
        <f>CD26/'Income Statement'!CD23</f>
        <v>0.35880683426187221</v>
      </c>
      <c r="CE27" s="99">
        <f>CE26/'Income Statement'!CE23</f>
        <v>0.30652582989385257</v>
      </c>
      <c r="CF27" s="100">
        <f>CF26/'Income Statement'!CF23</f>
        <v>0.19492240557325191</v>
      </c>
      <c r="CG27" s="99">
        <f>CG26/'Income Statement'!CG23</f>
        <v>0.14021223399998828</v>
      </c>
      <c r="CH27" s="99">
        <f>CH26/'Income Statement'!CH23</f>
        <v>0.11886664103398302</v>
      </c>
      <c r="CI27" s="99">
        <f>CI26/'Income Statement'!CI23</f>
        <v>0.48536359570579585</v>
      </c>
      <c r="CJ27" s="99">
        <f>CJ26/'Income Statement'!CJ23</f>
        <v>0.41537816166510511</v>
      </c>
      <c r="CK27" s="100">
        <f>CK26/'Income Statement'!CK23</f>
        <v>0.2921845464713072</v>
      </c>
      <c r="CL27" s="99">
        <f>CL26/'Income Statement'!CL23</f>
        <v>9.9365671971902006E-2</v>
      </c>
      <c r="CM27" s="99">
        <f>CM26/'Income Statement'!CM23</f>
        <v>0.16492064477275434</v>
      </c>
      <c r="CN27" s="99">
        <f>CN26/'Income Statement'!CN23</f>
        <v>0.42825976414674793</v>
      </c>
      <c r="CO27" s="99">
        <f>CO26/'Income Statement'!CO23</f>
        <v>0.41325032609824641</v>
      </c>
      <c r="CP27" s="100">
        <f>CP26/'Income Statement'!CP23</f>
        <v>0.28480280026562421</v>
      </c>
      <c r="CQ27" s="99">
        <f>CQ26/'Income Statement'!CQ23</f>
        <v>-3.2481858710117391E-2</v>
      </c>
      <c r="CR27" s="99">
        <f>CR26/'Income Statement'!CR23</f>
        <v>0.36040483672952511</v>
      </c>
      <c r="CS27" s="99">
        <f>CS26/'Income Statement'!CS23</f>
        <v>0.38444682151908788</v>
      </c>
      <c r="CT27" s="99">
        <f>CT26/'Income Statement'!CT23</f>
        <v>0.38810832573337239</v>
      </c>
      <c r="CU27" s="100">
        <f>CU26/'Income Statement'!CU23</f>
        <v>0.2789989768566189</v>
      </c>
    </row>
    <row r="28" spans="2:99">
      <c r="B28" s="8"/>
      <c r="C28" s="7"/>
      <c r="D28" s="13"/>
      <c r="E28" s="12"/>
      <c r="F28" s="12"/>
      <c r="G28" s="12"/>
      <c r="H28" s="12"/>
      <c r="I28" s="13"/>
      <c r="J28" s="12"/>
      <c r="K28" s="12"/>
      <c r="L28" s="12"/>
      <c r="M28" s="12"/>
      <c r="N28" s="13"/>
      <c r="O28" s="12"/>
      <c r="P28" s="12"/>
      <c r="Q28" s="12"/>
      <c r="R28" s="12"/>
      <c r="S28" s="13"/>
      <c r="T28" s="12"/>
      <c r="U28" s="12"/>
      <c r="V28" s="12"/>
      <c r="W28" s="12"/>
      <c r="X28" s="13"/>
      <c r="Y28" s="12"/>
      <c r="Z28" s="7"/>
      <c r="AA28" s="7"/>
      <c r="AB28" s="419">
        <f>+AB26/W26</f>
        <v>1.2211888996354439</v>
      </c>
      <c r="AC28" s="9"/>
      <c r="AD28" s="7"/>
      <c r="AE28" s="22"/>
      <c r="AF28" s="7"/>
      <c r="AG28" s="7"/>
      <c r="AH28" s="9"/>
      <c r="AI28" s="7"/>
      <c r="AJ28" s="7"/>
      <c r="AK28" s="7"/>
      <c r="AL28" s="279"/>
      <c r="AM28" s="388"/>
      <c r="AN28" s="279"/>
      <c r="AO28" s="235"/>
      <c r="AP28" s="279"/>
      <c r="AQ28" s="393"/>
      <c r="AR28" s="395"/>
      <c r="AS28" s="235"/>
      <c r="AT28" s="235"/>
      <c r="AU28" s="235"/>
      <c r="AV28" s="235"/>
      <c r="AW28" s="388"/>
      <c r="AX28" s="235"/>
      <c r="AY28" s="235"/>
      <c r="AZ28" s="235"/>
      <c r="BA28" s="22"/>
      <c r="BB28" s="9"/>
      <c r="BC28" s="235"/>
      <c r="BD28" s="7"/>
      <c r="BE28" s="7"/>
      <c r="BF28" s="7"/>
      <c r="BG28" s="9"/>
      <c r="BH28" s="235"/>
      <c r="BI28" s="7"/>
      <c r="BJ28" s="7"/>
      <c r="BK28" s="22">
        <f>254720-BK26-BJ26-BI26-BH26</f>
        <v>0</v>
      </c>
      <c r="BL28" s="9"/>
      <c r="BN28" s="7"/>
      <c r="BO28" s="7"/>
      <c r="BP28" s="7"/>
      <c r="BQ28" s="9"/>
      <c r="BS28" s="22"/>
      <c r="BT28" s="7"/>
      <c r="BU28" s="7"/>
      <c r="BV28" s="9"/>
      <c r="BW28" s="7"/>
      <c r="BX28" s="7"/>
      <c r="BY28" s="7"/>
      <c r="BZ28" s="7"/>
      <c r="CA28" s="9"/>
      <c r="CB28" s="7"/>
      <c r="CC28" s="7"/>
      <c r="CD28" s="7"/>
      <c r="CE28" s="7"/>
      <c r="CF28" s="9"/>
      <c r="CG28" s="7"/>
      <c r="CH28" s="7"/>
      <c r="CI28" s="7"/>
      <c r="CJ28" s="7"/>
      <c r="CK28" s="9"/>
      <c r="CL28" s="7"/>
      <c r="CM28" s="7"/>
      <c r="CN28" s="7"/>
      <c r="CO28" s="7"/>
      <c r="CP28" s="9"/>
      <c r="CQ28" s="7"/>
      <c r="CR28" s="7"/>
      <c r="CS28" s="7"/>
      <c r="CT28" s="7"/>
      <c r="CU28" s="9"/>
    </row>
    <row r="29" spans="2:99">
      <c r="B29" s="78" t="s">
        <v>98</v>
      </c>
      <c r="C29" s="7"/>
      <c r="D29" s="13"/>
      <c r="E29" s="12"/>
      <c r="F29" s="12"/>
      <c r="G29" s="12"/>
      <c r="H29" s="12"/>
      <c r="I29" s="13"/>
      <c r="J29" s="12"/>
      <c r="K29" s="12"/>
      <c r="L29" s="12"/>
      <c r="M29" s="12"/>
      <c r="N29" s="13"/>
      <c r="O29" s="12"/>
      <c r="P29" s="12"/>
      <c r="Q29" s="12"/>
      <c r="R29" s="12"/>
      <c r="S29" s="13"/>
      <c r="T29" s="12"/>
      <c r="U29" s="12"/>
      <c r="V29" s="12"/>
      <c r="W29" s="12"/>
      <c r="X29" s="13"/>
      <c r="Y29" s="12"/>
      <c r="Z29" s="7"/>
      <c r="AA29" s="7"/>
      <c r="AB29" s="7"/>
      <c r="AC29" s="9"/>
      <c r="AD29" s="7"/>
      <c r="AE29" s="7"/>
      <c r="AF29" s="7"/>
      <c r="AG29" s="22">
        <f>+AG26-AG28</f>
        <v>7389</v>
      </c>
      <c r="AH29" s="9"/>
      <c r="AI29" s="7"/>
      <c r="AJ29" s="7"/>
      <c r="AK29" s="7"/>
      <c r="AL29" s="279"/>
      <c r="AM29" s="388"/>
      <c r="AN29" s="279"/>
      <c r="AO29" s="279"/>
      <c r="AP29" s="279"/>
      <c r="AQ29" s="384"/>
      <c r="AR29" s="388"/>
      <c r="AS29" s="279"/>
      <c r="AT29" s="279"/>
      <c r="AU29" s="279"/>
      <c r="AV29" s="279"/>
      <c r="AW29" s="388"/>
      <c r="AX29" s="279"/>
      <c r="AY29" s="279"/>
      <c r="AZ29" s="279"/>
      <c r="BA29" s="279"/>
      <c r="BB29" s="388"/>
      <c r="BC29" s="279"/>
      <c r="BD29" s="7"/>
      <c r="BE29" s="7"/>
      <c r="BF29" s="7"/>
      <c r="BG29" s="9"/>
      <c r="BH29" s="279"/>
      <c r="BI29" s="7"/>
      <c r="BJ29" s="7"/>
      <c r="BK29" s="7"/>
      <c r="BL29" s="9"/>
      <c r="BN29" s="7"/>
      <c r="BO29" s="7"/>
      <c r="BP29" s="7"/>
      <c r="BQ29" s="9"/>
      <c r="BS29" s="7"/>
      <c r="BT29" s="7"/>
      <c r="BU29" s="7"/>
      <c r="BV29" s="9"/>
      <c r="BW29" s="7"/>
      <c r="BX29" s="7"/>
      <c r="BY29" s="7"/>
      <c r="BZ29" s="7"/>
      <c r="CA29" s="9"/>
      <c r="CB29" s="7"/>
      <c r="CC29" s="7"/>
      <c r="CD29" s="7"/>
      <c r="CE29" s="7"/>
      <c r="CF29" s="9"/>
      <c r="CG29" s="7"/>
      <c r="CH29" s="7"/>
      <c r="CI29" s="7"/>
      <c r="CJ29" s="7"/>
      <c r="CK29" s="9"/>
      <c r="CL29" s="7"/>
      <c r="CM29" s="7"/>
      <c r="CN29" s="7"/>
      <c r="CO29" s="7"/>
      <c r="CP29" s="9"/>
      <c r="CQ29" s="7"/>
      <c r="CR29" s="7"/>
      <c r="CS29" s="7"/>
      <c r="CT29" s="7"/>
      <c r="CU29" s="9"/>
    </row>
    <row r="30" spans="2:99">
      <c r="B30" s="8"/>
      <c r="C30" s="7" t="s">
        <v>99</v>
      </c>
      <c r="D30" s="13">
        <v>45480</v>
      </c>
      <c r="E30" s="12">
        <v>42265</v>
      </c>
      <c r="F30" s="12">
        <f>44515-E30</f>
        <v>2250</v>
      </c>
      <c r="G30" s="12">
        <f>44565-F30-E30</f>
        <v>50</v>
      </c>
      <c r="H30" s="12">
        <f t="shared" ref="H30:H37" si="33">I30-G30-F30-E30</f>
        <v>500</v>
      </c>
      <c r="I30" s="13">
        <v>45065</v>
      </c>
      <c r="J30" s="12">
        <v>775</v>
      </c>
      <c r="K30" s="12">
        <f>1675-J30</f>
        <v>900</v>
      </c>
      <c r="L30" s="12">
        <f>2500-K30-J30</f>
        <v>825</v>
      </c>
      <c r="M30" s="12">
        <f t="shared" ref="M30:M37" si="34">N30-L30-K30-J30</f>
        <v>0</v>
      </c>
      <c r="N30" s="13">
        <v>2500</v>
      </c>
      <c r="O30" s="12">
        <v>50</v>
      </c>
      <c r="P30" s="12">
        <f>50-O30</f>
        <v>0</v>
      </c>
      <c r="Q30" s="12">
        <f>75-P30-O30</f>
        <v>25</v>
      </c>
      <c r="R30" s="12">
        <f>S30-Q30-P30-O30</f>
        <v>0</v>
      </c>
      <c r="S30" s="13">
        <v>75</v>
      </c>
      <c r="T30" s="12">
        <v>25</v>
      </c>
      <c r="U30" s="12">
        <f>25-T30</f>
        <v>0</v>
      </c>
      <c r="V30" s="12">
        <f>50-U30-T30</f>
        <v>25</v>
      </c>
      <c r="W30" s="12">
        <f>X30-V30-U30-T30</f>
        <v>0</v>
      </c>
      <c r="X30" s="13">
        <v>50</v>
      </c>
      <c r="Y30" s="12">
        <v>25</v>
      </c>
      <c r="Z30" s="112">
        <v>0</v>
      </c>
      <c r="AA30" s="112">
        <f>75-25</f>
        <v>50</v>
      </c>
      <c r="AB30" s="112">
        <v>-10451</v>
      </c>
      <c r="AC30" s="113">
        <f t="shared" ref="AC30:AC37" si="35">SUM(Y30:AB30)</f>
        <v>-10376</v>
      </c>
      <c r="AD30" s="112">
        <v>25</v>
      </c>
      <c r="AE30" s="112">
        <v>0</v>
      </c>
      <c r="AF30" s="112">
        <f>50-AD30</f>
        <v>25</v>
      </c>
      <c r="AG30" s="112">
        <v>1040</v>
      </c>
      <c r="AH30" s="94">
        <f t="shared" ref="AH30:AH36" si="36">SUM(AD30:AG30)</f>
        <v>1090</v>
      </c>
      <c r="AI30" s="112">
        <v>8</v>
      </c>
      <c r="AJ30" s="112">
        <v>0</v>
      </c>
      <c r="AK30" s="112">
        <v>800</v>
      </c>
      <c r="AL30" s="276">
        <v>0</v>
      </c>
      <c r="AM30" s="94">
        <f t="shared" ref="AM30:AM37" si="37">SUM(AI30:AL30)</f>
        <v>808</v>
      </c>
      <c r="AN30" s="276">
        <v>0</v>
      </c>
      <c r="AO30" s="276">
        <v>0</v>
      </c>
      <c r="AP30" s="276">
        <v>0</v>
      </c>
      <c r="AQ30" s="385">
        <v>0</v>
      </c>
      <c r="AR30" s="94">
        <f t="shared" ref="AR30:AR37" si="38">SUM(AN30:AQ30)</f>
        <v>0</v>
      </c>
      <c r="AS30" s="276">
        <v>3025</v>
      </c>
      <c r="AT30" s="276">
        <v>3501</v>
      </c>
      <c r="AU30" s="276">
        <v>2730</v>
      </c>
      <c r="AV30" s="276">
        <v>7581</v>
      </c>
      <c r="AW30" s="94">
        <f t="shared" ref="AW30:AW37" si="39">SUM(AS30:AV30)</f>
        <v>16837</v>
      </c>
      <c r="AX30" s="276">
        <v>6896</v>
      </c>
      <c r="AY30" s="276">
        <v>10133</v>
      </c>
      <c r="AZ30" s="276">
        <v>4146</v>
      </c>
      <c r="BA30" s="276">
        <v>7611</v>
      </c>
      <c r="BB30" s="94">
        <f t="shared" ref="BB30:BB37" si="40">SUM(AX30:BA30)</f>
        <v>28786</v>
      </c>
      <c r="BC30" s="276">
        <v>11077</v>
      </c>
      <c r="BD30" s="112">
        <v>28077</v>
      </c>
      <c r="BE30" s="112">
        <v>21054</v>
      </c>
      <c r="BF30" s="112">
        <v>20997</v>
      </c>
      <c r="BG30" s="94">
        <f t="shared" ref="BG30:BG37" si="41">SUM(BC30:BF30)</f>
        <v>81205</v>
      </c>
      <c r="BH30" s="276">
        <v>20276</v>
      </c>
      <c r="BI30" s="112">
        <f>19412</f>
        <v>19412</v>
      </c>
      <c r="BJ30" s="112">
        <v>17166</v>
      </c>
      <c r="BK30" s="112">
        <v>13942</v>
      </c>
      <c r="BL30" s="94">
        <f t="shared" ref="BL30:BL37" si="42">SUM(BH30:BK30)</f>
        <v>70796</v>
      </c>
      <c r="BM30" s="112">
        <f>18237+15000</f>
        <v>33237</v>
      </c>
      <c r="BN30" s="112">
        <v>21783</v>
      </c>
      <c r="BO30" s="112">
        <v>21774</v>
      </c>
      <c r="BP30" s="112">
        <v>20948</v>
      </c>
      <c r="BQ30" s="94">
        <f t="shared" ref="BQ30:BQ37" si="43">SUM(BM30:BP30)</f>
        <v>97742</v>
      </c>
      <c r="BR30" s="112">
        <v>35031</v>
      </c>
      <c r="BS30" s="112">
        <f>91395-BR30</f>
        <v>56364</v>
      </c>
      <c r="BT30" s="112">
        <v>23168</v>
      </c>
      <c r="BU30" s="112">
        <v>16886</v>
      </c>
      <c r="BV30" s="94">
        <f t="shared" ref="BV30:BV37" si="44">SUM(BR30:BU30)</f>
        <v>131449</v>
      </c>
      <c r="BW30" s="112">
        <v>22672</v>
      </c>
      <c r="BX30" s="112">
        <v>0</v>
      </c>
      <c r="BY30" s="112">
        <v>14457</v>
      </c>
      <c r="BZ30" s="112">
        <v>15982</v>
      </c>
      <c r="CA30" s="94">
        <f t="shared" ref="CA30:CA37" si="45">SUM(BW30:BZ30)</f>
        <v>53111</v>
      </c>
      <c r="CB30" s="276">
        <v>22975</v>
      </c>
      <c r="CC30" s="276">
        <v>14132</v>
      </c>
      <c r="CD30" s="112">
        <v>8345</v>
      </c>
      <c r="CE30" s="112">
        <v>0</v>
      </c>
      <c r="CF30" s="94">
        <f t="shared" ref="CF30:CF37" si="46">SUM(CB30:CE30)</f>
        <v>45452</v>
      </c>
      <c r="CG30" s="112">
        <v>3271</v>
      </c>
      <c r="CH30" s="276">
        <v>3080</v>
      </c>
      <c r="CI30" s="276">
        <f>1349</f>
        <v>1349</v>
      </c>
      <c r="CJ30" s="112">
        <f>8294</f>
        <v>8294</v>
      </c>
      <c r="CK30" s="94">
        <f t="shared" ref="CK30:CK37" si="47">SUM(CG30:CJ30)</f>
        <v>15994</v>
      </c>
      <c r="CL30" s="112">
        <f>1756</f>
        <v>1756</v>
      </c>
      <c r="CM30" s="112">
        <v>32528</v>
      </c>
      <c r="CN30" s="112">
        <v>42023</v>
      </c>
      <c r="CO30" s="112">
        <v>45583</v>
      </c>
      <c r="CP30" s="94">
        <f t="shared" ref="CP30:CP37" si="48">SUM(CL30:CO30)</f>
        <v>121890</v>
      </c>
      <c r="CQ30" s="112">
        <v>0</v>
      </c>
      <c r="CR30" s="112">
        <v>0</v>
      </c>
      <c r="CS30" s="112">
        <v>0</v>
      </c>
      <c r="CT30" s="112">
        <v>0</v>
      </c>
      <c r="CU30" s="94">
        <f t="shared" ref="CU30:CU37" si="49">SUM(CQ30:CT30)</f>
        <v>0</v>
      </c>
    </row>
    <row r="31" spans="2:99">
      <c r="B31" s="8"/>
      <c r="C31" s="7" t="s">
        <v>100</v>
      </c>
      <c r="D31" s="13">
        <v>-67545</v>
      </c>
      <c r="E31" s="12">
        <v>-8625</v>
      </c>
      <c r="F31" s="12">
        <f>-8625-E31</f>
        <v>0</v>
      </c>
      <c r="G31" s="12">
        <f>-8625-F31-E31</f>
        <v>0</v>
      </c>
      <c r="H31" s="12">
        <f t="shared" si="33"/>
        <v>0</v>
      </c>
      <c r="I31" s="13">
        <v>-8625</v>
      </c>
      <c r="J31" s="12">
        <v>0</v>
      </c>
      <c r="K31" s="12">
        <v>0</v>
      </c>
      <c r="L31" s="12">
        <v>0</v>
      </c>
      <c r="M31" s="12">
        <f t="shared" si="34"/>
        <v>0</v>
      </c>
      <c r="N31" s="13">
        <v>0</v>
      </c>
      <c r="O31" s="12">
        <v>0</v>
      </c>
      <c r="P31" s="12">
        <v>0</v>
      </c>
      <c r="Q31" s="12">
        <v>0</v>
      </c>
      <c r="R31" s="12">
        <v>0</v>
      </c>
      <c r="S31" s="13">
        <v>0</v>
      </c>
      <c r="T31" s="12">
        <v>0</v>
      </c>
      <c r="U31" s="12">
        <v>0</v>
      </c>
      <c r="V31" s="12">
        <v>0</v>
      </c>
      <c r="W31" s="12">
        <f>X31-V31-U31-T31</f>
        <v>0</v>
      </c>
      <c r="X31" s="13">
        <v>0</v>
      </c>
      <c r="Y31" s="12">
        <v>0</v>
      </c>
      <c r="Z31" s="112">
        <v>0</v>
      </c>
      <c r="AA31" s="112">
        <v>0</v>
      </c>
      <c r="AB31" s="112">
        <v>0</v>
      </c>
      <c r="AC31" s="113">
        <f t="shared" si="35"/>
        <v>0</v>
      </c>
      <c r="AD31" s="112">
        <v>0</v>
      </c>
      <c r="AE31" s="112">
        <v>0</v>
      </c>
      <c r="AF31" s="112">
        <v>0</v>
      </c>
      <c r="AG31" s="112">
        <v>0</v>
      </c>
      <c r="AH31" s="94">
        <f t="shared" si="36"/>
        <v>0</v>
      </c>
      <c r="AI31" s="112">
        <v>0</v>
      </c>
      <c r="AJ31" s="112">
        <v>0</v>
      </c>
      <c r="AK31" s="112">
        <v>0</v>
      </c>
      <c r="AL31" s="276">
        <v>0</v>
      </c>
      <c r="AM31" s="94">
        <f t="shared" si="37"/>
        <v>0</v>
      </c>
      <c r="AN31" s="276">
        <v>0</v>
      </c>
      <c r="AO31" s="276">
        <v>-6449</v>
      </c>
      <c r="AP31" s="276">
        <v>-22942</v>
      </c>
      <c r="AQ31" s="385">
        <v>-2516</v>
      </c>
      <c r="AR31" s="94">
        <f t="shared" si="38"/>
        <v>-31907</v>
      </c>
      <c r="AS31" s="276">
        <v>-6410</v>
      </c>
      <c r="AT31" s="276">
        <v>-4197</v>
      </c>
      <c r="AU31" s="276">
        <v>-2520</v>
      </c>
      <c r="AV31" s="276">
        <v>-7189</v>
      </c>
      <c r="AW31" s="94">
        <f t="shared" si="39"/>
        <v>-20316</v>
      </c>
      <c r="AX31" s="276">
        <v>-7128</v>
      </c>
      <c r="AY31" s="276">
        <v>-14264</v>
      </c>
      <c r="AZ31" s="276">
        <v>-28513</v>
      </c>
      <c r="BA31" s="276">
        <v>-9874</v>
      </c>
      <c r="BB31" s="94">
        <f t="shared" si="40"/>
        <v>-59779</v>
      </c>
      <c r="BC31" s="276">
        <v>-43962</v>
      </c>
      <c r="BD31" s="112">
        <v>-30888</v>
      </c>
      <c r="BE31" s="112">
        <v>-17788</v>
      </c>
      <c r="BF31" s="112">
        <v>-22987</v>
      </c>
      <c r="BG31" s="94">
        <f t="shared" si="41"/>
        <v>-115625</v>
      </c>
      <c r="BH31" s="276">
        <v>-3590</v>
      </c>
      <c r="BI31" s="112">
        <v>-6527</v>
      </c>
      <c r="BJ31" s="112">
        <v>-17205</v>
      </c>
      <c r="BK31" s="112">
        <v>-27420</v>
      </c>
      <c r="BL31" s="94">
        <f t="shared" si="42"/>
        <v>-54742</v>
      </c>
      <c r="BM31" s="112">
        <f>-27271-10000</f>
        <v>-37271</v>
      </c>
      <c r="BN31" s="112">
        <v>-52476</v>
      </c>
      <c r="BO31" s="112">
        <v>-31582</v>
      </c>
      <c r="BP31" s="112">
        <v>-45289</v>
      </c>
      <c r="BQ31" s="94">
        <f t="shared" si="43"/>
        <v>-166618</v>
      </c>
      <c r="BR31" s="112">
        <v>-52755</v>
      </c>
      <c r="BS31" s="112">
        <f>-68054-BR31</f>
        <v>-15299</v>
      </c>
      <c r="BT31" s="112">
        <v>-7630</v>
      </c>
      <c r="BU31" s="112">
        <v>-1766</v>
      </c>
      <c r="BV31" s="94">
        <f t="shared" si="44"/>
        <v>-77450</v>
      </c>
      <c r="BW31" s="112">
        <v>-4592</v>
      </c>
      <c r="BX31" s="112">
        <v>17923</v>
      </c>
      <c r="BY31" s="112">
        <v>-15836</v>
      </c>
      <c r="BZ31" s="112">
        <v>-9507</v>
      </c>
      <c r="CA31" s="94">
        <f t="shared" si="45"/>
        <v>-12012</v>
      </c>
      <c r="CB31" s="276">
        <v>-10617</v>
      </c>
      <c r="CC31" s="276">
        <v>0</v>
      </c>
      <c r="CD31" s="112">
        <v>0</v>
      </c>
      <c r="CE31" s="112">
        <v>3960</v>
      </c>
      <c r="CF31" s="94">
        <f t="shared" si="46"/>
        <v>-6657</v>
      </c>
      <c r="CG31" s="112">
        <v>0</v>
      </c>
      <c r="CH31" s="276"/>
      <c r="CI31" s="276"/>
      <c r="CJ31" s="112">
        <v>-32448</v>
      </c>
      <c r="CK31" s="94">
        <f t="shared" si="47"/>
        <v>-32448</v>
      </c>
      <c r="CL31" s="112">
        <f>-71993</f>
        <v>-71993</v>
      </c>
      <c r="CM31" s="112">
        <v>-35293</v>
      </c>
      <c r="CN31" s="112">
        <v>-72680</v>
      </c>
      <c r="CO31" s="112">
        <v>-48499</v>
      </c>
      <c r="CP31" s="94">
        <f t="shared" si="48"/>
        <v>-228465</v>
      </c>
      <c r="CQ31" s="112">
        <v>0</v>
      </c>
      <c r="CR31" s="112">
        <v>0</v>
      </c>
      <c r="CS31" s="112">
        <v>0</v>
      </c>
      <c r="CT31" s="112">
        <v>0</v>
      </c>
      <c r="CU31" s="94">
        <f t="shared" si="49"/>
        <v>0</v>
      </c>
    </row>
    <row r="32" spans="2:99">
      <c r="B32" s="8"/>
      <c r="C32" s="7" t="s">
        <v>101</v>
      </c>
      <c r="D32" s="13">
        <v>-9005</v>
      </c>
      <c r="E32" s="12">
        <v>-13864</v>
      </c>
      <c r="F32" s="12">
        <f>-13923-E32</f>
        <v>-59</v>
      </c>
      <c r="G32" s="12">
        <f>-23868-F32-E32</f>
        <v>-9945</v>
      </c>
      <c r="H32" s="12">
        <f t="shared" si="33"/>
        <v>0</v>
      </c>
      <c r="I32" s="13">
        <v>-23868</v>
      </c>
      <c r="J32" s="12">
        <v>-525</v>
      </c>
      <c r="K32" s="12">
        <f>-2234-J32</f>
        <v>-1709</v>
      </c>
      <c r="L32" s="12">
        <f>-2934-K32-J32</f>
        <v>-700</v>
      </c>
      <c r="M32" s="12">
        <f t="shared" si="34"/>
        <v>0</v>
      </c>
      <c r="N32" s="13">
        <v>-2934</v>
      </c>
      <c r="O32" s="12">
        <v>-9623</v>
      </c>
      <c r="P32" s="12">
        <f>-9661-O32</f>
        <v>-38</v>
      </c>
      <c r="Q32" s="12">
        <f>-9661-P32-O32</f>
        <v>0</v>
      </c>
      <c r="R32" s="12">
        <f>S32-Q32-P32-O32</f>
        <v>0</v>
      </c>
      <c r="S32" s="13">
        <v>-9661</v>
      </c>
      <c r="T32" s="12">
        <v>0</v>
      </c>
      <c r="U32" s="12">
        <v>0</v>
      </c>
      <c r="V32" s="12">
        <v>0</v>
      </c>
      <c r="W32" s="12">
        <f>X32-V32-U32-T32</f>
        <v>-17298</v>
      </c>
      <c r="X32" s="13">
        <v>-17298</v>
      </c>
      <c r="Y32" s="12">
        <v>-5874</v>
      </c>
      <c r="Z32" s="112">
        <f>-15175-Y32</f>
        <v>-9301</v>
      </c>
      <c r="AA32" s="112">
        <f>-15229-Z32-Y32</f>
        <v>-54</v>
      </c>
      <c r="AB32" s="112">
        <v>0</v>
      </c>
      <c r="AC32" s="113">
        <f t="shared" si="35"/>
        <v>-15229</v>
      </c>
      <c r="AD32" s="112">
        <v>0</v>
      </c>
      <c r="AE32" s="112">
        <v>-181</v>
      </c>
      <c r="AF32" s="112">
        <v>0</v>
      </c>
      <c r="AG32" s="112">
        <v>0</v>
      </c>
      <c r="AH32" s="94">
        <f t="shared" si="36"/>
        <v>-181</v>
      </c>
      <c r="AI32" s="112">
        <v>0</v>
      </c>
      <c r="AJ32" s="276">
        <v>0</v>
      </c>
      <c r="AK32" s="112">
        <v>-3242</v>
      </c>
      <c r="AL32" s="276">
        <v>0</v>
      </c>
      <c r="AM32" s="94">
        <f t="shared" si="37"/>
        <v>-3242</v>
      </c>
      <c r="AN32" s="276">
        <v>-325</v>
      </c>
      <c r="AO32" s="276">
        <f>-6447-AN32</f>
        <v>-6122</v>
      </c>
      <c r="AP32" s="276">
        <v>0</v>
      </c>
      <c r="AQ32" s="385">
        <v>-333514</v>
      </c>
      <c r="AR32" s="94">
        <f t="shared" si="38"/>
        <v>-339961</v>
      </c>
      <c r="AS32" s="276">
        <v>-2000</v>
      </c>
      <c r="AT32" s="276">
        <v>-7394</v>
      </c>
      <c r="AU32" s="276">
        <v>0</v>
      </c>
      <c r="AV32" s="276">
        <v>0</v>
      </c>
      <c r="AW32" s="94">
        <f t="shared" si="39"/>
        <v>-9394</v>
      </c>
      <c r="AX32" s="276">
        <v>0</v>
      </c>
      <c r="AY32" s="276">
        <v>-5855</v>
      </c>
      <c r="AZ32" s="276">
        <v>-3906</v>
      </c>
      <c r="BA32" s="276">
        <v>-1583</v>
      </c>
      <c r="BB32" s="94">
        <f t="shared" si="40"/>
        <v>-11344</v>
      </c>
      <c r="BC32" s="276">
        <v>0</v>
      </c>
      <c r="BD32" s="112">
        <v>-157152</v>
      </c>
      <c r="BE32" s="112">
        <v>-10156</v>
      </c>
      <c r="BF32" s="112">
        <v>-10785</v>
      </c>
      <c r="BG32" s="94">
        <f t="shared" si="41"/>
        <v>-178093</v>
      </c>
      <c r="BH32" s="276">
        <v>-199130</v>
      </c>
      <c r="BI32" s="112">
        <v>-90</v>
      </c>
      <c r="BJ32" s="112">
        <v>-650</v>
      </c>
      <c r="BK32" s="112">
        <v>-18864</v>
      </c>
      <c r="BL32" s="94">
        <f t="shared" si="42"/>
        <v>-218734</v>
      </c>
      <c r="BM32" s="112">
        <v>-261</v>
      </c>
      <c r="BN32" s="112"/>
      <c r="BO32" s="112">
        <v>0</v>
      </c>
      <c r="BP32" s="112">
        <v>-1031</v>
      </c>
      <c r="BQ32" s="94">
        <f t="shared" si="43"/>
        <v>-1292</v>
      </c>
      <c r="BR32" s="112">
        <v>-12049</v>
      </c>
      <c r="BS32" s="849">
        <f>-1998902-BR32</f>
        <v>-1986853</v>
      </c>
      <c r="BT32" s="112">
        <v>-89492</v>
      </c>
      <c r="BU32" s="112">
        <v>-1312</v>
      </c>
      <c r="BV32" s="94">
        <f t="shared" si="44"/>
        <v>-2089706</v>
      </c>
      <c r="BW32" s="112">
        <v>-116698</v>
      </c>
      <c r="BX32" s="112">
        <v>-615</v>
      </c>
      <c r="BY32" s="112">
        <v>-393</v>
      </c>
      <c r="BZ32" s="112">
        <v>-46215</v>
      </c>
      <c r="CA32" s="94">
        <f t="shared" si="45"/>
        <v>-163921</v>
      </c>
      <c r="CB32" s="276">
        <v>-1875</v>
      </c>
      <c r="CC32" s="276">
        <v>0</v>
      </c>
      <c r="CD32" s="112">
        <v>-33665</v>
      </c>
      <c r="CE32" s="112">
        <v>-27219</v>
      </c>
      <c r="CF32" s="94">
        <f t="shared" si="46"/>
        <v>-62759</v>
      </c>
      <c r="CG32" s="112">
        <v>-1302</v>
      </c>
      <c r="CH32" s="276"/>
      <c r="CI32" s="276">
        <v>-93</v>
      </c>
      <c r="CJ32" s="112"/>
      <c r="CK32" s="94">
        <f t="shared" si="47"/>
        <v>-1395</v>
      </c>
      <c r="CL32" s="112">
        <v>-18024</v>
      </c>
      <c r="CM32" s="112">
        <v>-206</v>
      </c>
      <c r="CN32" s="112">
        <v>-16907</v>
      </c>
      <c r="CO32" s="112">
        <v>-48515</v>
      </c>
      <c r="CP32" s="94">
        <f t="shared" si="48"/>
        <v>-83652</v>
      </c>
      <c r="CQ32" s="112">
        <v>0</v>
      </c>
      <c r="CR32" s="112">
        <v>0</v>
      </c>
      <c r="CS32" s="112">
        <v>0</v>
      </c>
      <c r="CT32" s="112">
        <v>0</v>
      </c>
      <c r="CU32" s="94">
        <f t="shared" si="49"/>
        <v>0</v>
      </c>
    </row>
    <row r="33" spans="2:99">
      <c r="B33" s="8"/>
      <c r="C33" s="7" t="s">
        <v>102</v>
      </c>
      <c r="D33" s="13">
        <v>-3678</v>
      </c>
      <c r="E33" s="12">
        <v>-891</v>
      </c>
      <c r="F33" s="12">
        <f>-4912-E33</f>
        <v>-4021</v>
      </c>
      <c r="G33" s="12">
        <f>-17375-F33-E33</f>
        <v>-12463</v>
      </c>
      <c r="H33" s="12">
        <f t="shared" si="33"/>
        <v>-2768</v>
      </c>
      <c r="I33" s="13">
        <v>-20143</v>
      </c>
      <c r="J33" s="12">
        <v>-2333</v>
      </c>
      <c r="K33" s="12">
        <f>-4538-J33</f>
        <v>-2205</v>
      </c>
      <c r="L33" s="12">
        <f>-8632-K33-J33</f>
        <v>-4094</v>
      </c>
      <c r="M33" s="12">
        <f t="shared" si="34"/>
        <v>-3720</v>
      </c>
      <c r="N33" s="13">
        <v>-12352</v>
      </c>
      <c r="O33" s="12">
        <v>-2238</v>
      </c>
      <c r="P33" s="12">
        <f>-3493-O33</f>
        <v>-1255</v>
      </c>
      <c r="Q33" s="12">
        <f>-4197-P33-O33</f>
        <v>-704</v>
      </c>
      <c r="R33" s="12">
        <f>S33-Q33-P33-O33</f>
        <v>-733</v>
      </c>
      <c r="S33" s="13">
        <v>-4930</v>
      </c>
      <c r="T33" s="12">
        <v>-7804</v>
      </c>
      <c r="U33" s="12">
        <f>-8416-T33</f>
        <v>-612</v>
      </c>
      <c r="V33" s="12">
        <f>-9926-U33-T33</f>
        <v>-1510</v>
      </c>
      <c r="W33" s="12">
        <f>X33-V33-U33-T33</f>
        <v>-2352</v>
      </c>
      <c r="X33" s="13">
        <v>-12278</v>
      </c>
      <c r="Y33" s="12">
        <v>-1048</v>
      </c>
      <c r="Z33" s="274">
        <f>-4334-Y33</f>
        <v>-3286</v>
      </c>
      <c r="AA33" s="274">
        <f>-6351-Z33-Y33</f>
        <v>-2017</v>
      </c>
      <c r="AB33" s="274">
        <v>-2751</v>
      </c>
      <c r="AC33" s="113">
        <f t="shared" si="35"/>
        <v>-9102</v>
      </c>
      <c r="AD33" s="274">
        <v>-5089</v>
      </c>
      <c r="AE33" s="274">
        <f>-13839-AD33</f>
        <v>-8750</v>
      </c>
      <c r="AF33" s="274">
        <f>-20262-AE33-AD33</f>
        <v>-6423</v>
      </c>
      <c r="AG33" s="274">
        <v>-6596</v>
      </c>
      <c r="AH33" s="94">
        <f>SUM(AD33:AG33)</f>
        <v>-26858</v>
      </c>
      <c r="AI33" s="274">
        <v>-3630</v>
      </c>
      <c r="AJ33" s="274">
        <f>-6477-AI33</f>
        <v>-2847</v>
      </c>
      <c r="AK33" s="274">
        <v>-1560</v>
      </c>
      <c r="AL33" s="274">
        <v>-1306</v>
      </c>
      <c r="AM33" s="94">
        <f t="shared" si="37"/>
        <v>-9343</v>
      </c>
      <c r="AN33" s="276">
        <v>-1909</v>
      </c>
      <c r="AO33" s="276">
        <f>-6126-AN33</f>
        <v>-4217</v>
      </c>
      <c r="AP33" s="274">
        <v>-2399</v>
      </c>
      <c r="AQ33" s="386">
        <v>-3976</v>
      </c>
      <c r="AR33" s="94">
        <f t="shared" si="38"/>
        <v>-12501</v>
      </c>
      <c r="AS33" s="274">
        <v>-16722</v>
      </c>
      <c r="AT33" s="274">
        <v>-5237</v>
      </c>
      <c r="AU33" s="274">
        <v>-7570</v>
      </c>
      <c r="AV33" s="274">
        <v>-8197</v>
      </c>
      <c r="AW33" s="94">
        <f t="shared" si="39"/>
        <v>-37726</v>
      </c>
      <c r="AX33" s="274">
        <v>-19820</v>
      </c>
      <c r="AY33" s="274">
        <v>-10303</v>
      </c>
      <c r="AZ33" s="274">
        <v>-7611</v>
      </c>
      <c r="BA33" s="274">
        <v>-5323</v>
      </c>
      <c r="BB33" s="94">
        <f t="shared" si="40"/>
        <v>-43057</v>
      </c>
      <c r="BC33" s="274">
        <v>-8895</v>
      </c>
      <c r="BD33" s="274">
        <v>-6057</v>
      </c>
      <c r="BE33" s="274">
        <v>-8508</v>
      </c>
      <c r="BF33" s="274">
        <v>-3964</v>
      </c>
      <c r="BG33" s="94">
        <f t="shared" si="41"/>
        <v>-27424</v>
      </c>
      <c r="BH33" s="274">
        <v>-12320</v>
      </c>
      <c r="BI33" s="274">
        <v>-11732</v>
      </c>
      <c r="BJ33" s="114">
        <v>-4781</v>
      </c>
      <c r="BK33" s="114">
        <v>-8403</v>
      </c>
      <c r="BL33" s="692">
        <f t="shared" si="42"/>
        <v>-37236</v>
      </c>
      <c r="BM33" s="691">
        <v>-9349</v>
      </c>
      <c r="BN33" s="691">
        <v>-6919</v>
      </c>
      <c r="BO33" s="691">
        <v>-2796</v>
      </c>
      <c r="BP33" s="691">
        <v>-3626</v>
      </c>
      <c r="BQ33" s="692">
        <f t="shared" si="43"/>
        <v>-22690</v>
      </c>
      <c r="BR33" s="691">
        <f>-6564</f>
        <v>-6564</v>
      </c>
      <c r="BS33" s="274">
        <f>-14223-BR33</f>
        <v>-7659</v>
      </c>
      <c r="BT33" s="274">
        <v>-6547</v>
      </c>
      <c r="BU33" s="274">
        <v>-13149</v>
      </c>
      <c r="BV33" s="692">
        <f t="shared" si="44"/>
        <v>-33919</v>
      </c>
      <c r="BW33" s="274">
        <v>-4579</v>
      </c>
      <c r="BX33" s="274">
        <v>-8178</v>
      </c>
      <c r="BY33" s="274">
        <v>-4684</v>
      </c>
      <c r="BZ33" s="274">
        <v>-5088</v>
      </c>
      <c r="CA33" s="692">
        <f t="shared" si="45"/>
        <v>-22529</v>
      </c>
      <c r="CB33" s="274">
        <v>-2020</v>
      </c>
      <c r="CC33" s="274">
        <v>-4350</v>
      </c>
      <c r="CD33" s="274">
        <v>-6136</v>
      </c>
      <c r="CE33" s="274">
        <v>-8013</v>
      </c>
      <c r="CF33" s="692">
        <f t="shared" si="46"/>
        <v>-20519</v>
      </c>
      <c r="CG33" s="691">
        <v>-7282</v>
      </c>
      <c r="CH33" s="274">
        <v>-6568</v>
      </c>
      <c r="CI33" s="274">
        <f>-2884</f>
        <v>-2884</v>
      </c>
      <c r="CJ33" s="274">
        <v>-3801</v>
      </c>
      <c r="CK33" s="692">
        <f t="shared" si="47"/>
        <v>-20535</v>
      </c>
      <c r="CL33" s="691">
        <f>-2335</f>
        <v>-2335</v>
      </c>
      <c r="CM33" s="274">
        <v>-5487</v>
      </c>
      <c r="CN33" s="274">
        <v>-3876</v>
      </c>
      <c r="CO33" s="112">
        <v>-4317</v>
      </c>
      <c r="CP33" s="692">
        <f t="shared" si="48"/>
        <v>-16015</v>
      </c>
      <c r="CQ33" s="690">
        <v>-2500</v>
      </c>
      <c r="CR33" s="690">
        <v>-2500</v>
      </c>
      <c r="CS33" s="690">
        <v>-2500</v>
      </c>
      <c r="CT33" s="690">
        <v>-2500</v>
      </c>
      <c r="CU33" s="692">
        <f t="shared" si="49"/>
        <v>-10000</v>
      </c>
    </row>
    <row r="34" spans="2:99">
      <c r="B34" s="8"/>
      <c r="C34" s="7" t="s">
        <v>453</v>
      </c>
      <c r="D34" s="13">
        <v>-167</v>
      </c>
      <c r="E34" s="12">
        <v>0</v>
      </c>
      <c r="F34" s="12">
        <v>0</v>
      </c>
      <c r="G34" s="12">
        <v>0</v>
      </c>
      <c r="H34" s="12">
        <f t="shared" si="33"/>
        <v>0</v>
      </c>
      <c r="I34" s="13">
        <v>0</v>
      </c>
      <c r="J34" s="12">
        <v>0</v>
      </c>
      <c r="K34" s="12">
        <v>0</v>
      </c>
      <c r="L34" s="12">
        <v>0</v>
      </c>
      <c r="M34" s="12">
        <f t="shared" si="34"/>
        <v>0</v>
      </c>
      <c r="N34" s="13">
        <v>0</v>
      </c>
      <c r="O34" s="12">
        <v>0</v>
      </c>
      <c r="P34" s="12">
        <v>0</v>
      </c>
      <c r="Q34" s="12">
        <v>0</v>
      </c>
      <c r="R34" s="12">
        <v>0</v>
      </c>
      <c r="S34" s="13">
        <v>0</v>
      </c>
      <c r="T34" s="12">
        <v>0</v>
      </c>
      <c r="U34" s="12">
        <v>0</v>
      </c>
      <c r="V34" s="12">
        <v>0</v>
      </c>
      <c r="W34" s="12">
        <v>0</v>
      </c>
      <c r="X34" s="13">
        <v>0</v>
      </c>
      <c r="Y34" s="12">
        <v>0</v>
      </c>
      <c r="Z34" s="112">
        <v>0</v>
      </c>
      <c r="AA34" s="112">
        <v>0</v>
      </c>
      <c r="AB34" s="112">
        <v>0</v>
      </c>
      <c r="AC34" s="113">
        <f t="shared" si="35"/>
        <v>0</v>
      </c>
      <c r="AD34" s="112">
        <v>0</v>
      </c>
      <c r="AE34" s="112">
        <v>0</v>
      </c>
      <c r="AF34" s="112">
        <v>0</v>
      </c>
      <c r="AG34" s="112">
        <v>0</v>
      </c>
      <c r="AH34" s="94">
        <f t="shared" si="36"/>
        <v>0</v>
      </c>
      <c r="AI34" s="112">
        <v>0</v>
      </c>
      <c r="AJ34" s="276">
        <v>0</v>
      </c>
      <c r="AK34" s="112">
        <v>0</v>
      </c>
      <c r="AL34" s="276">
        <v>0</v>
      </c>
      <c r="AM34" s="94">
        <f t="shared" si="37"/>
        <v>0</v>
      </c>
      <c r="AN34" s="276">
        <v>0</v>
      </c>
      <c r="AO34" s="276">
        <v>0</v>
      </c>
      <c r="AP34" s="276">
        <v>0</v>
      </c>
      <c r="AQ34" s="385">
        <v>900</v>
      </c>
      <c r="AR34" s="94">
        <f t="shared" si="38"/>
        <v>900</v>
      </c>
      <c r="AS34" s="276">
        <v>0</v>
      </c>
      <c r="AT34" s="276">
        <v>0</v>
      </c>
      <c r="AU34" s="276">
        <v>0</v>
      </c>
      <c r="AV34" s="276">
        <v>0</v>
      </c>
      <c r="AW34" s="94">
        <f t="shared" si="39"/>
        <v>0</v>
      </c>
      <c r="AX34" s="276">
        <v>0</v>
      </c>
      <c r="AY34" s="276">
        <v>0</v>
      </c>
      <c r="AZ34" s="276">
        <v>0</v>
      </c>
      <c r="BA34" s="276">
        <v>0</v>
      </c>
      <c r="BB34" s="94">
        <f t="shared" si="40"/>
        <v>0</v>
      </c>
      <c r="BC34" s="276">
        <v>0</v>
      </c>
      <c r="BD34" s="112">
        <v>0</v>
      </c>
      <c r="BE34" s="112">
        <v>0</v>
      </c>
      <c r="BF34" s="112">
        <v>0</v>
      </c>
      <c r="BG34" s="94">
        <f t="shared" si="41"/>
        <v>0</v>
      </c>
      <c r="BH34" s="276">
        <v>-690</v>
      </c>
      <c r="BI34" s="112">
        <v>-1542</v>
      </c>
      <c r="BJ34" s="112">
        <v>-1308</v>
      </c>
      <c r="BK34" s="112">
        <v>-1264</v>
      </c>
      <c r="BL34" s="94">
        <f t="shared" si="42"/>
        <v>-4804</v>
      </c>
      <c r="BM34" s="112">
        <v>-1315</v>
      </c>
      <c r="BN34" s="112">
        <v>-1380</v>
      </c>
      <c r="BO34" s="112">
        <v>-1621</v>
      </c>
      <c r="BP34" s="112">
        <v>-1460</v>
      </c>
      <c r="BQ34" s="94">
        <f t="shared" si="43"/>
        <v>-5776</v>
      </c>
      <c r="BR34" s="112">
        <v>-3476</v>
      </c>
      <c r="BS34" s="112">
        <f>-8947-BR34</f>
        <v>-5471</v>
      </c>
      <c r="BT34" s="112">
        <v>-6019</v>
      </c>
      <c r="BU34" s="112">
        <v>-6727</v>
      </c>
      <c r="BV34" s="94">
        <f t="shared" si="44"/>
        <v>-21693</v>
      </c>
      <c r="BW34" s="112">
        <v>-7947</v>
      </c>
      <c r="BX34" s="112">
        <v>-8516</v>
      </c>
      <c r="BY34" s="112">
        <v>-9094</v>
      </c>
      <c r="BZ34" s="112">
        <v>-2065</v>
      </c>
      <c r="CA34" s="94">
        <f t="shared" si="45"/>
        <v>-27622</v>
      </c>
      <c r="CB34" s="276">
        <v>-9079</v>
      </c>
      <c r="CC34" s="276">
        <v>-9674</v>
      </c>
      <c r="CD34" s="112">
        <v>-8694</v>
      </c>
      <c r="CE34" s="112">
        <v>-5043</v>
      </c>
      <c r="CF34" s="94">
        <f t="shared" si="46"/>
        <v>-32490</v>
      </c>
      <c r="CG34" s="112">
        <v>-7386</v>
      </c>
      <c r="CH34" s="276">
        <v>-9107</v>
      </c>
      <c r="CI34" s="276">
        <f>-7919</f>
        <v>-7919</v>
      </c>
      <c r="CJ34" s="112">
        <v>-4989</v>
      </c>
      <c r="CK34" s="94">
        <f t="shared" si="47"/>
        <v>-29401</v>
      </c>
      <c r="CL34" s="112">
        <v>-5550</v>
      </c>
      <c r="CM34" s="112">
        <v>-4850</v>
      </c>
      <c r="CN34" s="112">
        <v>-3738</v>
      </c>
      <c r="CO34" s="112">
        <v>-2640</v>
      </c>
      <c r="CP34" s="94">
        <f t="shared" si="48"/>
        <v>-16778</v>
      </c>
      <c r="CQ34" s="112">
        <v>-3750</v>
      </c>
      <c r="CR34" s="112">
        <v>-3750</v>
      </c>
      <c r="CS34" s="112">
        <v>-3750</v>
      </c>
      <c r="CT34" s="112">
        <v>-3750</v>
      </c>
      <c r="CU34" s="94">
        <f t="shared" si="49"/>
        <v>-15000</v>
      </c>
    </row>
    <row r="35" spans="2:99">
      <c r="B35" s="8"/>
      <c r="C35" s="7" t="s">
        <v>103</v>
      </c>
      <c r="D35" s="13">
        <v>0</v>
      </c>
      <c r="E35" s="12">
        <v>0</v>
      </c>
      <c r="F35" s="12">
        <v>0</v>
      </c>
      <c r="G35" s="12">
        <f>-1387-F35-E35</f>
        <v>-1387</v>
      </c>
      <c r="H35" s="12">
        <f t="shared" si="33"/>
        <v>0</v>
      </c>
      <c r="I35" s="13">
        <v>-1387</v>
      </c>
      <c r="J35" s="12">
        <v>0</v>
      </c>
      <c r="K35" s="12">
        <v>0</v>
      </c>
      <c r="L35" s="12">
        <v>0</v>
      </c>
      <c r="M35" s="12">
        <f t="shared" si="34"/>
        <v>0</v>
      </c>
      <c r="N35" s="13">
        <v>0</v>
      </c>
      <c r="O35" s="12">
        <v>0</v>
      </c>
      <c r="P35" s="12">
        <v>0</v>
      </c>
      <c r="Q35" s="12">
        <v>0</v>
      </c>
      <c r="R35" s="12">
        <v>0</v>
      </c>
      <c r="S35" s="13">
        <v>0</v>
      </c>
      <c r="T35" s="12">
        <v>0</v>
      </c>
      <c r="U35" s="12">
        <v>0</v>
      </c>
      <c r="V35" s="12">
        <v>0</v>
      </c>
      <c r="W35" s="12">
        <v>0</v>
      </c>
      <c r="X35" s="13">
        <v>0</v>
      </c>
      <c r="Y35" s="12">
        <v>0</v>
      </c>
      <c r="Z35" s="112">
        <v>0</v>
      </c>
      <c r="AA35" s="112">
        <v>0</v>
      </c>
      <c r="AB35" s="112">
        <v>0</v>
      </c>
      <c r="AC35" s="113">
        <f t="shared" si="35"/>
        <v>0</v>
      </c>
      <c r="AD35" s="112">
        <v>0</v>
      </c>
      <c r="AE35" s="112">
        <v>0</v>
      </c>
      <c r="AF35" s="112">
        <v>0</v>
      </c>
      <c r="AG35" s="112">
        <v>0</v>
      </c>
      <c r="AH35" s="94">
        <f t="shared" si="36"/>
        <v>0</v>
      </c>
      <c r="AI35" s="112">
        <v>0</v>
      </c>
      <c r="AJ35" s="112">
        <v>0</v>
      </c>
      <c r="AK35" s="112">
        <v>0</v>
      </c>
      <c r="AL35" s="276">
        <v>0</v>
      </c>
      <c r="AM35" s="94">
        <f t="shared" si="37"/>
        <v>0</v>
      </c>
      <c r="AN35" s="276">
        <v>0</v>
      </c>
      <c r="AO35" s="276">
        <v>0</v>
      </c>
      <c r="AP35" s="276">
        <v>0</v>
      </c>
      <c r="AQ35" s="385">
        <v>0</v>
      </c>
      <c r="AR35" s="94">
        <f t="shared" si="38"/>
        <v>0</v>
      </c>
      <c r="AS35" s="276">
        <v>0</v>
      </c>
      <c r="AT35" s="276">
        <v>0</v>
      </c>
      <c r="AU35" s="276">
        <v>0</v>
      </c>
      <c r="AV35" s="276">
        <v>0</v>
      </c>
      <c r="AW35" s="94">
        <f t="shared" si="39"/>
        <v>0</v>
      </c>
      <c r="AX35" s="276">
        <v>0</v>
      </c>
      <c r="AY35" s="276">
        <v>0</v>
      </c>
      <c r="AZ35" s="276">
        <v>0</v>
      </c>
      <c r="BA35" s="276">
        <v>0</v>
      </c>
      <c r="BB35" s="94">
        <f t="shared" si="40"/>
        <v>0</v>
      </c>
      <c r="BC35" s="276">
        <v>0</v>
      </c>
      <c r="BD35" s="112">
        <v>0</v>
      </c>
      <c r="BE35" s="112">
        <v>0</v>
      </c>
      <c r="BF35" s="112">
        <v>0</v>
      </c>
      <c r="BG35" s="94">
        <f t="shared" si="41"/>
        <v>0</v>
      </c>
      <c r="BH35" s="276">
        <v>0</v>
      </c>
      <c r="BI35" s="112">
        <v>0</v>
      </c>
      <c r="BJ35" s="112">
        <v>0</v>
      </c>
      <c r="BK35" s="112">
        <v>0</v>
      </c>
      <c r="BL35" s="94">
        <f t="shared" si="42"/>
        <v>0</v>
      </c>
      <c r="BM35" s="112">
        <v>0</v>
      </c>
      <c r="BN35" s="112">
        <v>0</v>
      </c>
      <c r="BO35" s="112">
        <v>0</v>
      </c>
      <c r="BP35" s="112">
        <v>0</v>
      </c>
      <c r="BQ35" s="94">
        <f t="shared" si="43"/>
        <v>0</v>
      </c>
      <c r="BR35" s="112">
        <v>0</v>
      </c>
      <c r="BS35" s="112">
        <v>0</v>
      </c>
      <c r="BT35" s="112">
        <v>0</v>
      </c>
      <c r="BU35" s="112">
        <v>0</v>
      </c>
      <c r="BV35" s="94">
        <f t="shared" si="44"/>
        <v>0</v>
      </c>
      <c r="BW35" s="112">
        <v>0</v>
      </c>
      <c r="BX35" s="112">
        <v>0</v>
      </c>
      <c r="BY35" s="112">
        <v>0</v>
      </c>
      <c r="BZ35" s="112">
        <v>0</v>
      </c>
      <c r="CA35" s="94">
        <f t="shared" si="45"/>
        <v>0</v>
      </c>
      <c r="CB35" s="276">
        <v>0</v>
      </c>
      <c r="CC35" s="276">
        <v>0</v>
      </c>
      <c r="CD35" s="112">
        <v>0</v>
      </c>
      <c r="CE35" s="112">
        <v>0</v>
      </c>
      <c r="CF35" s="94">
        <f t="shared" si="46"/>
        <v>0</v>
      </c>
      <c r="CG35" s="112">
        <v>0</v>
      </c>
      <c r="CH35" s="276"/>
      <c r="CI35" s="276"/>
      <c r="CJ35" s="112"/>
      <c r="CK35" s="94">
        <f t="shared" si="47"/>
        <v>0</v>
      </c>
      <c r="CL35" s="112"/>
      <c r="CM35" s="112">
        <v>0</v>
      </c>
      <c r="CN35" s="112">
        <v>0</v>
      </c>
      <c r="CO35" s="112">
        <v>0</v>
      </c>
      <c r="CP35" s="94">
        <f t="shared" si="48"/>
        <v>0</v>
      </c>
      <c r="CQ35" s="112">
        <v>0</v>
      </c>
      <c r="CR35" s="112">
        <v>0</v>
      </c>
      <c r="CS35" s="112">
        <v>0</v>
      </c>
      <c r="CT35" s="112">
        <v>0</v>
      </c>
      <c r="CU35" s="94">
        <f t="shared" si="49"/>
        <v>0</v>
      </c>
    </row>
    <row r="36" spans="2:99">
      <c r="B36" s="8"/>
      <c r="C36" s="7" t="s">
        <v>104</v>
      </c>
      <c r="D36" s="13">
        <v>500</v>
      </c>
      <c r="E36" s="12">
        <v>-620</v>
      </c>
      <c r="F36" s="12">
        <f>-620-E36</f>
        <v>0</v>
      </c>
      <c r="G36" s="12">
        <f>-620-F36-E36</f>
        <v>0</v>
      </c>
      <c r="H36" s="12">
        <f t="shared" si="33"/>
        <v>0</v>
      </c>
      <c r="I36" s="13">
        <v>-620</v>
      </c>
      <c r="J36" s="12">
        <v>0</v>
      </c>
      <c r="K36" s="12">
        <f>-918-J36</f>
        <v>-918</v>
      </c>
      <c r="L36" s="12">
        <f>-918-K36-J36</f>
        <v>0</v>
      </c>
      <c r="M36" s="12">
        <f t="shared" si="34"/>
        <v>0</v>
      </c>
      <c r="N36" s="13">
        <v>-918</v>
      </c>
      <c r="O36" s="12">
        <v>1000</v>
      </c>
      <c r="P36" s="12">
        <f>1000-O36</f>
        <v>0</v>
      </c>
      <c r="Q36" s="12">
        <f>6000-P36-O36</f>
        <v>5000</v>
      </c>
      <c r="R36" s="12">
        <f>S36-Q36-P36-O36</f>
        <v>0</v>
      </c>
      <c r="S36" s="13">
        <v>6000</v>
      </c>
      <c r="T36" s="12">
        <v>0</v>
      </c>
      <c r="U36" s="12">
        <v>0</v>
      </c>
      <c r="V36" s="12">
        <v>0</v>
      </c>
      <c r="W36" s="12">
        <v>0</v>
      </c>
      <c r="X36" s="13">
        <v>0</v>
      </c>
      <c r="Y36" s="12">
        <v>0</v>
      </c>
      <c r="Z36" s="112">
        <v>0</v>
      </c>
      <c r="AA36" s="112">
        <v>0</v>
      </c>
      <c r="AB36" s="112">
        <v>0</v>
      </c>
      <c r="AC36" s="113">
        <f t="shared" si="35"/>
        <v>0</v>
      </c>
      <c r="AD36" s="112">
        <v>0</v>
      </c>
      <c r="AE36" s="112">
        <v>0</v>
      </c>
      <c r="AF36" s="112">
        <v>0</v>
      </c>
      <c r="AG36" s="112">
        <v>0</v>
      </c>
      <c r="AH36" s="94">
        <f t="shared" si="36"/>
        <v>0</v>
      </c>
      <c r="AI36" s="112">
        <v>0</v>
      </c>
      <c r="AJ36" s="112">
        <v>0</v>
      </c>
      <c r="AK36" s="112">
        <v>0</v>
      </c>
      <c r="AL36" s="276">
        <v>0</v>
      </c>
      <c r="AM36" s="94">
        <f t="shared" si="37"/>
        <v>0</v>
      </c>
      <c r="AN36" s="276">
        <v>-15000</v>
      </c>
      <c r="AO36" s="276">
        <v>0</v>
      </c>
      <c r="AP36" s="276">
        <v>0</v>
      </c>
      <c r="AQ36" s="385">
        <v>0</v>
      </c>
      <c r="AR36" s="94">
        <f t="shared" si="38"/>
        <v>-15000</v>
      </c>
      <c r="AS36" s="276"/>
      <c r="AT36" s="276">
        <v>0</v>
      </c>
      <c r="AU36" s="276">
        <v>0</v>
      </c>
      <c r="AV36" s="276">
        <v>0</v>
      </c>
      <c r="AW36" s="94">
        <f t="shared" si="39"/>
        <v>0</v>
      </c>
      <c r="AX36" s="276">
        <v>0</v>
      </c>
      <c r="AY36" s="276">
        <v>0</v>
      </c>
      <c r="AZ36" s="276">
        <v>0</v>
      </c>
      <c r="BA36" s="276">
        <v>0</v>
      </c>
      <c r="BB36" s="94">
        <f t="shared" si="40"/>
        <v>0</v>
      </c>
      <c r="BC36" s="276">
        <v>0</v>
      </c>
      <c r="BD36" s="112">
        <v>0</v>
      </c>
      <c r="BE36" s="112">
        <v>0</v>
      </c>
      <c r="BF36" s="112">
        <v>0</v>
      </c>
      <c r="BG36" s="94">
        <f t="shared" si="41"/>
        <v>0</v>
      </c>
      <c r="BH36" s="276">
        <v>0</v>
      </c>
      <c r="BI36" s="112">
        <v>0</v>
      </c>
      <c r="BJ36" s="112">
        <v>0</v>
      </c>
      <c r="BK36" s="112">
        <v>0</v>
      </c>
      <c r="BL36" s="94">
        <f t="shared" si="42"/>
        <v>0</v>
      </c>
      <c r="BM36" s="112">
        <v>0</v>
      </c>
      <c r="BN36" s="112">
        <v>0</v>
      </c>
      <c r="BO36" s="112">
        <v>0</v>
      </c>
      <c r="BP36" s="112">
        <v>0</v>
      </c>
      <c r="BQ36" s="94">
        <f t="shared" si="43"/>
        <v>0</v>
      </c>
      <c r="BR36" s="112">
        <v>0</v>
      </c>
      <c r="BS36" s="112">
        <v>0</v>
      </c>
      <c r="BT36" s="112">
        <v>0</v>
      </c>
      <c r="BU36" s="112">
        <v>0</v>
      </c>
      <c r="BV36" s="94">
        <f t="shared" si="44"/>
        <v>0</v>
      </c>
      <c r="BW36" s="112">
        <v>0</v>
      </c>
      <c r="BX36" s="112">
        <v>0</v>
      </c>
      <c r="BY36" s="112">
        <v>0</v>
      </c>
      <c r="BZ36" s="112">
        <v>0</v>
      </c>
      <c r="CA36" s="94">
        <f t="shared" si="45"/>
        <v>0</v>
      </c>
      <c r="CB36" s="276">
        <v>0</v>
      </c>
      <c r="CC36" s="276">
        <v>0</v>
      </c>
      <c r="CD36" s="112">
        <v>0</v>
      </c>
      <c r="CE36" s="112">
        <v>0</v>
      </c>
      <c r="CF36" s="94">
        <f t="shared" si="46"/>
        <v>0</v>
      </c>
      <c r="CG36" s="112">
        <v>0</v>
      </c>
      <c r="CH36" s="276"/>
      <c r="CI36" s="276"/>
      <c r="CJ36" s="112"/>
      <c r="CK36" s="94">
        <f t="shared" si="47"/>
        <v>0</v>
      </c>
      <c r="CL36" s="112"/>
      <c r="CM36" s="112">
        <v>0</v>
      </c>
      <c r="CN36" s="112">
        <v>0</v>
      </c>
      <c r="CO36" s="112">
        <v>0</v>
      </c>
      <c r="CP36" s="94">
        <f t="shared" si="48"/>
        <v>0</v>
      </c>
      <c r="CQ36" s="112">
        <v>0</v>
      </c>
      <c r="CR36" s="112">
        <v>0</v>
      </c>
      <c r="CS36" s="112">
        <v>0</v>
      </c>
      <c r="CT36" s="112">
        <v>0</v>
      </c>
      <c r="CU36" s="94">
        <f t="shared" si="49"/>
        <v>0</v>
      </c>
    </row>
    <row r="37" spans="2:99">
      <c r="B37" s="8"/>
      <c r="C37" s="7" t="s">
        <v>105</v>
      </c>
      <c r="D37" s="13">
        <v>140</v>
      </c>
      <c r="E37" s="12">
        <v>-400</v>
      </c>
      <c r="F37" s="12">
        <f>9-E37</f>
        <v>409</v>
      </c>
      <c r="G37" s="12">
        <f>-38-F37-E37</f>
        <v>-47</v>
      </c>
      <c r="H37" s="12">
        <f t="shared" si="33"/>
        <v>62</v>
      </c>
      <c r="I37" s="13">
        <v>24</v>
      </c>
      <c r="J37" s="12">
        <v>-6</v>
      </c>
      <c r="K37" s="12">
        <f>8-J37</f>
        <v>14</v>
      </c>
      <c r="L37" s="12">
        <f>11-K37-J37</f>
        <v>3</v>
      </c>
      <c r="M37" s="12">
        <f t="shared" si="34"/>
        <v>35</v>
      </c>
      <c r="N37" s="13">
        <v>46</v>
      </c>
      <c r="O37" s="12">
        <v>-25</v>
      </c>
      <c r="P37" s="12">
        <f>3-O37</f>
        <v>28</v>
      </c>
      <c r="Q37" s="12">
        <f>-3-P37-O37</f>
        <v>-6</v>
      </c>
      <c r="R37" s="12">
        <f>S37-Q37-P37-O37</f>
        <v>-175</v>
      </c>
      <c r="S37" s="13">
        <v>-178</v>
      </c>
      <c r="T37" s="12">
        <v>214</v>
      </c>
      <c r="U37" s="12">
        <f>214-T37</f>
        <v>0</v>
      </c>
      <c r="V37" s="12">
        <f>199-U37-T37</f>
        <v>-15</v>
      </c>
      <c r="W37" s="12">
        <f>X37-V37-U37-T37</f>
        <v>518</v>
      </c>
      <c r="X37" s="13">
        <v>717</v>
      </c>
      <c r="Y37" s="12">
        <v>0</v>
      </c>
      <c r="Z37" s="112">
        <v>-61</v>
      </c>
      <c r="AA37" s="112">
        <f>41-Z37</f>
        <v>102</v>
      </c>
      <c r="AB37" s="112">
        <v>-70</v>
      </c>
      <c r="AC37" s="113">
        <f t="shared" si="35"/>
        <v>-29</v>
      </c>
      <c r="AD37" s="112">
        <v>239</v>
      </c>
      <c r="AE37" s="112">
        <f>295-AD37</f>
        <v>56</v>
      </c>
      <c r="AF37" s="112">
        <f>271-AE37-AD37</f>
        <v>-24</v>
      </c>
      <c r="AG37" s="112">
        <v>20</v>
      </c>
      <c r="AH37" s="94">
        <f>SUM(AD37:AG37)</f>
        <v>291</v>
      </c>
      <c r="AI37" s="112">
        <v>300</v>
      </c>
      <c r="AJ37" s="112">
        <f>335-AI37</f>
        <v>35</v>
      </c>
      <c r="AK37" s="112">
        <v>-116</v>
      </c>
      <c r="AL37" s="276">
        <v>3</v>
      </c>
      <c r="AM37" s="94">
        <f t="shared" si="37"/>
        <v>222</v>
      </c>
      <c r="AN37" s="276">
        <v>0</v>
      </c>
      <c r="AO37" s="276">
        <v>-9</v>
      </c>
      <c r="AP37" s="276">
        <v>14</v>
      </c>
      <c r="AQ37" s="385">
        <v>5</v>
      </c>
      <c r="AR37" s="94">
        <f t="shared" si="38"/>
        <v>10</v>
      </c>
      <c r="AS37" s="276">
        <v>-49</v>
      </c>
      <c r="AT37" s="276">
        <v>-232</v>
      </c>
      <c r="AU37" s="276">
        <v>229</v>
      </c>
      <c r="AV37" s="276">
        <v>-69</v>
      </c>
      <c r="AW37" s="94">
        <f t="shared" si="39"/>
        <v>-121</v>
      </c>
      <c r="AX37" s="276">
        <v>-16</v>
      </c>
      <c r="AY37" s="276">
        <v>-52</v>
      </c>
      <c r="AZ37" s="276">
        <v>486</v>
      </c>
      <c r="BA37" s="112">
        <v>-419</v>
      </c>
      <c r="BB37" s="94">
        <f t="shared" si="40"/>
        <v>-1</v>
      </c>
      <c r="BC37" s="276">
        <v>743</v>
      </c>
      <c r="BD37" s="112">
        <v>-929</v>
      </c>
      <c r="BE37" s="112">
        <v>1043</v>
      </c>
      <c r="BF37" s="112">
        <v>825</v>
      </c>
      <c r="BG37" s="94">
        <f t="shared" si="41"/>
        <v>1682</v>
      </c>
      <c r="BH37" s="276">
        <v>564</v>
      </c>
      <c r="BI37" s="112">
        <v>-132</v>
      </c>
      <c r="BJ37" s="112">
        <v>-925</v>
      </c>
      <c r="BK37" s="112">
        <v>198</v>
      </c>
      <c r="BL37" s="94">
        <f t="shared" si="42"/>
        <v>-295</v>
      </c>
      <c r="BM37" s="112">
        <v>-48</v>
      </c>
      <c r="BN37" s="112">
        <v>-280</v>
      </c>
      <c r="BO37" s="112">
        <v>341</v>
      </c>
      <c r="BP37" s="112">
        <v>301</v>
      </c>
      <c r="BQ37" s="94">
        <f t="shared" si="43"/>
        <v>314</v>
      </c>
      <c r="BR37" s="112">
        <v>119</v>
      </c>
      <c r="BS37" s="112">
        <f>39-BR37</f>
        <v>-80</v>
      </c>
      <c r="BT37" s="112">
        <v>424</v>
      </c>
      <c r="BU37" s="112">
        <v>-79</v>
      </c>
      <c r="BV37" s="94">
        <f t="shared" si="44"/>
        <v>384</v>
      </c>
      <c r="BW37" s="112">
        <v>-29</v>
      </c>
      <c r="BX37" s="112">
        <v>181</v>
      </c>
      <c r="BY37" s="112">
        <v>174</v>
      </c>
      <c r="BZ37" s="112">
        <v>117</v>
      </c>
      <c r="CA37" s="94">
        <f t="shared" si="45"/>
        <v>443</v>
      </c>
      <c r="CB37" s="112">
        <v>16</v>
      </c>
      <c r="CC37" s="112">
        <v>0</v>
      </c>
      <c r="CD37" s="112">
        <v>32</v>
      </c>
      <c r="CE37" s="112">
        <v>-35</v>
      </c>
      <c r="CF37" s="94">
        <f t="shared" si="46"/>
        <v>13</v>
      </c>
      <c r="CG37" s="112">
        <v>18</v>
      </c>
      <c r="CH37" s="112">
        <v>3</v>
      </c>
      <c r="CI37" s="112">
        <v>147</v>
      </c>
      <c r="CJ37" s="112">
        <v>5</v>
      </c>
      <c r="CK37" s="94">
        <f t="shared" si="47"/>
        <v>173</v>
      </c>
      <c r="CL37" s="112">
        <v>-23</v>
      </c>
      <c r="CM37" s="112">
        <v>549</v>
      </c>
      <c r="CN37" s="112">
        <v>-1</v>
      </c>
      <c r="CO37" s="112">
        <v>1</v>
      </c>
      <c r="CP37" s="94">
        <f t="shared" si="48"/>
        <v>526</v>
      </c>
      <c r="CQ37" s="112">
        <v>0</v>
      </c>
      <c r="CR37" s="112">
        <v>0</v>
      </c>
      <c r="CS37" s="112">
        <v>0</v>
      </c>
      <c r="CT37" s="112">
        <v>0</v>
      </c>
      <c r="CU37" s="94">
        <f t="shared" si="49"/>
        <v>0</v>
      </c>
    </row>
    <row r="38" spans="2:99" s="77" customFormat="1">
      <c r="B38" s="34" t="s">
        <v>106</v>
      </c>
      <c r="C38" s="27"/>
      <c r="D38" s="70">
        <f t="shared" ref="D38:AI38" si="50">SUM(D30:D37)</f>
        <v>-34275</v>
      </c>
      <c r="E38" s="71">
        <f t="shared" si="50"/>
        <v>17865</v>
      </c>
      <c r="F38" s="71">
        <f t="shared" si="50"/>
        <v>-1421</v>
      </c>
      <c r="G38" s="71">
        <f t="shared" si="50"/>
        <v>-23792</v>
      </c>
      <c r="H38" s="71">
        <f t="shared" si="50"/>
        <v>-2206</v>
      </c>
      <c r="I38" s="70">
        <f t="shared" si="50"/>
        <v>-9554</v>
      </c>
      <c r="J38" s="71">
        <f t="shared" si="50"/>
        <v>-2089</v>
      </c>
      <c r="K38" s="71">
        <f t="shared" si="50"/>
        <v>-3918</v>
      </c>
      <c r="L38" s="71">
        <f t="shared" si="50"/>
        <v>-3966</v>
      </c>
      <c r="M38" s="71">
        <f t="shared" si="50"/>
        <v>-3685</v>
      </c>
      <c r="N38" s="70">
        <f t="shared" si="50"/>
        <v>-13658</v>
      </c>
      <c r="O38" s="71">
        <f t="shared" si="50"/>
        <v>-10836</v>
      </c>
      <c r="P38" s="71">
        <f t="shared" si="50"/>
        <v>-1265</v>
      </c>
      <c r="Q38" s="71">
        <f t="shared" si="50"/>
        <v>4315</v>
      </c>
      <c r="R38" s="71">
        <f t="shared" si="50"/>
        <v>-908</v>
      </c>
      <c r="S38" s="70">
        <f t="shared" si="50"/>
        <v>-8694</v>
      </c>
      <c r="T38" s="71">
        <f t="shared" si="50"/>
        <v>-7565</v>
      </c>
      <c r="U38" s="71">
        <f t="shared" si="50"/>
        <v>-612</v>
      </c>
      <c r="V38" s="71">
        <f t="shared" si="50"/>
        <v>-1500</v>
      </c>
      <c r="W38" s="71">
        <f t="shared" si="50"/>
        <v>-19132</v>
      </c>
      <c r="X38" s="70">
        <f t="shared" si="50"/>
        <v>-28809</v>
      </c>
      <c r="Y38" s="71">
        <f t="shared" si="50"/>
        <v>-6897</v>
      </c>
      <c r="Z38" s="71">
        <f t="shared" si="50"/>
        <v>-12648</v>
      </c>
      <c r="AA38" s="71">
        <f t="shared" si="50"/>
        <v>-1919</v>
      </c>
      <c r="AB38" s="71">
        <f t="shared" si="50"/>
        <v>-13272</v>
      </c>
      <c r="AC38" s="95">
        <f t="shared" si="50"/>
        <v>-34736</v>
      </c>
      <c r="AD38" s="71">
        <f t="shared" si="50"/>
        <v>-4825</v>
      </c>
      <c r="AE38" s="71">
        <f t="shared" si="50"/>
        <v>-8875</v>
      </c>
      <c r="AF38" s="71">
        <f t="shared" si="50"/>
        <v>-6422</v>
      </c>
      <c r="AG38" s="71">
        <f t="shared" si="50"/>
        <v>-5536</v>
      </c>
      <c r="AH38" s="70">
        <f t="shared" si="50"/>
        <v>-25658</v>
      </c>
      <c r="AI38" s="71">
        <f t="shared" si="50"/>
        <v>-3322</v>
      </c>
      <c r="AJ38" s="71">
        <f t="shared" ref="AJ38:BO38" si="51">SUM(AJ30:AJ37)</f>
        <v>-2812</v>
      </c>
      <c r="AK38" s="71">
        <f t="shared" si="51"/>
        <v>-4118</v>
      </c>
      <c r="AL38" s="280">
        <f t="shared" si="51"/>
        <v>-1303</v>
      </c>
      <c r="AM38" s="95">
        <f t="shared" si="51"/>
        <v>-11555</v>
      </c>
      <c r="AN38" s="280">
        <f t="shared" si="51"/>
        <v>-17234</v>
      </c>
      <c r="AO38" s="280">
        <f t="shared" si="51"/>
        <v>-16797</v>
      </c>
      <c r="AP38" s="280">
        <f t="shared" si="51"/>
        <v>-25327</v>
      </c>
      <c r="AQ38" s="382">
        <f t="shared" si="51"/>
        <v>-339101</v>
      </c>
      <c r="AR38" s="95">
        <f t="shared" si="51"/>
        <v>-398459</v>
      </c>
      <c r="AS38" s="280">
        <f t="shared" si="51"/>
        <v>-22156</v>
      </c>
      <c r="AT38" s="280">
        <f t="shared" si="51"/>
        <v>-13559</v>
      </c>
      <c r="AU38" s="280">
        <f t="shared" si="51"/>
        <v>-7131</v>
      </c>
      <c r="AV38" s="280">
        <f t="shared" si="51"/>
        <v>-7874</v>
      </c>
      <c r="AW38" s="95">
        <f t="shared" si="51"/>
        <v>-50720</v>
      </c>
      <c r="AX38" s="280">
        <f t="shared" si="51"/>
        <v>-20068</v>
      </c>
      <c r="AY38" s="280">
        <f t="shared" si="51"/>
        <v>-20341</v>
      </c>
      <c r="AZ38" s="280">
        <f t="shared" si="51"/>
        <v>-35398</v>
      </c>
      <c r="BA38" s="71">
        <f t="shared" si="51"/>
        <v>-9588</v>
      </c>
      <c r="BB38" s="70">
        <f t="shared" si="51"/>
        <v>-85395</v>
      </c>
      <c r="BC38" s="280">
        <f t="shared" si="51"/>
        <v>-41037</v>
      </c>
      <c r="BD38" s="71">
        <f t="shared" si="51"/>
        <v>-166949</v>
      </c>
      <c r="BE38" s="71">
        <f t="shared" si="51"/>
        <v>-14355</v>
      </c>
      <c r="BF38" s="71">
        <f t="shared" si="51"/>
        <v>-15914</v>
      </c>
      <c r="BG38" s="70">
        <f t="shared" si="51"/>
        <v>-238255</v>
      </c>
      <c r="BH38" s="280">
        <f t="shared" si="51"/>
        <v>-194890</v>
      </c>
      <c r="BI38" s="71">
        <f t="shared" si="51"/>
        <v>-611</v>
      </c>
      <c r="BJ38" s="71">
        <f t="shared" si="51"/>
        <v>-7703</v>
      </c>
      <c r="BK38" s="71">
        <f t="shared" si="51"/>
        <v>-41811</v>
      </c>
      <c r="BL38" s="70">
        <f t="shared" si="51"/>
        <v>-245015</v>
      </c>
      <c r="BM38" s="71">
        <f t="shared" si="51"/>
        <v>-15007</v>
      </c>
      <c r="BN38" s="71">
        <f t="shared" si="51"/>
        <v>-39272</v>
      </c>
      <c r="BO38" s="71">
        <f t="shared" si="51"/>
        <v>-13884</v>
      </c>
      <c r="BP38" s="71">
        <f t="shared" ref="BP38:CF38" si="52">SUM(BP30:BP37)</f>
        <v>-30157</v>
      </c>
      <c r="BQ38" s="70">
        <f t="shared" si="52"/>
        <v>-98320</v>
      </c>
      <c r="BR38" s="71">
        <f t="shared" si="52"/>
        <v>-39694</v>
      </c>
      <c r="BS38" s="848">
        <f t="shared" si="52"/>
        <v>-1958998</v>
      </c>
      <c r="BT38" s="71">
        <f t="shared" si="52"/>
        <v>-86096</v>
      </c>
      <c r="BU38" s="71">
        <f t="shared" si="52"/>
        <v>-6147</v>
      </c>
      <c r="BV38" s="70">
        <f t="shared" si="52"/>
        <v>-2090935</v>
      </c>
      <c r="BW38" s="71">
        <f t="shared" si="52"/>
        <v>-111173</v>
      </c>
      <c r="BX38" s="71">
        <f t="shared" si="52"/>
        <v>795</v>
      </c>
      <c r="BY38" s="71">
        <f t="shared" si="52"/>
        <v>-15376</v>
      </c>
      <c r="BZ38" s="71">
        <f t="shared" si="52"/>
        <v>-46776</v>
      </c>
      <c r="CA38" s="70">
        <f t="shared" si="52"/>
        <v>-172530</v>
      </c>
      <c r="CB38" s="71">
        <f>SUM(CB30:CB37)</f>
        <v>-600</v>
      </c>
      <c r="CC38" s="71">
        <f t="shared" si="52"/>
        <v>108</v>
      </c>
      <c r="CD38" s="71">
        <f t="shared" si="52"/>
        <v>-40118</v>
      </c>
      <c r="CE38" s="71">
        <f t="shared" si="52"/>
        <v>-36350</v>
      </c>
      <c r="CF38" s="70">
        <f t="shared" si="52"/>
        <v>-76960</v>
      </c>
      <c r="CG38" s="71">
        <f t="shared" ref="CG38:CP38" si="53">SUM(CG30:CG37)</f>
        <v>-12681</v>
      </c>
      <c r="CH38" s="71">
        <f t="shared" si="53"/>
        <v>-12592</v>
      </c>
      <c r="CI38" s="71">
        <f>SUM(CI30:CI37)</f>
        <v>-9400</v>
      </c>
      <c r="CJ38" s="71">
        <f t="shared" ref="CJ38" si="54">SUM(CJ30:CJ37)</f>
        <v>-32939</v>
      </c>
      <c r="CK38" s="70">
        <f t="shared" si="53"/>
        <v>-67612</v>
      </c>
      <c r="CL38" s="71">
        <f t="shared" ref="CL38" si="55">SUM(CL30:CL37)</f>
        <v>-96169</v>
      </c>
      <c r="CM38" s="71">
        <f t="shared" si="53"/>
        <v>-12759</v>
      </c>
      <c r="CN38" s="71">
        <f t="shared" si="53"/>
        <v>-55179</v>
      </c>
      <c r="CO38" s="71">
        <f t="shared" si="53"/>
        <v>-58387</v>
      </c>
      <c r="CP38" s="70">
        <f t="shared" si="53"/>
        <v>-222494</v>
      </c>
      <c r="CQ38" s="71">
        <f t="shared" ref="CQ38:CU38" si="56">SUM(CQ30:CQ37)</f>
        <v>-6250</v>
      </c>
      <c r="CR38" s="71">
        <f t="shared" si="56"/>
        <v>-6250</v>
      </c>
      <c r="CS38" s="71">
        <f t="shared" si="56"/>
        <v>-6250</v>
      </c>
      <c r="CT38" s="71">
        <f t="shared" si="56"/>
        <v>-6250</v>
      </c>
      <c r="CU38" s="70">
        <f t="shared" si="56"/>
        <v>-25000</v>
      </c>
    </row>
    <row r="39" spans="2:99">
      <c r="B39" s="34"/>
      <c r="C39" s="7"/>
      <c r="D39" s="13"/>
      <c r="E39" s="12"/>
      <c r="F39" s="12"/>
      <c r="G39" s="12"/>
      <c r="H39" s="12"/>
      <c r="I39" s="13"/>
      <c r="J39" s="12"/>
      <c r="K39" s="12"/>
      <c r="L39" s="12"/>
      <c r="M39" s="12"/>
      <c r="N39" s="13"/>
      <c r="O39" s="12"/>
      <c r="P39" s="12"/>
      <c r="Q39" s="12"/>
      <c r="R39" s="12"/>
      <c r="S39" s="13"/>
      <c r="T39" s="12"/>
      <c r="U39" s="12"/>
      <c r="V39" s="12"/>
      <c r="W39" s="12"/>
      <c r="X39" s="13"/>
      <c r="Y39" s="12"/>
      <c r="Z39" s="7"/>
      <c r="AA39" s="7"/>
      <c r="AB39" s="7"/>
      <c r="AC39" s="9"/>
      <c r="AD39" s="7"/>
      <c r="AE39" s="7"/>
      <c r="AF39" s="7"/>
      <c r="AG39" s="7"/>
      <c r="AH39" s="9"/>
      <c r="AI39" s="7"/>
      <c r="AJ39" s="7"/>
      <c r="AK39" s="7"/>
      <c r="AL39" s="7"/>
      <c r="AM39" s="388"/>
      <c r="AN39" s="279"/>
      <c r="AO39" s="279"/>
      <c r="AP39" s="279"/>
      <c r="AQ39" s="384"/>
      <c r="AR39" s="388"/>
      <c r="AS39" s="279"/>
      <c r="AT39" s="279"/>
      <c r="AU39" s="279"/>
      <c r="AV39" s="279"/>
      <c r="AW39" s="388"/>
      <c r="AX39" s="279"/>
      <c r="AY39" s="279"/>
      <c r="AZ39" s="279"/>
      <c r="BA39" s="7"/>
      <c r="BB39" s="9"/>
      <c r="BC39" s="279"/>
      <c r="BD39" s="7"/>
      <c r="BE39" s="7"/>
      <c r="BF39" s="7"/>
      <c r="BG39" s="9"/>
      <c r="BH39" s="279"/>
      <c r="BI39" s="7"/>
      <c r="BJ39" s="7"/>
      <c r="BK39" s="7"/>
      <c r="BL39" s="9"/>
      <c r="BN39" s="7"/>
      <c r="BO39" s="7"/>
      <c r="BP39" s="7"/>
      <c r="BQ39" s="9"/>
      <c r="BS39" s="22"/>
      <c r="BT39" s="7"/>
      <c r="BU39" s="7"/>
      <c r="BV39" s="9"/>
      <c r="BW39" s="7"/>
      <c r="BX39" s="7"/>
      <c r="BY39" s="7"/>
      <c r="BZ39" s="7"/>
      <c r="CA39" s="9"/>
      <c r="CB39" s="7"/>
      <c r="CC39" s="7"/>
      <c r="CD39" s="7"/>
      <c r="CE39" s="7"/>
      <c r="CF39" s="9"/>
      <c r="CG39" s="7"/>
      <c r="CH39" s="7"/>
      <c r="CI39" s="7"/>
      <c r="CJ39" s="7"/>
      <c r="CK39" s="9"/>
      <c r="CL39" s="7"/>
      <c r="CM39" s="7"/>
      <c r="CN39" s="7"/>
      <c r="CO39" s="7"/>
      <c r="CP39" s="9"/>
      <c r="CQ39" s="7"/>
      <c r="CR39" s="7"/>
      <c r="CS39" s="7"/>
      <c r="CT39" s="7"/>
      <c r="CU39" s="9"/>
    </row>
    <row r="40" spans="2:99" s="77" customFormat="1">
      <c r="B40" s="34" t="s">
        <v>117</v>
      </c>
      <c r="C40" s="27"/>
      <c r="D40" s="70">
        <f t="shared" ref="D40:AI40" si="57">D26+D33</f>
        <v>24143</v>
      </c>
      <c r="E40" s="71">
        <f t="shared" si="57"/>
        <v>16687</v>
      </c>
      <c r="F40" s="71">
        <f t="shared" si="57"/>
        <v>-1111</v>
      </c>
      <c r="G40" s="71">
        <f t="shared" si="57"/>
        <v>11706</v>
      </c>
      <c r="H40" s="71">
        <f t="shared" si="57"/>
        <v>-1874</v>
      </c>
      <c r="I40" s="70">
        <f t="shared" si="57"/>
        <v>25408</v>
      </c>
      <c r="J40" s="71">
        <f t="shared" si="57"/>
        <v>6199</v>
      </c>
      <c r="K40" s="71">
        <f t="shared" si="57"/>
        <v>-10549</v>
      </c>
      <c r="L40" s="71">
        <f t="shared" si="57"/>
        <v>13678</v>
      </c>
      <c r="M40" s="71">
        <f t="shared" si="57"/>
        <v>3748</v>
      </c>
      <c r="N40" s="70">
        <f t="shared" si="57"/>
        <v>13076</v>
      </c>
      <c r="O40" s="71">
        <f t="shared" si="57"/>
        <v>2473</v>
      </c>
      <c r="P40" s="71">
        <f t="shared" si="57"/>
        <v>-12143</v>
      </c>
      <c r="Q40" s="71">
        <f t="shared" si="57"/>
        <v>22970</v>
      </c>
      <c r="R40" s="71">
        <f t="shared" si="57"/>
        <v>2854</v>
      </c>
      <c r="S40" s="70">
        <f t="shared" si="57"/>
        <v>16154</v>
      </c>
      <c r="T40" s="71">
        <f t="shared" si="57"/>
        <v>9663</v>
      </c>
      <c r="U40" s="71">
        <f t="shared" si="57"/>
        <v>1248</v>
      </c>
      <c r="V40" s="71">
        <f t="shared" si="57"/>
        <v>24268</v>
      </c>
      <c r="W40" s="71">
        <f t="shared" si="57"/>
        <v>11089</v>
      </c>
      <c r="X40" s="70">
        <f t="shared" si="57"/>
        <v>44157</v>
      </c>
      <c r="Y40" s="71">
        <f t="shared" si="57"/>
        <v>17036</v>
      </c>
      <c r="Z40" s="71">
        <f t="shared" si="57"/>
        <v>-12945</v>
      </c>
      <c r="AA40" s="71">
        <f t="shared" si="57"/>
        <v>31812</v>
      </c>
      <c r="AB40" s="71">
        <f t="shared" si="57"/>
        <v>13663</v>
      </c>
      <c r="AC40" s="70">
        <f t="shared" si="57"/>
        <v>49566</v>
      </c>
      <c r="AD40" s="71">
        <f t="shared" si="57"/>
        <v>11995</v>
      </c>
      <c r="AE40" s="71">
        <f t="shared" si="57"/>
        <v>-9248</v>
      </c>
      <c r="AF40" s="71">
        <f t="shared" si="57"/>
        <v>35692</v>
      </c>
      <c r="AG40" s="71">
        <f t="shared" si="57"/>
        <v>793</v>
      </c>
      <c r="AH40" s="70">
        <f t="shared" si="57"/>
        <v>39232</v>
      </c>
      <c r="AI40" s="71">
        <f t="shared" si="57"/>
        <v>12930</v>
      </c>
      <c r="AJ40" s="71">
        <f t="shared" ref="AJ40:BG40" si="58">AJ26+AJ33</f>
        <v>9421</v>
      </c>
      <c r="AK40" s="71">
        <f t="shared" si="58"/>
        <v>64743</v>
      </c>
      <c r="AL40" s="71">
        <f t="shared" si="58"/>
        <v>27000</v>
      </c>
      <c r="AM40" s="95">
        <f t="shared" si="58"/>
        <v>114094</v>
      </c>
      <c r="AN40" s="280">
        <f t="shared" si="58"/>
        <v>-4004</v>
      </c>
      <c r="AO40" s="280">
        <f t="shared" si="58"/>
        <v>12691</v>
      </c>
      <c r="AP40" s="280">
        <f t="shared" si="58"/>
        <v>52701</v>
      </c>
      <c r="AQ40" s="382">
        <f t="shared" si="58"/>
        <v>15124</v>
      </c>
      <c r="AR40" s="95">
        <f t="shared" si="58"/>
        <v>76512</v>
      </c>
      <c r="AS40" s="280">
        <f t="shared" si="58"/>
        <v>24693</v>
      </c>
      <c r="AT40" s="280">
        <f t="shared" si="58"/>
        <v>14775</v>
      </c>
      <c r="AU40" s="280">
        <f t="shared" si="58"/>
        <v>72687</v>
      </c>
      <c r="AV40" s="280">
        <f t="shared" si="58"/>
        <v>41978</v>
      </c>
      <c r="AW40" s="95">
        <f t="shared" si="58"/>
        <v>154133</v>
      </c>
      <c r="AX40" s="280">
        <f t="shared" si="58"/>
        <v>28359</v>
      </c>
      <c r="AY40" s="280">
        <f t="shared" si="58"/>
        <v>-8908</v>
      </c>
      <c r="AZ40" s="280">
        <f t="shared" si="58"/>
        <v>85195</v>
      </c>
      <c r="BA40" s="71">
        <f t="shared" si="58"/>
        <v>48051</v>
      </c>
      <c r="BB40" s="70">
        <f t="shared" si="58"/>
        <v>152697</v>
      </c>
      <c r="BC40" s="280">
        <f t="shared" si="58"/>
        <v>35736</v>
      </c>
      <c r="BD40" s="71">
        <f t="shared" si="58"/>
        <v>16542</v>
      </c>
      <c r="BE40" s="71">
        <f t="shared" si="58"/>
        <v>103615</v>
      </c>
      <c r="BF40" s="71">
        <f t="shared" si="58"/>
        <v>66886</v>
      </c>
      <c r="BG40" s="70">
        <f t="shared" si="58"/>
        <v>222779</v>
      </c>
      <c r="BH40" s="280">
        <f t="shared" ref="BH40:CF40" si="59">BH26+BH33+BH34</f>
        <v>10947</v>
      </c>
      <c r="BI40" s="71">
        <f t="shared" si="59"/>
        <v>11223</v>
      </c>
      <c r="BJ40" s="71">
        <f t="shared" si="59"/>
        <v>123984</v>
      </c>
      <c r="BK40" s="71">
        <f t="shared" si="59"/>
        <v>66526</v>
      </c>
      <c r="BL40" s="70">
        <f t="shared" si="59"/>
        <v>212680</v>
      </c>
      <c r="BM40" s="71">
        <f t="shared" si="59"/>
        <v>45307</v>
      </c>
      <c r="BN40" s="71">
        <f t="shared" si="59"/>
        <v>30763</v>
      </c>
      <c r="BO40" s="71">
        <f t="shared" si="59"/>
        <v>164638</v>
      </c>
      <c r="BP40" s="71">
        <f t="shared" si="59"/>
        <v>82922</v>
      </c>
      <c r="BQ40" s="70">
        <f t="shared" si="59"/>
        <v>323630</v>
      </c>
      <c r="BR40" s="71">
        <f t="shared" si="59"/>
        <v>61664</v>
      </c>
      <c r="BS40" s="71">
        <f t="shared" si="59"/>
        <v>-33478</v>
      </c>
      <c r="BT40" s="71">
        <f t="shared" si="59"/>
        <v>192820</v>
      </c>
      <c r="BU40" s="71">
        <f t="shared" si="59"/>
        <v>95134</v>
      </c>
      <c r="BV40" s="70">
        <f t="shared" si="59"/>
        <v>316140</v>
      </c>
      <c r="BW40" s="71">
        <f t="shared" si="59"/>
        <v>41015</v>
      </c>
      <c r="BX40" s="71">
        <f t="shared" si="59"/>
        <v>59985</v>
      </c>
      <c r="BY40" s="71">
        <f t="shared" si="59"/>
        <v>115599</v>
      </c>
      <c r="BZ40" s="71">
        <f t="shared" si="59"/>
        <v>114704</v>
      </c>
      <c r="CA40" s="70">
        <f t="shared" si="59"/>
        <v>331303</v>
      </c>
      <c r="CB40" s="71">
        <f t="shared" si="59"/>
        <v>63610</v>
      </c>
      <c r="CC40" s="71">
        <f>CC26+CC33+CC34</f>
        <v>-33208</v>
      </c>
      <c r="CD40" s="71">
        <f t="shared" si="59"/>
        <v>162666</v>
      </c>
      <c r="CE40" s="71">
        <f t="shared" si="59"/>
        <v>134363</v>
      </c>
      <c r="CF40" s="70">
        <f t="shared" si="59"/>
        <v>327431</v>
      </c>
      <c r="CG40" s="71">
        <f t="shared" ref="CG40:CP40" si="60">CG26+CG33+CG34</f>
        <v>57171</v>
      </c>
      <c r="CH40" s="71">
        <f>CH26+CH33+CH34</f>
        <v>48629</v>
      </c>
      <c r="CI40" s="71">
        <f>CI26+CI33+CI34</f>
        <v>252913</v>
      </c>
      <c r="CJ40" s="71">
        <f t="shared" ref="CJ40" si="61">CJ26+CJ33+CJ34</f>
        <v>215984</v>
      </c>
      <c r="CK40" s="70">
        <f t="shared" si="60"/>
        <v>574697</v>
      </c>
      <c r="CL40" s="71">
        <f t="shared" ref="CL40" si="62">CL26+CL33+CL34</f>
        <v>48273</v>
      </c>
      <c r="CM40" s="71">
        <f t="shared" si="60"/>
        <v>87975</v>
      </c>
      <c r="CN40" s="71">
        <f t="shared" si="60"/>
        <v>247577</v>
      </c>
      <c r="CO40" s="71">
        <f t="shared" si="60"/>
        <v>236926</v>
      </c>
      <c r="CP40" s="70">
        <f t="shared" si="60"/>
        <v>635730.03399999999</v>
      </c>
      <c r="CQ40" s="71">
        <f t="shared" ref="CQ40:CU40" si="63">CQ26+CQ33+CQ34</f>
        <v>-26016.083812649973</v>
      </c>
      <c r="CR40" s="71">
        <f t="shared" si="63"/>
        <v>227636.09914614999</v>
      </c>
      <c r="CS40" s="71">
        <f t="shared" si="63"/>
        <v>238644.21691750007</v>
      </c>
      <c r="CT40" s="71">
        <f t="shared" si="63"/>
        <v>241125.98121698946</v>
      </c>
      <c r="CU40" s="70">
        <f t="shared" si="63"/>
        <v>681390.21346798935</v>
      </c>
    </row>
    <row r="41" spans="2:99" s="164" customFormat="1" ht="11.65">
      <c r="B41" s="1070"/>
      <c r="C41" s="210" t="s">
        <v>983</v>
      </c>
      <c r="D41" s="1071"/>
      <c r="E41" s="1072"/>
      <c r="F41" s="1072"/>
      <c r="G41" s="1072"/>
      <c r="H41" s="1072"/>
      <c r="I41" s="1071"/>
      <c r="J41" s="1072"/>
      <c r="K41" s="1072"/>
      <c r="L41" s="1072"/>
      <c r="M41" s="1072"/>
      <c r="N41" s="1071"/>
      <c r="O41" s="1072"/>
      <c r="P41" s="1072"/>
      <c r="Q41" s="1072"/>
      <c r="R41" s="1072"/>
      <c r="S41" s="1071"/>
      <c r="T41" s="1072"/>
      <c r="U41" s="1072">
        <v>6657</v>
      </c>
      <c r="V41" s="1072"/>
      <c r="W41" s="1072"/>
      <c r="X41" s="1071"/>
      <c r="Y41" s="1072"/>
      <c r="Z41" s="1072">
        <v>2028</v>
      </c>
      <c r="AA41" s="1072">
        <v>1100</v>
      </c>
      <c r="AB41" s="1072"/>
      <c r="AC41" s="1071"/>
      <c r="AD41" s="1072">
        <v>2900</v>
      </c>
      <c r="AE41" s="1072"/>
      <c r="AF41" s="1072"/>
      <c r="AG41" s="1072"/>
      <c r="AH41" s="1071"/>
      <c r="AI41" s="1072"/>
      <c r="AJ41" s="1072"/>
      <c r="AK41" s="1072"/>
      <c r="AL41" s="1072"/>
      <c r="AM41" s="1073"/>
      <c r="AN41" s="1074"/>
      <c r="AO41" s="1074"/>
      <c r="AP41" s="1074"/>
      <c r="AQ41" s="1075"/>
      <c r="AR41" s="1073"/>
      <c r="AS41" s="1074"/>
      <c r="AT41" s="1074"/>
      <c r="AU41" s="1074"/>
      <c r="AV41" s="1074"/>
      <c r="AW41" s="1073"/>
      <c r="AX41" s="1074"/>
      <c r="AY41" s="1074"/>
      <c r="AZ41" s="1074"/>
      <c r="BA41" s="1072"/>
      <c r="BB41" s="1071"/>
      <c r="BC41" s="1074"/>
      <c r="BD41" s="1072"/>
      <c r="BE41" s="1072"/>
      <c r="BF41" s="1072"/>
      <c r="BG41" s="1071"/>
      <c r="BH41" s="1074"/>
      <c r="BI41" s="1072"/>
      <c r="BJ41" s="1072"/>
      <c r="BK41" s="1072"/>
      <c r="BL41" s="817">
        <f>BL40/'Income Statement'!BL23</f>
        <v>0.19487683212443968</v>
      </c>
      <c r="BM41" s="373"/>
      <c r="BN41" s="1076"/>
      <c r="BO41" s="1076"/>
      <c r="BP41" s="1076"/>
      <c r="BQ41" s="817">
        <f>BQ40/'Income Statement'!BQ23</f>
        <v>0.28961371116842394</v>
      </c>
      <c r="BR41" s="373"/>
      <c r="BS41" s="1076"/>
      <c r="BT41" s="1076"/>
      <c r="BU41" s="1076"/>
      <c r="BV41" s="817">
        <f>BV40/'Income Statement'!BV23</f>
        <v>0.19821124601480283</v>
      </c>
      <c r="BW41" s="1076"/>
      <c r="BX41" s="1076"/>
      <c r="BY41" s="1076"/>
      <c r="BZ41" s="1076"/>
      <c r="CA41" s="817">
        <f>CA40/'Income Statement'!CA23</f>
        <v>0.17906295738199679</v>
      </c>
      <c r="CB41" s="1076">
        <f>CB40/'Income Statement'!CB23</f>
        <v>0.13480893413838632</v>
      </c>
      <c r="CC41" s="1076">
        <f>CC40/'Income Statement'!CC23</f>
        <v>-6.5852434862447171E-2</v>
      </c>
      <c r="CD41" s="1076">
        <f>CD40/'Income Statement'!CD23</f>
        <v>0.32882810036306004</v>
      </c>
      <c r="CE41" s="1076">
        <f>CE40/'Income Statement'!CE23</f>
        <v>0.27937871022071592</v>
      </c>
      <c r="CF41" s="817">
        <f>CF40/'Income Statement'!CF23</f>
        <v>0.16776269103999433</v>
      </c>
      <c r="CG41" s="1076">
        <f>CG40/'Income Statement'!CG23</f>
        <v>0.11158386990371985</v>
      </c>
      <c r="CH41" s="1076">
        <f>CH40/'Income Statement'!CH23</f>
        <v>8.9891233622193964E-2</v>
      </c>
      <c r="CI41" s="1076">
        <f>CI40/'Income Statement'!CI23</f>
        <v>0.46548090779755474</v>
      </c>
      <c r="CJ41" s="1076">
        <f>CJ40/'Income Statement'!CJ23</f>
        <v>0.39913440553211699</v>
      </c>
      <c r="CK41" s="817">
        <f>CK40/'Income Statement'!CK23</f>
        <v>0.26882598630463145</v>
      </c>
      <c r="CL41" s="1076">
        <f>CL40/'Income Statement'!CL23</f>
        <v>8.5413994143303279E-2</v>
      </c>
      <c r="CM41" s="1076">
        <f>CM40/'Income Statement'!CM23</f>
        <v>0.14758008914357418</v>
      </c>
      <c r="CN41" s="1076">
        <f>CN40/'Income Statement'!CN23</f>
        <v>0.41548200221857123</v>
      </c>
      <c r="CO41" s="1076">
        <f>CO40/'Income Statement'!CO23</f>
        <v>0.40146195823879949</v>
      </c>
      <c r="CP41" s="817">
        <f>CP40/'Income Statement'!CP23</f>
        <v>0.27083239423005506</v>
      </c>
      <c r="CQ41" s="1076">
        <f>CQ40/'Income Statement'!CQ23</f>
        <v>-4.2752563765425793E-2</v>
      </c>
      <c r="CR41" s="1076">
        <f>CR40/'Income Statement'!CR23</f>
        <v>0.35077395127809019</v>
      </c>
      <c r="CS41" s="1076">
        <f>CS40/'Income Statement'!CS23</f>
        <v>0.37463526833200811</v>
      </c>
      <c r="CT41" s="1076">
        <f>CT40/'Income Statement'!CT23</f>
        <v>0.37830269697386137</v>
      </c>
      <c r="CU41" s="817">
        <f>CU40/'Income Statement'!CU23</f>
        <v>0.26912486720952716</v>
      </c>
    </row>
    <row r="42" spans="2:99" s="77" customFormat="1">
      <c r="B42" s="34"/>
      <c r="C42" s="27"/>
      <c r="D42" s="70"/>
      <c r="E42" s="71"/>
      <c r="F42" s="71"/>
      <c r="G42" s="71"/>
      <c r="H42" s="71"/>
      <c r="I42" s="70"/>
      <c r="J42" s="71"/>
      <c r="K42" s="71"/>
      <c r="L42" s="71"/>
      <c r="M42" s="71"/>
      <c r="N42" s="70"/>
      <c r="O42" s="71"/>
      <c r="P42" s="71"/>
      <c r="Q42" s="71"/>
      <c r="R42" s="71"/>
      <c r="S42" s="70"/>
      <c r="T42" s="71"/>
      <c r="U42" s="71"/>
      <c r="V42" s="71"/>
      <c r="W42" s="71"/>
      <c r="X42" s="70"/>
      <c r="Y42" s="71"/>
      <c r="Z42" s="71">
        <f>Z41+Z40</f>
        <v>-10917</v>
      </c>
      <c r="AA42" s="71">
        <f>AA41+AA40</f>
        <v>32912</v>
      </c>
      <c r="AB42" s="71"/>
      <c r="AC42" s="70"/>
      <c r="AD42" s="71"/>
      <c r="AE42" s="71"/>
      <c r="AF42" s="71"/>
      <c r="AG42" s="71"/>
      <c r="AH42" s="70"/>
      <c r="AI42" s="71"/>
      <c r="AJ42" s="71"/>
      <c r="AK42" s="71"/>
      <c r="AL42" s="71"/>
      <c r="AM42" s="95"/>
      <c r="AN42" s="280"/>
      <c r="AO42" s="280"/>
      <c r="AP42" s="280"/>
      <c r="AQ42" s="382"/>
      <c r="AR42" s="95"/>
      <c r="AS42" s="280"/>
      <c r="AT42" s="280"/>
      <c r="AU42" s="280"/>
      <c r="AV42" s="280"/>
      <c r="AW42" s="95"/>
      <c r="AX42" s="280"/>
      <c r="AY42" s="280"/>
      <c r="AZ42" s="280"/>
      <c r="BA42" s="71"/>
      <c r="BB42" s="70"/>
      <c r="BC42" s="280"/>
      <c r="BD42" s="71"/>
      <c r="BE42" s="71"/>
      <c r="BF42" s="71"/>
      <c r="BG42" s="70"/>
      <c r="BH42" s="280"/>
      <c r="BI42" s="71"/>
      <c r="BJ42" s="71"/>
      <c r="BK42" s="71"/>
      <c r="BL42" s="70"/>
      <c r="BN42" s="71"/>
      <c r="BO42" s="71"/>
      <c r="BP42" s="71"/>
      <c r="BQ42" s="70"/>
      <c r="BS42" s="71"/>
      <c r="BT42" s="71"/>
      <c r="BU42" s="71"/>
      <c r="BV42" s="70"/>
      <c r="BW42" s="71"/>
      <c r="BX42" s="71"/>
      <c r="BY42" s="71"/>
      <c r="BZ42" s="71"/>
      <c r="CA42" s="70"/>
      <c r="CB42" s="71"/>
      <c r="CC42" s="71"/>
      <c r="CD42" s="71"/>
      <c r="CE42" s="71"/>
      <c r="CF42" s="70"/>
      <c r="CG42" s="71"/>
      <c r="CH42" s="71"/>
      <c r="CI42" s="71"/>
      <c r="CJ42" s="71"/>
      <c r="CK42" s="70"/>
      <c r="CL42" s="71"/>
      <c r="CM42" s="71"/>
      <c r="CN42" s="71"/>
      <c r="CO42" s="71"/>
      <c r="CP42" s="70"/>
      <c r="CQ42" s="71"/>
      <c r="CR42" s="71"/>
      <c r="CS42" s="71"/>
      <c r="CT42" s="71"/>
      <c r="CU42" s="70"/>
    </row>
    <row r="43" spans="2:99" s="107" customFormat="1" ht="10.5" hidden="1" outlineLevel="1">
      <c r="B43" s="180"/>
      <c r="C43" s="181"/>
      <c r="D43" s="182">
        <f>D40/'Income Statement'!D23</f>
        <v>0.1098427632895958</v>
      </c>
      <c r="E43" s="183">
        <f>E40/'Income Statement'!E23</f>
        <v>0.28115785749187039</v>
      </c>
      <c r="F43" s="183">
        <f>F40/'Income Statement'!F23</f>
        <v>-1.6442451420029897E-2</v>
      </c>
      <c r="G43" s="183">
        <f>G40/'Income Statement'!G23</f>
        <v>0.1705494121246558</v>
      </c>
      <c r="H43" s="183">
        <f>H40/'Income Statement'!H23</f>
        <v>-2.6946968825491774E-2</v>
      </c>
      <c r="I43" s="182">
        <f>I40/'Income Statement'!I23</f>
        <v>9.584271654954149E-2</v>
      </c>
      <c r="J43" s="183">
        <f>J40/'Income Statement'!J23</f>
        <v>8.9110903471573355E-2</v>
      </c>
      <c r="K43" s="183">
        <f>K40/'Income Statement'!K23</f>
        <v>-0.14616471761902122</v>
      </c>
      <c r="L43" s="183">
        <f>L40/'Income Statement'!L23</f>
        <v>0.18401226927837272</v>
      </c>
      <c r="M43" s="183">
        <f>M40/'Income Statement'!M23</f>
        <v>5.0500559171079401E-2</v>
      </c>
      <c r="N43" s="182">
        <f>N40/'Income Statement'!N23</f>
        <v>4.5045231254693646E-2</v>
      </c>
      <c r="O43" s="183">
        <f>O40/'Income Statement'!O23</f>
        <v>3.5419650529934114E-2</v>
      </c>
      <c r="P43" s="183">
        <f>P40/'Income Statement'!P23</f>
        <v>-0.16725895316804407</v>
      </c>
      <c r="Q43" s="183">
        <f>Q40/'Income Statement'!Q23</f>
        <v>0.31137740785424772</v>
      </c>
      <c r="R43" s="183">
        <f>R40/'Income Statement'!R23</f>
        <v>3.9398666464197464E-2</v>
      </c>
      <c r="S43" s="182">
        <f>S40/'Income Statement'!S23</f>
        <v>5.5968235929986003E-2</v>
      </c>
      <c r="T43" s="183">
        <f>T40/'Income Statement'!T23</f>
        <v>0.13166105759404848</v>
      </c>
      <c r="U43" s="183">
        <f>U40/'Income Statement'!U23</f>
        <v>1.6263764905193198E-2</v>
      </c>
      <c r="V43" s="183">
        <f>V40/'Income Statement'!V23</f>
        <v>0.31441749585406303</v>
      </c>
      <c r="W43" s="99">
        <f>W40/'Income Statement'!W23</f>
        <v>0.1351015485081446</v>
      </c>
      <c r="X43" s="182">
        <f>X40/'Income Statement'!X23</f>
        <v>0.14272231577518416</v>
      </c>
      <c r="Y43" s="183">
        <f>Y40/'Income Statement'!Y23</f>
        <v>0.20594030680705486</v>
      </c>
      <c r="Z43" s="184">
        <f>Z40/'Income Statement'!Z23</f>
        <v>-0.14167980036774364</v>
      </c>
      <c r="AA43" s="184">
        <f>AA40/'Income Statement'!AA23</f>
        <v>0.33898449571101286</v>
      </c>
      <c r="AB43" s="184">
        <f>AB40/'Income Statement'!AB23</f>
        <v>0.14326608505997818</v>
      </c>
      <c r="AC43" s="185">
        <f>AC40/'Income Statement'!AC23</f>
        <v>0.13643119811507717</v>
      </c>
      <c r="AD43" s="184">
        <f>AD40/'Income Statement'!AD23</f>
        <v>0.12521007526174593</v>
      </c>
      <c r="AE43" s="184">
        <f>AE40/'Income Statement'!AE23</f>
        <v>-8.9709762532981532E-2</v>
      </c>
      <c r="AF43" s="184">
        <f>AF40/'Income Statement'!AF23</f>
        <v>0.33350463927640367</v>
      </c>
      <c r="AG43" s="184">
        <f>AG40/'Income Statement'!AG23</f>
        <v>7.1612408001083669E-3</v>
      </c>
      <c r="AH43" s="185">
        <f>AH40/'Income Statement'!AH23</f>
        <v>9.4162148410029692E-2</v>
      </c>
      <c r="AI43" s="184">
        <f>AI40/'Income Statement'!AI23</f>
        <v>0.11480475201108092</v>
      </c>
      <c r="AJ43" s="184">
        <f>AJ40/'Income Statement'!AJ23</f>
        <v>7.5749169822547063E-2</v>
      </c>
      <c r="AK43" s="184">
        <f>AK40/'Income Statement'!AK23</f>
        <v>0.50319436672262641</v>
      </c>
      <c r="AL43" s="184">
        <f>AL40/'Income Statement'!AL23</f>
        <v>0.21186440677966101</v>
      </c>
      <c r="AM43" s="390">
        <f>AM40/'Income Statement'!AM23</f>
        <v>0.23138058937215703</v>
      </c>
      <c r="AN43" s="391">
        <f>AN40/'Income Statement'!AN23</f>
        <v>-2.966673088036987E-2</v>
      </c>
      <c r="AO43" s="391">
        <f>AO40/'Income Statement'!AO23</f>
        <v>8.6749376260295982E-2</v>
      </c>
      <c r="AP43" s="391">
        <f>AP40/'Income Statement'!AP23</f>
        <v>0.34937187178892243</v>
      </c>
      <c r="AQ43" s="387">
        <f>AQ40/'Income Statement'!AQ23</f>
        <v>9.3277989872886838E-2</v>
      </c>
      <c r="AR43" s="390">
        <f>AR40/'Income Statement'!AR23</f>
        <v>0.12875497479995623</v>
      </c>
      <c r="AS43" s="391">
        <f>AS40/'Income Statement'!AS23</f>
        <v>0.13348433411896987</v>
      </c>
      <c r="AT43" s="391">
        <f>AT40/'Income Statement'!AT23</f>
        <v>7.6258458108170876E-2</v>
      </c>
      <c r="AU43" s="391">
        <f>AU40/'Income Statement'!AU23</f>
        <v>0.36755715347623596</v>
      </c>
      <c r="AV43" s="391">
        <f>AV40/'Income Statement'!AV23</f>
        <v>0.21520999097695021</v>
      </c>
      <c r="AW43" s="390">
        <f>AW40/'Income Statement'!AW23</f>
        <v>0.19977059166612662</v>
      </c>
      <c r="AX43" s="391">
        <f>AX40/'Income Statement'!AX23</f>
        <v>0.14189645596601569</v>
      </c>
      <c r="AY43" s="391">
        <f>AY40/'Income Statement'!AY23</f>
        <v>-4.2536935697982024E-2</v>
      </c>
      <c r="AZ43" s="391">
        <f>AZ40/'Income Statement'!AZ23</f>
        <v>0.39734991231670458</v>
      </c>
      <c r="BA43" s="184">
        <f>BA40/'Income Statement'!BA23</f>
        <v>0.22033051181643939</v>
      </c>
      <c r="BB43" s="185">
        <f>BB40/'Income Statement'!BB23</f>
        <v>0.18140012283655016</v>
      </c>
      <c r="BC43" s="391">
        <f>BC40/'Income Statement'!BC23</f>
        <v>0.16142015041669489</v>
      </c>
      <c r="BD43" s="184">
        <f>BD40/'Income Statement'!BD23</f>
        <v>6.9585482201899695E-2</v>
      </c>
      <c r="BE43" s="184">
        <f>BE40/'Income Statement'!BE23</f>
        <v>0.43614880792025862</v>
      </c>
      <c r="BF43" s="184">
        <f>BF40/'Income Statement'!BF23</f>
        <v>0.27521365411281595</v>
      </c>
      <c r="BG43" s="185">
        <f>BG40/'Income Statement'!BG23</f>
        <v>0.23707257999293396</v>
      </c>
      <c r="BH43" s="391">
        <f>BH40/'Income Statement'!BH23</f>
        <v>4.4005740403516604E-2</v>
      </c>
      <c r="BI43" s="184">
        <f>BI40/'Income Statement'!BI23</f>
        <v>4.0373262920847107E-2</v>
      </c>
      <c r="BJ43" s="184">
        <f>BJ40/'Income Statement'!BJ23</f>
        <v>0.44729370425019932</v>
      </c>
      <c r="BK43" s="184">
        <f>BK40/'Income Statement'!BK23</f>
        <v>0.23145516221623033</v>
      </c>
      <c r="BL43" s="185">
        <f>BL40/'Income Statement'!BL23</f>
        <v>0.19487683212443968</v>
      </c>
      <c r="BM43" s="184">
        <f>BM40/'Income Statement'!BM23</f>
        <v>0.16369318592383844</v>
      </c>
      <c r="BN43" s="184">
        <f>BN40/'Income Statement'!BN23</f>
        <v>0.11337896059765082</v>
      </c>
      <c r="BO43" s="184">
        <f>BO40/'Income Statement'!BO23</f>
        <v>0.57578417623462508</v>
      </c>
      <c r="BP43" s="184">
        <f>BP40/'Income Statement'!BP23</f>
        <v>0.29258877660475358</v>
      </c>
      <c r="BQ43" s="185">
        <f>BQ40/'Income Statement'!BQ23</f>
        <v>0.28961371116842394</v>
      </c>
      <c r="BR43" s="184">
        <f>BR40/'Income Statement'!BR23</f>
        <v>0.20917090114721068</v>
      </c>
      <c r="BS43" s="184">
        <f>BS40/'Income Statement'!BS23</f>
        <v>-8.2587705340645301E-2</v>
      </c>
      <c r="BT43" s="184">
        <f>BT40/'Income Statement'!BT23</f>
        <v>0.41860606481642293</v>
      </c>
      <c r="BU43" s="184">
        <f>BU40/'Income Statement'!BU23</f>
        <v>0.21911390772405662</v>
      </c>
      <c r="BV43" s="185">
        <f>BV40/'Income Statement'!BV23</f>
        <v>0.19821124601480283</v>
      </c>
      <c r="BW43" s="184">
        <f>BW40/'Income Statement'!BW23</f>
        <v>8.9923877678093789E-2</v>
      </c>
      <c r="BX43" s="184">
        <f>BX40/'Income Statement'!BX23</f>
        <v>0.12798574735696683</v>
      </c>
      <c r="BY43" s="184">
        <f>BY40/'Income Statement'!BY23</f>
        <v>0.24429670048669563</v>
      </c>
      <c r="BZ43" s="184">
        <f>BZ40/'Income Statement'!BZ23</f>
        <v>0.25364645526513646</v>
      </c>
      <c r="CA43" s="185">
        <f>CA40/'Income Statement'!CA23</f>
        <v>0.17906295738199679</v>
      </c>
      <c r="CB43" s="184">
        <f>CB40/'Income Statement'!CB23</f>
        <v>0.13480893413838632</v>
      </c>
      <c r="CC43" s="184">
        <f>CC40/'Income Statement'!CC23</f>
        <v>-6.5852434862447171E-2</v>
      </c>
      <c r="CD43" s="184">
        <f>CD40/'Income Statement'!CD23</f>
        <v>0.32882810036306004</v>
      </c>
      <c r="CE43" s="184">
        <f>CE40/'Income Statement'!CE23</f>
        <v>0.27937871022071592</v>
      </c>
      <c r="CF43" s="185">
        <f>CF40/'Income Statement'!CF23</f>
        <v>0.16776269103999433</v>
      </c>
      <c r="CG43" s="184">
        <f>CG40/'Income Statement'!CG23</f>
        <v>0.11158386990371985</v>
      </c>
      <c r="CH43" s="184">
        <f>CH40/'Income Statement'!CH23</f>
        <v>8.9891233622193964E-2</v>
      </c>
      <c r="CI43" s="184">
        <f>CI40/'Income Statement'!CI23</f>
        <v>0.46548090779755474</v>
      </c>
      <c r="CJ43" s="184">
        <f>CJ40/'Income Statement'!CJ23</f>
        <v>0.39913440553211699</v>
      </c>
      <c r="CK43" s="185">
        <f>CK40/'Income Statement'!CK23</f>
        <v>0.26882598630463145</v>
      </c>
      <c r="CL43" s="184">
        <f>CL40/'Income Statement'!CL23</f>
        <v>8.5413994143303279E-2</v>
      </c>
      <c r="CM43" s="184">
        <f>CM40/'Income Statement'!CM23</f>
        <v>0.14758008914357418</v>
      </c>
      <c r="CN43" s="184">
        <f>CN40/'Income Statement'!CN23</f>
        <v>0.41548200221857123</v>
      </c>
      <c r="CO43" s="184">
        <f>CO40/'Income Statement'!CO23</f>
        <v>0.40146195823879949</v>
      </c>
      <c r="CP43" s="185">
        <f>CP40/'Income Statement'!CP23</f>
        <v>0.27083239423005506</v>
      </c>
      <c r="CQ43" s="184">
        <f>CQ40/'Income Statement'!CQ23</f>
        <v>-4.2752563765425793E-2</v>
      </c>
      <c r="CR43" s="184">
        <f>CR40/'Income Statement'!CR23</f>
        <v>0.35077395127809019</v>
      </c>
      <c r="CS43" s="184">
        <f>CS40/'Income Statement'!CS23</f>
        <v>0.37463526833200811</v>
      </c>
      <c r="CT43" s="184">
        <f>CT40/'Income Statement'!CT23</f>
        <v>0.37830269697386137</v>
      </c>
      <c r="CU43" s="185">
        <f>CU40/'Income Statement'!CU23</f>
        <v>0.26912486720952716</v>
      </c>
    </row>
    <row r="44" spans="2:99" collapsed="1">
      <c r="B44" s="78" t="s">
        <v>107</v>
      </c>
      <c r="C44" s="7"/>
      <c r="D44" s="13"/>
      <c r="E44" s="12"/>
      <c r="F44" s="12"/>
      <c r="G44" s="12"/>
      <c r="H44" s="12"/>
      <c r="I44" s="13"/>
      <c r="J44" s="12"/>
      <c r="K44" s="12"/>
      <c r="L44" s="12"/>
      <c r="M44" s="12"/>
      <c r="N44" s="13"/>
      <c r="O44" s="12"/>
      <c r="P44" s="12"/>
      <c r="Q44" s="12"/>
      <c r="R44" s="12"/>
      <c r="S44" s="13"/>
      <c r="T44" s="12"/>
      <c r="U44" s="12"/>
      <c r="V44" s="12"/>
      <c r="W44" s="12"/>
      <c r="X44" s="13"/>
      <c r="Y44" s="12"/>
      <c r="Z44" s="7"/>
      <c r="AA44" s="7"/>
      <c r="AB44" s="7"/>
      <c r="AC44" s="9"/>
      <c r="AD44" s="7"/>
      <c r="AE44" s="7"/>
      <c r="AF44" s="7"/>
      <c r="AG44" s="7"/>
      <c r="AH44" s="9"/>
      <c r="AI44" s="7"/>
      <c r="AJ44" s="7"/>
      <c r="AK44" s="7"/>
      <c r="AL44" s="7"/>
      <c r="AM44" s="388"/>
      <c r="AN44" s="279"/>
      <c r="AO44" s="279"/>
      <c r="AP44" s="279"/>
      <c r="AQ44" s="384"/>
      <c r="AR44" s="388"/>
      <c r="AS44" s="279"/>
      <c r="AT44" s="279"/>
      <c r="AU44" s="279"/>
      <c r="AV44" s="279"/>
      <c r="AW44" s="388"/>
      <c r="AX44" s="279"/>
      <c r="AY44" s="279"/>
      <c r="AZ44" s="279"/>
      <c r="BA44" s="7"/>
      <c r="BB44" s="9"/>
      <c r="BC44" s="279"/>
      <c r="BD44" s="7"/>
      <c r="BE44" s="7"/>
      <c r="BF44" s="7"/>
      <c r="BG44" s="9"/>
      <c r="BH44" s="279"/>
      <c r="BI44" s="7"/>
      <c r="BJ44" s="7"/>
      <c r="BK44" s="7"/>
      <c r="BL44" s="9"/>
      <c r="BM44" s="7"/>
      <c r="BN44" s="7"/>
      <c r="BO44" s="7"/>
      <c r="BP44" s="7"/>
      <c r="BQ44" s="9"/>
      <c r="BR44" s="7"/>
      <c r="BS44" s="7"/>
      <c r="BT44" s="7"/>
      <c r="BU44" s="7"/>
      <c r="BV44" s="9"/>
      <c r="BW44" s="7"/>
      <c r="BX44" s="7"/>
      <c r="BY44" s="7"/>
      <c r="BZ44" s="7"/>
      <c r="CA44" s="9"/>
      <c r="CB44" s="7"/>
      <c r="CC44" s="7"/>
      <c r="CD44" s="7"/>
      <c r="CE44" s="7"/>
      <c r="CF44" s="9"/>
      <c r="CG44" s="7"/>
      <c r="CH44" s="7"/>
      <c r="CI44" s="7"/>
      <c r="CJ44" s="7"/>
      <c r="CK44" s="9"/>
      <c r="CL44" s="7"/>
      <c r="CM44" s="7"/>
      <c r="CN44" s="7"/>
      <c r="CO44" s="7"/>
      <c r="CP44" s="9"/>
      <c r="CQ44" s="7"/>
      <c r="CR44" s="7"/>
      <c r="CS44" s="7"/>
      <c r="CT44" s="7"/>
      <c r="CU44" s="9"/>
    </row>
    <row r="45" spans="2:99">
      <c r="B45" s="8"/>
      <c r="C45" s="7" t="s">
        <v>108</v>
      </c>
      <c r="D45" s="13">
        <v>0</v>
      </c>
      <c r="E45" s="12">
        <v>0</v>
      </c>
      <c r="F45" s="12">
        <v>0</v>
      </c>
      <c r="G45" s="12">
        <v>0</v>
      </c>
      <c r="H45" s="12">
        <f>I45-G45-F45-E45</f>
        <v>8000</v>
      </c>
      <c r="I45" s="13">
        <v>8000</v>
      </c>
      <c r="J45" s="12">
        <v>-500</v>
      </c>
      <c r="K45" s="12">
        <f>7425-J45</f>
        <v>7925</v>
      </c>
      <c r="L45" s="12">
        <f>-5899-K45-J45</f>
        <v>-13324</v>
      </c>
      <c r="M45" s="12">
        <f>N45-L45-K45-J45</f>
        <v>-2101</v>
      </c>
      <c r="N45" s="13">
        <v>-8000</v>
      </c>
      <c r="O45" s="12">
        <v>0</v>
      </c>
      <c r="P45" s="12">
        <f>14650-O45</f>
        <v>14650</v>
      </c>
      <c r="Q45" s="12">
        <f>16500-P45-O45</f>
        <v>1850</v>
      </c>
      <c r="R45" s="12">
        <f t="shared" ref="R45:R52" si="64">S45-Q45-P45-O45</f>
        <v>10000</v>
      </c>
      <c r="S45" s="13">
        <v>26500</v>
      </c>
      <c r="T45" s="12">
        <v>-4000</v>
      </c>
      <c r="U45" s="12">
        <f>5000-T45</f>
        <v>9000</v>
      </c>
      <c r="V45" s="12">
        <f>31500-U45-T45</f>
        <v>26500</v>
      </c>
      <c r="W45" s="12">
        <f>V45-U45-T45</f>
        <v>21500</v>
      </c>
      <c r="X45" s="13">
        <v>34200</v>
      </c>
      <c r="Y45" s="12">
        <v>-4700</v>
      </c>
      <c r="Z45" s="112">
        <f>5000-Y45</f>
        <v>9700</v>
      </c>
      <c r="AA45" s="112">
        <f>-32700-Z45-Y45</f>
        <v>-37700</v>
      </c>
      <c r="AB45" s="112">
        <v>-10000</v>
      </c>
      <c r="AC45" s="115">
        <f>SUM(Y45:AB45)</f>
        <v>-42700</v>
      </c>
      <c r="AD45" s="112">
        <v>-18000</v>
      </c>
      <c r="AE45" s="112">
        <v>0</v>
      </c>
      <c r="AF45" s="112">
        <v>0</v>
      </c>
      <c r="AG45" s="112">
        <v>0</v>
      </c>
      <c r="AH45" s="13">
        <f>SUM(AD45:AG45)</f>
        <v>-18000</v>
      </c>
      <c r="AI45" s="112">
        <v>0</v>
      </c>
      <c r="AJ45" s="112">
        <v>0</v>
      </c>
      <c r="AK45" s="112">
        <v>0</v>
      </c>
      <c r="AL45" s="112">
        <v>0</v>
      </c>
      <c r="AM45" s="392">
        <f>SUM(AI45:AL45)</f>
        <v>0</v>
      </c>
      <c r="AN45" s="276">
        <v>0</v>
      </c>
      <c r="AO45" s="276">
        <v>0</v>
      </c>
      <c r="AP45" s="276">
        <v>0</v>
      </c>
      <c r="AQ45" s="385">
        <v>66000</v>
      </c>
      <c r="AR45" s="94">
        <f>SUM(AN45:AQ45)</f>
        <v>66000</v>
      </c>
      <c r="AS45" s="276">
        <v>74000</v>
      </c>
      <c r="AT45" s="276">
        <v>-5000</v>
      </c>
      <c r="AU45" s="276">
        <v>-101000</v>
      </c>
      <c r="AV45" s="276">
        <v>-24000</v>
      </c>
      <c r="AW45" s="13">
        <f>SUM(AS45:AV45)</f>
        <v>-56000</v>
      </c>
      <c r="AX45" s="276">
        <v>-10000</v>
      </c>
      <c r="AY45" s="276">
        <v>0</v>
      </c>
      <c r="AZ45" s="276">
        <v>0</v>
      </c>
      <c r="BA45" s="112">
        <v>0</v>
      </c>
      <c r="BB45" s="13">
        <f>SUM(AX45:BA45)</f>
        <v>-10000</v>
      </c>
      <c r="BC45" s="276">
        <v>0</v>
      </c>
      <c r="BD45" s="112">
        <v>0</v>
      </c>
      <c r="BE45" s="112">
        <v>0</v>
      </c>
      <c r="BF45" s="112">
        <v>0</v>
      </c>
      <c r="BG45" s="92">
        <f>SUM(BC45:BF45)</f>
        <v>0</v>
      </c>
      <c r="BH45" s="276">
        <v>85000</v>
      </c>
      <c r="BI45" s="112">
        <v>-70000</v>
      </c>
      <c r="BJ45" s="112">
        <v>-15000</v>
      </c>
      <c r="BK45" s="112">
        <v>0</v>
      </c>
      <c r="BL45" s="92">
        <f>SUM(BH45:BK45)</f>
        <v>0</v>
      </c>
      <c r="BM45" s="112">
        <v>0</v>
      </c>
      <c r="BN45" s="112">
        <v>0</v>
      </c>
      <c r="BO45" s="112">
        <v>0</v>
      </c>
      <c r="BP45" s="112">
        <v>0</v>
      </c>
      <c r="BQ45" s="92">
        <f>SUM(BM45:BP45)</f>
        <v>0</v>
      </c>
      <c r="BR45" s="112">
        <v>600000</v>
      </c>
      <c r="BS45" s="112">
        <f>(65000+900000+600000)-BR45</f>
        <v>965000</v>
      </c>
      <c r="BT45" s="112">
        <v>-65000</v>
      </c>
      <c r="BU45" s="112">
        <v>0</v>
      </c>
      <c r="BV45" s="13">
        <f>SUM(BR45:BU45)</f>
        <v>1500000</v>
      </c>
      <c r="BW45" s="112">
        <v>0</v>
      </c>
      <c r="BX45" s="112">
        <v>0</v>
      </c>
      <c r="BY45" s="112">
        <v>0</v>
      </c>
      <c r="BZ45" s="112">
        <v>0</v>
      </c>
      <c r="CA45" s="92">
        <f>SUM(BW45:BZ45)</f>
        <v>0</v>
      </c>
      <c r="CB45" s="112">
        <v>0</v>
      </c>
      <c r="CC45" s="112">
        <v>0</v>
      </c>
      <c r="CD45" s="112">
        <v>0</v>
      </c>
      <c r="CE45" s="112">
        <v>0</v>
      </c>
      <c r="CF45" s="92">
        <f>SUM(CB45:CE45)</f>
        <v>0</v>
      </c>
      <c r="CG45" s="112">
        <v>0</v>
      </c>
      <c r="CH45" s="112"/>
      <c r="CI45" s="112"/>
      <c r="CJ45" s="112">
        <v>0</v>
      </c>
      <c r="CK45" s="92">
        <f>SUM(CG45:CJ45)</f>
        <v>0</v>
      </c>
      <c r="CL45" s="112"/>
      <c r="CM45" s="112">
        <v>0</v>
      </c>
      <c r="CN45" s="112">
        <v>0</v>
      </c>
      <c r="CO45" s="112">
        <v>0</v>
      </c>
      <c r="CP45" s="92">
        <f>SUM(CL45:CO45)</f>
        <v>0</v>
      </c>
      <c r="CQ45" s="112">
        <v>0</v>
      </c>
      <c r="CR45" s="112">
        <v>0</v>
      </c>
      <c r="CS45" s="112">
        <v>0</v>
      </c>
      <c r="CT45" s="112">
        <v>0</v>
      </c>
      <c r="CU45" s="92">
        <f>SUM(CQ45:CT45)</f>
        <v>0</v>
      </c>
    </row>
    <row r="46" spans="2:99">
      <c r="B46" s="8"/>
      <c r="C46" s="7" t="s">
        <v>780</v>
      </c>
      <c r="D46" s="13"/>
      <c r="E46" s="12"/>
      <c r="F46" s="12"/>
      <c r="G46" s="12"/>
      <c r="H46" s="12"/>
      <c r="I46" s="13"/>
      <c r="J46" s="12"/>
      <c r="K46" s="12"/>
      <c r="L46" s="12"/>
      <c r="M46" s="12"/>
      <c r="N46" s="13"/>
      <c r="O46" s="12"/>
      <c r="P46" s="12"/>
      <c r="Q46" s="12"/>
      <c r="R46" s="12"/>
      <c r="S46" s="13"/>
      <c r="T46" s="12"/>
      <c r="U46" s="12"/>
      <c r="V46" s="12"/>
      <c r="W46" s="12"/>
      <c r="X46" s="13"/>
      <c r="Y46" s="12"/>
      <c r="Z46" s="112"/>
      <c r="AA46" s="112"/>
      <c r="AB46" s="112"/>
      <c r="AC46" s="115"/>
      <c r="AD46" s="112"/>
      <c r="AE46" s="112"/>
      <c r="AF46" s="112"/>
      <c r="AG46" s="112"/>
      <c r="AH46" s="13"/>
      <c r="AI46" s="112"/>
      <c r="AJ46" s="112"/>
      <c r="AK46" s="112"/>
      <c r="AL46" s="112"/>
      <c r="AM46" s="392"/>
      <c r="AN46" s="276"/>
      <c r="AO46" s="276"/>
      <c r="AP46" s="276"/>
      <c r="AQ46" s="385"/>
      <c r="AR46" s="94"/>
      <c r="AS46" s="276"/>
      <c r="AT46" s="276"/>
      <c r="AU46" s="276"/>
      <c r="AV46" s="276"/>
      <c r="AW46" s="13"/>
      <c r="AX46" s="276"/>
      <c r="AY46" s="276"/>
      <c r="AZ46" s="276"/>
      <c r="BA46" s="112"/>
      <c r="BB46" s="13"/>
      <c r="BC46" s="276"/>
      <c r="BD46" s="112"/>
      <c r="BE46" s="112"/>
      <c r="BF46" s="112"/>
      <c r="BG46" s="92"/>
      <c r="BH46" s="276"/>
      <c r="BI46" s="112"/>
      <c r="BJ46" s="112"/>
      <c r="BK46" s="112"/>
      <c r="BL46" s="92"/>
      <c r="BM46" s="112"/>
      <c r="BN46" s="112"/>
      <c r="BO46" s="112"/>
      <c r="BP46" s="112"/>
      <c r="BQ46" s="92"/>
      <c r="BR46" s="112"/>
      <c r="BS46" s="112"/>
      <c r="BT46" s="112">
        <v>-57500</v>
      </c>
      <c r="BU46" s="112">
        <v>-87500</v>
      </c>
      <c r="BV46" s="13">
        <f>SUM(BR46:BU46)</f>
        <v>-145000</v>
      </c>
      <c r="BW46" s="112">
        <v>-20000</v>
      </c>
      <c r="BX46" s="112">
        <v>-60000</v>
      </c>
      <c r="BY46" s="112">
        <v>-190000</v>
      </c>
      <c r="BZ46" s="112">
        <v>-90000</v>
      </c>
      <c r="CA46" s="13">
        <f>SUM(BW46:BZ46)</f>
        <v>-360000</v>
      </c>
      <c r="CB46" s="112">
        <v>-120000</v>
      </c>
      <c r="CC46" s="112">
        <v>0</v>
      </c>
      <c r="CD46" s="112">
        <v>-135000</v>
      </c>
      <c r="CE46" s="112">
        <v>-90000</v>
      </c>
      <c r="CF46" s="13">
        <f>SUM(CB46:CE46)</f>
        <v>-345000</v>
      </c>
      <c r="CG46" s="112">
        <v>-50000</v>
      </c>
      <c r="CH46" s="112"/>
      <c r="CI46" s="112"/>
      <c r="CJ46" s="112"/>
      <c r="CK46" s="92">
        <f>SUM(CG46:CJ46)</f>
        <v>-50000</v>
      </c>
      <c r="CL46" s="112"/>
      <c r="CM46" s="112"/>
      <c r="CN46" s="112"/>
      <c r="CO46" s="112"/>
      <c r="CP46" s="92"/>
      <c r="CQ46" s="112"/>
      <c r="CR46" s="112"/>
      <c r="CS46" s="112"/>
      <c r="CT46" s="112"/>
      <c r="CU46" s="92"/>
    </row>
    <row r="47" spans="2:99">
      <c r="B47" s="8"/>
      <c r="C47" s="7" t="s">
        <v>109</v>
      </c>
      <c r="D47" s="13">
        <v>-14037</v>
      </c>
      <c r="E47" s="12">
        <v>-12646</v>
      </c>
      <c r="F47" s="12">
        <f>-12646-E47</f>
        <v>0</v>
      </c>
      <c r="G47" s="12">
        <f>-28968-F47-E47</f>
        <v>-16322</v>
      </c>
      <c r="H47" s="12">
        <f>I47-G47-F47-E47</f>
        <v>-30879</v>
      </c>
      <c r="I47" s="13">
        <v>-59847</v>
      </c>
      <c r="J47" s="12">
        <v>-10096</v>
      </c>
      <c r="K47" s="12">
        <f>-10210-J47</f>
        <v>-114</v>
      </c>
      <c r="L47" s="12">
        <f>-18263-K47-J47</f>
        <v>-8053</v>
      </c>
      <c r="M47" s="12">
        <f>N47-L47-K47-J47</f>
        <v>0</v>
      </c>
      <c r="N47" s="13">
        <v>-18263</v>
      </c>
      <c r="O47" s="12">
        <v>-2317</v>
      </c>
      <c r="P47" s="12">
        <f>-14398-O47</f>
        <v>-12081</v>
      </c>
      <c r="Q47" s="12">
        <f>-41674-P47-O47</f>
        <v>-27276</v>
      </c>
      <c r="R47" s="12">
        <f t="shared" si="64"/>
        <v>-24119</v>
      </c>
      <c r="S47" s="13">
        <v>-65793</v>
      </c>
      <c r="T47" s="12">
        <v>-6839</v>
      </c>
      <c r="U47" s="12">
        <f>-20884-T47</f>
        <v>-14045</v>
      </c>
      <c r="V47" s="12">
        <f>-68525-U47-T47</f>
        <v>-47641</v>
      </c>
      <c r="W47" s="12">
        <f>X47-V47-U47-T47</f>
        <v>-3277</v>
      </c>
      <c r="X47" s="13">
        <v>-71802</v>
      </c>
      <c r="Y47" s="12">
        <v>0</v>
      </c>
      <c r="Z47" s="112">
        <v>0</v>
      </c>
      <c r="AA47" s="112">
        <v>0</v>
      </c>
      <c r="AB47" s="112">
        <v>0</v>
      </c>
      <c r="AC47" s="115">
        <f t="shared" ref="AC47:AC53" si="65">SUM(Y47:AB47)</f>
        <v>0</v>
      </c>
      <c r="AD47" s="112">
        <v>0</v>
      </c>
      <c r="AE47" s="112">
        <v>0</v>
      </c>
      <c r="AF47" s="112">
        <v>0</v>
      </c>
      <c r="AG47" s="112">
        <v>0</v>
      </c>
      <c r="AH47" s="92">
        <f t="shared" ref="AH47:AH53" si="66">SUM(AD47:AG47)</f>
        <v>0</v>
      </c>
      <c r="AI47" s="112">
        <v>0</v>
      </c>
      <c r="AJ47" s="112">
        <v>-22815</v>
      </c>
      <c r="AK47" s="112">
        <v>-2</v>
      </c>
      <c r="AL47" s="112">
        <v>0</v>
      </c>
      <c r="AM47" s="92">
        <f t="shared" ref="AM47:AM53" si="67">SUM(AI47:AL47)</f>
        <v>-22817</v>
      </c>
      <c r="AN47" s="112">
        <v>0</v>
      </c>
      <c r="AO47" s="112">
        <v>-645</v>
      </c>
      <c r="AP47" s="112">
        <v>0</v>
      </c>
      <c r="AQ47" s="385">
        <v>0</v>
      </c>
      <c r="AR47" s="13">
        <f t="shared" ref="AR47:AR53" si="68">SUM(AN47:AQ47)</f>
        <v>-645</v>
      </c>
      <c r="AS47" s="276">
        <v>-93930</v>
      </c>
      <c r="AT47" s="276">
        <v>-567</v>
      </c>
      <c r="AU47" s="276">
        <v>-2</v>
      </c>
      <c r="AV47" s="276">
        <v>-17339</v>
      </c>
      <c r="AW47" s="13">
        <f t="shared" ref="AW47:AW53" si="69">SUM(AS47:AV47)</f>
        <v>-111838</v>
      </c>
      <c r="AX47" s="276">
        <v>-7032</v>
      </c>
      <c r="AY47" s="276">
        <v>0</v>
      </c>
      <c r="AZ47" s="276">
        <v>0</v>
      </c>
      <c r="BA47" s="112">
        <v>-442</v>
      </c>
      <c r="BB47" s="13">
        <f t="shared" ref="BB47:BB53" si="70">SUM(AX47:BA47)</f>
        <v>-7474</v>
      </c>
      <c r="BC47" s="276">
        <v>0</v>
      </c>
      <c r="BD47" s="112">
        <v>0</v>
      </c>
      <c r="BE47" s="112">
        <v>0</v>
      </c>
      <c r="BF47" s="112">
        <v>-146553</v>
      </c>
      <c r="BG47" s="13">
        <f t="shared" ref="BG47:BG53" si="71">SUM(BC47:BF47)</f>
        <v>-146553</v>
      </c>
      <c r="BH47" s="276">
        <v>-17786</v>
      </c>
      <c r="BI47" s="112">
        <v>0</v>
      </c>
      <c r="BJ47" s="112">
        <v>0</v>
      </c>
      <c r="BK47" s="112">
        <v>0</v>
      </c>
      <c r="BL47" s="13">
        <f t="shared" ref="BL47:BL53" si="72">SUM(BH47:BK47)</f>
        <v>-17786</v>
      </c>
      <c r="BM47" s="112">
        <v>-15482</v>
      </c>
      <c r="BN47" s="112">
        <v>0</v>
      </c>
      <c r="BO47" s="112">
        <v>-2</v>
      </c>
      <c r="BP47" s="112">
        <v>0</v>
      </c>
      <c r="BQ47" s="92">
        <f t="shared" ref="BQ47:BQ53" si="73">SUM(BM47:BP47)</f>
        <v>-15484</v>
      </c>
      <c r="BR47" s="112">
        <v>0</v>
      </c>
      <c r="BS47" s="112">
        <f>-12975-BR47</f>
        <v>-12975</v>
      </c>
      <c r="BT47" s="112">
        <v>0</v>
      </c>
      <c r="BU47" s="112">
        <v>-2</v>
      </c>
      <c r="BV47" s="92">
        <f>SUM(BR47:BU47)</f>
        <v>-12977</v>
      </c>
      <c r="BW47" s="112">
        <v>0</v>
      </c>
      <c r="BX47" s="112">
        <v>0</v>
      </c>
      <c r="BY47" s="112">
        <v>0</v>
      </c>
      <c r="BZ47" s="112">
        <v>0</v>
      </c>
      <c r="CA47" s="92">
        <f>SUM(BW47:BZ47)</f>
        <v>0</v>
      </c>
      <c r="CB47" s="112">
        <v>0</v>
      </c>
      <c r="CC47" s="112">
        <v>0</v>
      </c>
      <c r="CD47" s="112">
        <v>0</v>
      </c>
      <c r="CE47" s="112">
        <v>0</v>
      </c>
      <c r="CF47" s="92">
        <f>SUM(CB47:CE47)</f>
        <v>0</v>
      </c>
      <c r="CG47" s="112">
        <v>0</v>
      </c>
      <c r="CH47" s="112"/>
      <c r="CI47" s="112"/>
      <c r="CJ47" s="112">
        <v>0</v>
      </c>
      <c r="CK47" s="92">
        <f>SUM(CG47:CJ47)</f>
        <v>0</v>
      </c>
      <c r="CL47" s="112"/>
      <c r="CM47" s="112">
        <v>-1605</v>
      </c>
      <c r="CN47" s="112">
        <v>-173045</v>
      </c>
      <c r="CO47" s="112">
        <v>0</v>
      </c>
      <c r="CP47" s="13">
        <f>SUM(CL47:CO47)</f>
        <v>-174650</v>
      </c>
      <c r="CQ47" s="112">
        <v>0</v>
      </c>
      <c r="CR47" s="112">
        <v>0</v>
      </c>
      <c r="CS47" s="112">
        <v>0</v>
      </c>
      <c r="CT47" s="112">
        <v>0</v>
      </c>
      <c r="CU47" s="92">
        <f>SUM(CQ47:CT47)</f>
        <v>0</v>
      </c>
    </row>
    <row r="48" spans="2:99">
      <c r="B48" s="8"/>
      <c r="C48" s="7" t="s">
        <v>110</v>
      </c>
      <c r="D48" s="13">
        <v>1151</v>
      </c>
      <c r="E48" s="12">
        <v>256</v>
      </c>
      <c r="F48" s="12">
        <f>574-E48</f>
        <v>318</v>
      </c>
      <c r="G48" s="12">
        <f>872-F48-E48</f>
        <v>298</v>
      </c>
      <c r="H48" s="12">
        <f>I48-G48-F48-E48</f>
        <v>361</v>
      </c>
      <c r="I48" s="13">
        <v>1233</v>
      </c>
      <c r="J48" s="12">
        <v>322</v>
      </c>
      <c r="K48" s="12">
        <f>713-J48</f>
        <v>391</v>
      </c>
      <c r="L48" s="12">
        <f>1069-K48-J48</f>
        <v>356</v>
      </c>
      <c r="M48" s="12">
        <f>N48-L48-K48-J48</f>
        <v>425</v>
      </c>
      <c r="N48" s="13">
        <v>1494</v>
      </c>
      <c r="O48" s="12">
        <v>447</v>
      </c>
      <c r="P48" s="12">
        <f>951-O48</f>
        <v>504</v>
      </c>
      <c r="Q48" s="12">
        <f>1404-P48-O48</f>
        <v>453</v>
      </c>
      <c r="R48" s="12">
        <f t="shared" si="64"/>
        <v>497</v>
      </c>
      <c r="S48" s="13">
        <v>1901</v>
      </c>
      <c r="T48" s="12">
        <v>456</v>
      </c>
      <c r="U48" s="12">
        <f>924-T48</f>
        <v>468</v>
      </c>
      <c r="V48" s="12">
        <f>1472-U48-T48</f>
        <v>548</v>
      </c>
      <c r="W48" s="12">
        <f>X48-V48-U48-T48</f>
        <v>573</v>
      </c>
      <c r="X48" s="13">
        <v>2045</v>
      </c>
      <c r="Y48" s="12">
        <v>509</v>
      </c>
      <c r="Z48" s="112">
        <f>1166-Y48</f>
        <v>657</v>
      </c>
      <c r="AA48" s="112">
        <f>1832-Z48-Y48</f>
        <v>666</v>
      </c>
      <c r="AB48" s="112">
        <v>809</v>
      </c>
      <c r="AC48" s="115">
        <f t="shared" si="65"/>
        <v>2641</v>
      </c>
      <c r="AD48" s="112">
        <v>670</v>
      </c>
      <c r="AE48" s="112">
        <f>1634-AD48</f>
        <v>964</v>
      </c>
      <c r="AF48" s="112">
        <f>2535-AE48-AD48</f>
        <v>901</v>
      </c>
      <c r="AG48" s="112">
        <v>1007</v>
      </c>
      <c r="AH48" s="92">
        <f t="shared" si="66"/>
        <v>3542</v>
      </c>
      <c r="AI48" s="112">
        <v>849</v>
      </c>
      <c r="AJ48" s="112">
        <f>2014-AI48</f>
        <v>1165</v>
      </c>
      <c r="AK48" s="112">
        <v>1023</v>
      </c>
      <c r="AL48" s="112">
        <v>1107</v>
      </c>
      <c r="AM48" s="92">
        <f t="shared" si="67"/>
        <v>4144</v>
      </c>
      <c r="AN48" s="112">
        <v>900</v>
      </c>
      <c r="AO48" s="112">
        <f>2243-AN48</f>
        <v>1343</v>
      </c>
      <c r="AP48" s="112">
        <v>1124</v>
      </c>
      <c r="AQ48" s="385">
        <v>1304</v>
      </c>
      <c r="AR48" s="13">
        <f t="shared" si="68"/>
        <v>4671</v>
      </c>
      <c r="AS48" s="276">
        <v>1238</v>
      </c>
      <c r="AT48" s="276">
        <v>1580</v>
      </c>
      <c r="AU48" s="276">
        <v>1611</v>
      </c>
      <c r="AV48" s="276">
        <v>1807</v>
      </c>
      <c r="AW48" s="13">
        <f t="shared" si="69"/>
        <v>6236</v>
      </c>
      <c r="AX48" s="276">
        <v>1650</v>
      </c>
      <c r="AY48" s="276">
        <v>1777</v>
      </c>
      <c r="AZ48" s="276">
        <v>1915</v>
      </c>
      <c r="BA48" s="112">
        <v>1702</v>
      </c>
      <c r="BB48" s="13">
        <f t="shared" si="70"/>
        <v>7044</v>
      </c>
      <c r="BC48" s="276">
        <v>1798</v>
      </c>
      <c r="BD48" s="112">
        <v>1962</v>
      </c>
      <c r="BE48" s="112">
        <v>0</v>
      </c>
      <c r="BF48" s="112">
        <v>2073</v>
      </c>
      <c r="BG48" s="13">
        <f t="shared" si="71"/>
        <v>5833</v>
      </c>
      <c r="BH48" s="276">
        <v>2349</v>
      </c>
      <c r="BI48" s="112">
        <v>2260</v>
      </c>
      <c r="BJ48" s="112">
        <v>2718</v>
      </c>
      <c r="BK48" s="112">
        <v>2249</v>
      </c>
      <c r="BL48" s="13">
        <f t="shared" si="72"/>
        <v>9576</v>
      </c>
      <c r="BM48" s="112">
        <v>2469</v>
      </c>
      <c r="BN48" s="112">
        <v>2708</v>
      </c>
      <c r="BO48" s="112">
        <v>3032</v>
      </c>
      <c r="BP48" s="112">
        <v>2703</v>
      </c>
      <c r="BQ48" s="13">
        <f t="shared" si="73"/>
        <v>10912</v>
      </c>
      <c r="BR48" s="112">
        <v>0</v>
      </c>
      <c r="BS48" s="112">
        <v>0</v>
      </c>
      <c r="BT48" s="112">
        <v>3557</v>
      </c>
      <c r="BU48" s="112">
        <v>3401</v>
      </c>
      <c r="BV48" s="13">
        <f>SUM(BR48:BU48)</f>
        <v>6958</v>
      </c>
      <c r="BW48" s="112">
        <v>3678</v>
      </c>
      <c r="BX48" s="112">
        <v>-12152</v>
      </c>
      <c r="BY48" s="112">
        <v>4458</v>
      </c>
      <c r="BZ48" s="112">
        <v>4037</v>
      </c>
      <c r="CA48" s="13">
        <f>SUM(BW48:BZ48)</f>
        <v>21</v>
      </c>
      <c r="CB48" s="112">
        <v>3037</v>
      </c>
      <c r="CC48" s="112">
        <v>4714</v>
      </c>
      <c r="CD48" s="112">
        <v>4029</v>
      </c>
      <c r="CE48" s="112">
        <v>4416</v>
      </c>
      <c r="CF48" s="13">
        <f>SUM(CB48:CE48)</f>
        <v>16196</v>
      </c>
      <c r="CG48" s="112">
        <v>3553</v>
      </c>
      <c r="CH48" s="112">
        <v>4921</v>
      </c>
      <c r="CI48" s="112">
        <v>4347</v>
      </c>
      <c r="CJ48" s="112">
        <v>4810</v>
      </c>
      <c r="CK48" s="13">
        <f>SUM(CG48:CJ48)</f>
        <v>17631</v>
      </c>
      <c r="CL48" s="112">
        <v>3970</v>
      </c>
      <c r="CM48" s="112">
        <v>5352</v>
      </c>
      <c r="CN48" s="112">
        <v>4561</v>
      </c>
      <c r="CO48" s="112">
        <v>4965</v>
      </c>
      <c r="CP48" s="13">
        <f>SUM(CL48:CO48)</f>
        <v>18848</v>
      </c>
      <c r="CQ48" s="112">
        <v>0</v>
      </c>
      <c r="CR48" s="112">
        <v>0</v>
      </c>
      <c r="CS48" s="112">
        <v>0</v>
      </c>
      <c r="CT48" s="112">
        <v>0</v>
      </c>
      <c r="CU48" s="13">
        <f>SUM(CQ48:CT48)</f>
        <v>0</v>
      </c>
    </row>
    <row r="49" spans="2:99">
      <c r="B49" s="8"/>
      <c r="C49" s="7" t="s">
        <v>111</v>
      </c>
      <c r="D49" s="13">
        <v>3589</v>
      </c>
      <c r="E49" s="12">
        <v>164</v>
      </c>
      <c r="F49" s="12">
        <f>692-E49</f>
        <v>528</v>
      </c>
      <c r="G49" s="12">
        <f>1617-F49-E49</f>
        <v>925</v>
      </c>
      <c r="H49" s="12">
        <f>I49-G49-F49-E49</f>
        <v>198</v>
      </c>
      <c r="I49" s="13">
        <v>1815</v>
      </c>
      <c r="J49" s="12">
        <v>558</v>
      </c>
      <c r="K49" s="12">
        <f>1051-J49</f>
        <v>493</v>
      </c>
      <c r="L49" s="12">
        <f>1425-K49-J49</f>
        <v>374</v>
      </c>
      <c r="M49" s="12">
        <f>N49-L49-K49-J49</f>
        <v>870</v>
      </c>
      <c r="N49" s="13">
        <v>2295</v>
      </c>
      <c r="O49" s="12">
        <v>79</v>
      </c>
      <c r="P49" s="12">
        <f>1607-O49</f>
        <v>1528</v>
      </c>
      <c r="Q49" s="12">
        <f>1863-P49-O49</f>
        <v>256</v>
      </c>
      <c r="R49" s="12">
        <f t="shared" si="64"/>
        <v>1318</v>
      </c>
      <c r="S49" s="13">
        <v>3181</v>
      </c>
      <c r="T49" s="12">
        <v>343</v>
      </c>
      <c r="U49" s="12">
        <f>1416-T49</f>
        <v>1073</v>
      </c>
      <c r="V49" s="12">
        <f>1570-U49-T49</f>
        <v>154</v>
      </c>
      <c r="W49" s="12">
        <f>X49-V49-U49-T49</f>
        <v>983</v>
      </c>
      <c r="X49" s="13">
        <v>2553</v>
      </c>
      <c r="Y49" s="12">
        <v>924</v>
      </c>
      <c r="Z49" s="112">
        <f>2359-Y49</f>
        <v>1435</v>
      </c>
      <c r="AA49" s="112">
        <f>5572-Z49-Y49</f>
        <v>3213</v>
      </c>
      <c r="AB49" s="112">
        <v>6871</v>
      </c>
      <c r="AC49" s="115">
        <f t="shared" si="65"/>
        <v>12443</v>
      </c>
      <c r="AD49" s="112">
        <v>1637</v>
      </c>
      <c r="AE49" s="112">
        <f>4481-AD49</f>
        <v>2844</v>
      </c>
      <c r="AF49" s="112">
        <f>9401-AE49-AD49</f>
        <v>4920</v>
      </c>
      <c r="AG49" s="112">
        <v>8888</v>
      </c>
      <c r="AH49" s="92">
        <f t="shared" si="66"/>
        <v>18289</v>
      </c>
      <c r="AI49" s="112">
        <v>2024</v>
      </c>
      <c r="AJ49" s="112">
        <f>4117-AI49</f>
        <v>2093</v>
      </c>
      <c r="AK49" s="112">
        <v>2622</v>
      </c>
      <c r="AL49" s="112">
        <v>7941</v>
      </c>
      <c r="AM49" s="92">
        <f t="shared" si="67"/>
        <v>14680</v>
      </c>
      <c r="AN49" s="112">
        <v>3425</v>
      </c>
      <c r="AO49" s="112">
        <f>6729-AN49</f>
        <v>3304</v>
      </c>
      <c r="AP49" s="112">
        <v>1640</v>
      </c>
      <c r="AQ49" s="385">
        <v>14791</v>
      </c>
      <c r="AR49" s="13">
        <f t="shared" si="68"/>
        <v>23160</v>
      </c>
      <c r="AS49" s="276">
        <v>1781</v>
      </c>
      <c r="AT49" s="276">
        <v>4012</v>
      </c>
      <c r="AU49" s="276">
        <v>9296</v>
      </c>
      <c r="AV49" s="276">
        <v>8438</v>
      </c>
      <c r="AW49" s="13">
        <f t="shared" si="69"/>
        <v>23527</v>
      </c>
      <c r="AX49" s="276">
        <v>14851</v>
      </c>
      <c r="AY49" s="276">
        <v>8509</v>
      </c>
      <c r="AZ49" s="276">
        <v>10208</v>
      </c>
      <c r="BA49" s="112">
        <v>16277</v>
      </c>
      <c r="BB49" s="13">
        <f t="shared" si="70"/>
        <v>49845</v>
      </c>
      <c r="BC49" s="276">
        <v>19298</v>
      </c>
      <c r="BD49" s="112">
        <v>25019</v>
      </c>
      <c r="BE49" s="112">
        <v>26219</v>
      </c>
      <c r="BF49" s="112">
        <v>4371</v>
      </c>
      <c r="BG49" s="13">
        <f t="shared" si="71"/>
        <v>74907</v>
      </c>
      <c r="BH49" s="276">
        <v>6528</v>
      </c>
      <c r="BI49" s="112">
        <v>15604</v>
      </c>
      <c r="BJ49" s="112">
        <v>40163</v>
      </c>
      <c r="BK49" s="112">
        <v>34613</v>
      </c>
      <c r="BL49" s="13">
        <f t="shared" si="72"/>
        <v>96908</v>
      </c>
      <c r="BM49" s="112">
        <v>46236</v>
      </c>
      <c r="BN49" s="112">
        <v>46101</v>
      </c>
      <c r="BO49" s="112">
        <v>8395</v>
      </c>
      <c r="BP49" s="112">
        <v>23631</v>
      </c>
      <c r="BQ49" s="13">
        <f t="shared" si="73"/>
        <v>124363</v>
      </c>
      <c r="BR49" s="112">
        <v>18102</v>
      </c>
      <c r="BS49" s="112">
        <f>29388-BR49</f>
        <v>11286</v>
      </c>
      <c r="BT49" s="112">
        <v>17045</v>
      </c>
      <c r="BU49" s="112">
        <v>50281</v>
      </c>
      <c r="BV49" s="13">
        <f>SUM(BR49:BU49)</f>
        <v>96714</v>
      </c>
      <c r="BW49" s="112">
        <v>8045</v>
      </c>
      <c r="BX49" s="112">
        <v>4478</v>
      </c>
      <c r="BY49" s="112">
        <v>4405</v>
      </c>
      <c r="BZ49" s="112">
        <v>-1188</v>
      </c>
      <c r="CA49" s="13">
        <f>SUM(BW49:BZ49)</f>
        <v>15740</v>
      </c>
      <c r="CB49" s="112">
        <v>-158</v>
      </c>
      <c r="CC49" s="112">
        <v>2281</v>
      </c>
      <c r="CD49" s="112">
        <v>6315</v>
      </c>
      <c r="CE49" s="112">
        <v>8522</v>
      </c>
      <c r="CF49" s="13">
        <f>SUM(CB49:CE49)</f>
        <v>16960</v>
      </c>
      <c r="CG49" s="112">
        <v>10033</v>
      </c>
      <c r="CH49" s="112">
        <v>5852</v>
      </c>
      <c r="CI49" s="112">
        <v>31548</v>
      </c>
      <c r="CJ49" s="112">
        <v>9780</v>
      </c>
      <c r="CK49" s="13">
        <f>SUM(CG49:CJ49)</f>
        <v>57213</v>
      </c>
      <c r="CL49" s="112">
        <v>1526</v>
      </c>
      <c r="CM49" s="112">
        <v>-4681</v>
      </c>
      <c r="CN49" s="112">
        <v>15461</v>
      </c>
      <c r="CO49" s="112">
        <v>-9162</v>
      </c>
      <c r="CP49" s="13">
        <f>SUM(CL49:CO49)</f>
        <v>3144</v>
      </c>
      <c r="CQ49" s="112">
        <v>0</v>
      </c>
      <c r="CR49" s="112">
        <v>0</v>
      </c>
      <c r="CS49" s="112">
        <v>0</v>
      </c>
      <c r="CT49" s="112">
        <v>0</v>
      </c>
      <c r="CU49" s="13">
        <f>SUM(CQ49:CT49)</f>
        <v>0</v>
      </c>
    </row>
    <row r="50" spans="2:99">
      <c r="B50" s="8"/>
      <c r="C50" s="7" t="s">
        <v>686</v>
      </c>
      <c r="D50" s="13"/>
      <c r="E50" s="12"/>
      <c r="F50" s="12"/>
      <c r="G50" s="12"/>
      <c r="H50" s="12"/>
      <c r="I50" s="13"/>
      <c r="J50" s="12"/>
      <c r="K50" s="12"/>
      <c r="L50" s="12"/>
      <c r="M50" s="12"/>
      <c r="N50" s="13"/>
      <c r="O50" s="12"/>
      <c r="P50" s="12"/>
      <c r="Q50" s="12"/>
      <c r="R50" s="12"/>
      <c r="S50" s="13"/>
      <c r="T50" s="12"/>
      <c r="U50" s="12"/>
      <c r="V50" s="12"/>
      <c r="W50" s="12"/>
      <c r="X50" s="13"/>
      <c r="Y50" s="12"/>
      <c r="Z50" s="112"/>
      <c r="AA50" s="112"/>
      <c r="AB50" s="112"/>
      <c r="AC50" s="115"/>
      <c r="AD50" s="112"/>
      <c r="AE50" s="112"/>
      <c r="AF50" s="112"/>
      <c r="AG50" s="112"/>
      <c r="AH50" s="92"/>
      <c r="AI50" s="112"/>
      <c r="AJ50" s="112"/>
      <c r="AK50" s="112"/>
      <c r="AL50" s="112"/>
      <c r="AM50" s="92"/>
      <c r="AN50" s="112"/>
      <c r="AO50" s="112"/>
      <c r="AP50" s="112"/>
      <c r="AQ50" s="385"/>
      <c r="AR50" s="13"/>
      <c r="AS50" s="276"/>
      <c r="AT50" s="276"/>
      <c r="AU50" s="276"/>
      <c r="AV50" s="276"/>
      <c r="AW50" s="13"/>
      <c r="AX50" s="276"/>
      <c r="AY50" s="276"/>
      <c r="AZ50" s="276"/>
      <c r="BA50" s="112"/>
      <c r="BB50" s="13"/>
      <c r="BC50" s="276"/>
      <c r="BD50" s="112"/>
      <c r="BE50" s="112"/>
      <c r="BF50" s="112"/>
      <c r="BG50" s="13"/>
      <c r="BH50" s="276"/>
      <c r="BI50" s="112"/>
      <c r="BJ50" s="112"/>
      <c r="BK50" s="112"/>
      <c r="BL50" s="13"/>
      <c r="BM50" s="112">
        <v>-5619</v>
      </c>
      <c r="BN50" s="112"/>
      <c r="BO50" s="112"/>
      <c r="BP50" s="112"/>
      <c r="BQ50" s="13">
        <f t="shared" si="73"/>
        <v>-5619</v>
      </c>
      <c r="BR50" s="112">
        <v>0</v>
      </c>
      <c r="BS50" s="112">
        <v>0</v>
      </c>
      <c r="BT50" s="112"/>
      <c r="BU50" s="112"/>
      <c r="BV50" s="13"/>
      <c r="BW50" s="112"/>
      <c r="BX50" s="112"/>
      <c r="BY50" s="112"/>
      <c r="BZ50" s="112"/>
      <c r="CA50" s="13"/>
      <c r="CB50" s="112"/>
      <c r="CC50" s="112"/>
      <c r="CD50" s="112"/>
      <c r="CE50" s="112"/>
      <c r="CF50" s="13"/>
      <c r="CG50" s="112"/>
      <c r="CH50" s="112"/>
      <c r="CI50" s="112"/>
      <c r="CJ50" s="112"/>
      <c r="CK50" s="13"/>
      <c r="CL50" s="112"/>
      <c r="CM50" s="112"/>
      <c r="CN50" s="112"/>
      <c r="CO50" s="112"/>
      <c r="CP50" s="13"/>
      <c r="CQ50" s="112"/>
      <c r="CR50" s="112"/>
      <c r="CS50" s="112"/>
      <c r="CT50" s="112"/>
      <c r="CU50" s="13"/>
    </row>
    <row r="51" spans="2:99">
      <c r="B51" s="8"/>
      <c r="C51" s="7" t="s">
        <v>121</v>
      </c>
      <c r="D51" s="13">
        <v>0</v>
      </c>
      <c r="E51" s="12">
        <v>0</v>
      </c>
      <c r="F51" s="12">
        <v>0</v>
      </c>
      <c r="G51" s="12">
        <v>0</v>
      </c>
      <c r="H51" s="12">
        <v>0</v>
      </c>
      <c r="I51" s="13">
        <v>0</v>
      </c>
      <c r="J51" s="12">
        <v>0</v>
      </c>
      <c r="K51" s="12">
        <v>0</v>
      </c>
      <c r="L51" s="12">
        <v>0</v>
      </c>
      <c r="M51" s="12">
        <v>0</v>
      </c>
      <c r="N51" s="13">
        <v>0</v>
      </c>
      <c r="O51" s="12">
        <v>0</v>
      </c>
      <c r="P51" s="12">
        <v>0</v>
      </c>
      <c r="Q51" s="12">
        <f>-2027-P51-O51</f>
        <v>-2027</v>
      </c>
      <c r="R51" s="12">
        <f t="shared" si="64"/>
        <v>0</v>
      </c>
      <c r="S51" s="13">
        <v>-2027</v>
      </c>
      <c r="T51" s="12">
        <v>0</v>
      </c>
      <c r="U51" s="12">
        <v>0</v>
      </c>
      <c r="V51" s="12">
        <v>0</v>
      </c>
      <c r="W51" s="12">
        <v>0</v>
      </c>
      <c r="X51" s="13">
        <v>0</v>
      </c>
      <c r="Y51" s="12"/>
      <c r="Z51" s="112">
        <v>0</v>
      </c>
      <c r="AA51" s="112">
        <v>0</v>
      </c>
      <c r="AB51" s="112">
        <v>0</v>
      </c>
      <c r="AC51" s="115">
        <f t="shared" si="65"/>
        <v>0</v>
      </c>
      <c r="AD51" s="112">
        <v>0</v>
      </c>
      <c r="AE51" s="112">
        <v>0</v>
      </c>
      <c r="AF51" s="112">
        <v>0</v>
      </c>
      <c r="AG51" s="112">
        <v>0</v>
      </c>
      <c r="AH51" s="92">
        <f t="shared" si="66"/>
        <v>0</v>
      </c>
      <c r="AI51" s="112">
        <v>0</v>
      </c>
      <c r="AJ51" s="112">
        <v>0</v>
      </c>
      <c r="AK51" s="112">
        <v>0</v>
      </c>
      <c r="AL51" s="112">
        <v>0</v>
      </c>
      <c r="AM51" s="92">
        <f t="shared" si="67"/>
        <v>0</v>
      </c>
      <c r="AN51" s="112">
        <v>0</v>
      </c>
      <c r="AO51" s="112">
        <v>0</v>
      </c>
      <c r="AP51" s="112">
        <v>0</v>
      </c>
      <c r="AQ51" s="385">
        <v>-2134</v>
      </c>
      <c r="AR51" s="13">
        <f t="shared" si="68"/>
        <v>-2134</v>
      </c>
      <c r="AS51" s="276">
        <v>0</v>
      </c>
      <c r="AT51" s="276">
        <v>0</v>
      </c>
      <c r="AU51" s="276">
        <v>0</v>
      </c>
      <c r="AV51" s="276">
        <v>0</v>
      </c>
      <c r="AW51" s="13">
        <f t="shared" si="69"/>
        <v>0</v>
      </c>
      <c r="AX51" s="276">
        <v>0</v>
      </c>
      <c r="AY51" s="276">
        <v>0</v>
      </c>
      <c r="AZ51" s="276">
        <v>0</v>
      </c>
      <c r="BA51" s="112">
        <v>0</v>
      </c>
      <c r="BB51" s="13">
        <f t="shared" si="70"/>
        <v>0</v>
      </c>
      <c r="BC51" s="276">
        <v>0</v>
      </c>
      <c r="BD51" s="112">
        <v>0</v>
      </c>
      <c r="BE51" s="112">
        <v>0</v>
      </c>
      <c r="BF51" s="112">
        <v>0</v>
      </c>
      <c r="BG51" s="13">
        <f t="shared" si="71"/>
        <v>0</v>
      </c>
      <c r="BH51" s="276">
        <v>0</v>
      </c>
      <c r="BI51" s="112">
        <v>0</v>
      </c>
      <c r="BJ51" s="112">
        <v>0</v>
      </c>
      <c r="BK51" s="112">
        <v>0</v>
      </c>
      <c r="BL51" s="13">
        <f t="shared" si="72"/>
        <v>0</v>
      </c>
      <c r="BM51" s="112">
        <v>0</v>
      </c>
      <c r="BN51" s="112">
        <v>0</v>
      </c>
      <c r="BO51" s="112">
        <v>0</v>
      </c>
      <c r="BP51" s="112">
        <v>0</v>
      </c>
      <c r="BQ51" s="13">
        <f t="shared" si="73"/>
        <v>0</v>
      </c>
      <c r="BR51" s="112">
        <v>-6020</v>
      </c>
      <c r="BS51" s="112">
        <f>-27127-BR51</f>
        <v>-21107</v>
      </c>
      <c r="BT51" s="112">
        <v>-38</v>
      </c>
      <c r="BU51" s="112">
        <v>0</v>
      </c>
      <c r="BV51" s="13">
        <f>SUM(BR51:BU51)</f>
        <v>-27165</v>
      </c>
      <c r="BW51" s="112">
        <v>0</v>
      </c>
      <c r="BX51" s="112">
        <v>0</v>
      </c>
      <c r="BY51" s="112">
        <v>0</v>
      </c>
      <c r="BZ51" s="112">
        <v>0</v>
      </c>
      <c r="CA51" s="13">
        <f>SUM(BW51:BZ51)</f>
        <v>0</v>
      </c>
      <c r="CB51" s="112">
        <v>0</v>
      </c>
      <c r="CC51" s="112">
        <v>0</v>
      </c>
      <c r="CD51" s="112">
        <v>0</v>
      </c>
      <c r="CE51" s="112">
        <v>0</v>
      </c>
      <c r="CF51" s="13">
        <f>SUM(CB51:CE51)</f>
        <v>0</v>
      </c>
      <c r="CG51" s="112">
        <v>0</v>
      </c>
      <c r="CH51" s="112"/>
      <c r="CI51" s="112">
        <v>-2637</v>
      </c>
      <c r="CJ51" s="112">
        <v>0</v>
      </c>
      <c r="CK51" s="13">
        <f>SUM(CG51:CJ51)</f>
        <v>-2637</v>
      </c>
      <c r="CL51" s="112"/>
      <c r="CM51" s="112">
        <v>0</v>
      </c>
      <c r="CN51" s="112">
        <v>0</v>
      </c>
      <c r="CO51" s="112">
        <v>0</v>
      </c>
      <c r="CP51" s="13">
        <f>SUM(CL51:CO51)</f>
        <v>0</v>
      </c>
      <c r="CQ51" s="112">
        <v>0</v>
      </c>
      <c r="CR51" s="112">
        <v>0</v>
      </c>
      <c r="CS51" s="112">
        <v>0</v>
      </c>
      <c r="CT51" s="112">
        <v>0</v>
      </c>
      <c r="CU51" s="13">
        <f>SUM(CQ51:CT51)</f>
        <v>0</v>
      </c>
    </row>
    <row r="52" spans="2:99">
      <c r="B52" s="8"/>
      <c r="C52" s="7" t="s">
        <v>112</v>
      </c>
      <c r="D52" s="13">
        <v>1891</v>
      </c>
      <c r="E52" s="12">
        <v>42</v>
      </c>
      <c r="F52" s="12">
        <f>367-E52</f>
        <v>325</v>
      </c>
      <c r="G52" s="12">
        <f>560-F52-E52</f>
        <v>193</v>
      </c>
      <c r="H52" s="12">
        <f>I52-G52-F52-E52</f>
        <v>106</v>
      </c>
      <c r="I52" s="13">
        <v>666</v>
      </c>
      <c r="J52" s="12">
        <v>148</v>
      </c>
      <c r="K52" s="12">
        <f>2357-J52</f>
        <v>2209</v>
      </c>
      <c r="L52" s="12">
        <f>525-K52-J52</f>
        <v>-1832</v>
      </c>
      <c r="M52" s="12">
        <f>N52-L52-K52-J52</f>
        <v>600</v>
      </c>
      <c r="N52" s="13">
        <v>1125</v>
      </c>
      <c r="O52" s="12">
        <v>48</v>
      </c>
      <c r="P52" s="12">
        <f>1161-O52</f>
        <v>1113</v>
      </c>
      <c r="Q52" s="12">
        <f>1209-P52-O52</f>
        <v>48</v>
      </c>
      <c r="R52" s="12">
        <f t="shared" si="64"/>
        <v>791</v>
      </c>
      <c r="S52" s="13">
        <v>2000</v>
      </c>
      <c r="T52" s="12">
        <v>272</v>
      </c>
      <c r="U52" s="12">
        <f>1692-T52</f>
        <v>1420</v>
      </c>
      <c r="V52" s="12">
        <f>1721-U52-T52</f>
        <v>29</v>
      </c>
      <c r="W52" s="12">
        <f>X52-V52-U52-T52</f>
        <v>1869</v>
      </c>
      <c r="X52" s="13">
        <v>3590</v>
      </c>
      <c r="Y52" s="12">
        <v>686</v>
      </c>
      <c r="Z52" s="112">
        <f>1581-Y52</f>
        <v>895</v>
      </c>
      <c r="AA52" s="112">
        <f>3283-Z52-Y52</f>
        <v>1702</v>
      </c>
      <c r="AB52" s="112">
        <v>5481</v>
      </c>
      <c r="AC52" s="115">
        <f t="shared" si="65"/>
        <v>8764</v>
      </c>
      <c r="AD52" s="112">
        <v>1523</v>
      </c>
      <c r="AE52" s="112">
        <f>5661-AD52</f>
        <v>4138</v>
      </c>
      <c r="AF52" s="112">
        <f>13200-AE52-AD52</f>
        <v>7539</v>
      </c>
      <c r="AG52" s="112">
        <v>15007</v>
      </c>
      <c r="AH52" s="92">
        <f t="shared" si="66"/>
        <v>28207</v>
      </c>
      <c r="AI52" s="112">
        <v>2158</v>
      </c>
      <c r="AJ52" s="112">
        <f>3206-AI52</f>
        <v>1048</v>
      </c>
      <c r="AK52" s="112">
        <v>3511</v>
      </c>
      <c r="AL52" s="112">
        <v>12685</v>
      </c>
      <c r="AM52" s="92">
        <f t="shared" si="67"/>
        <v>19402</v>
      </c>
      <c r="AN52" s="112">
        <v>3558</v>
      </c>
      <c r="AO52" s="112">
        <f>8827-AN52</f>
        <v>5269</v>
      </c>
      <c r="AP52" s="112">
        <v>1974</v>
      </c>
      <c r="AQ52" s="385">
        <v>34513</v>
      </c>
      <c r="AR52" s="13">
        <f t="shared" si="68"/>
        <v>45314</v>
      </c>
      <c r="AS52" s="276">
        <f>-AS14</f>
        <v>1051</v>
      </c>
      <c r="AT52" s="276">
        <v>5643</v>
      </c>
      <c r="AU52" s="276">
        <v>12122</v>
      </c>
      <c r="AV52" s="276">
        <f>-AV14</f>
        <v>-18816</v>
      </c>
      <c r="AW52" s="13">
        <f t="shared" si="69"/>
        <v>0</v>
      </c>
      <c r="AX52" s="276">
        <v>0</v>
      </c>
      <c r="AY52" s="276">
        <v>0</v>
      </c>
      <c r="AZ52" s="276">
        <v>0</v>
      </c>
      <c r="BA52" s="112">
        <v>0</v>
      </c>
      <c r="BB52" s="13">
        <f t="shared" si="70"/>
        <v>0</v>
      </c>
      <c r="BC52" s="276">
        <v>0</v>
      </c>
      <c r="BD52" s="112"/>
      <c r="BE52" s="112">
        <v>2218</v>
      </c>
      <c r="BF52" s="112">
        <f>-BF14</f>
        <v>0</v>
      </c>
      <c r="BG52" s="13">
        <f t="shared" si="71"/>
        <v>2218</v>
      </c>
      <c r="BH52" s="276">
        <v>0</v>
      </c>
      <c r="BI52" s="112">
        <v>0</v>
      </c>
      <c r="BJ52" s="112">
        <v>0</v>
      </c>
      <c r="BK52" s="112">
        <v>0</v>
      </c>
      <c r="BL52" s="13">
        <f t="shared" si="72"/>
        <v>0</v>
      </c>
      <c r="BM52" s="112"/>
      <c r="BN52" s="112"/>
      <c r="BO52" s="112"/>
      <c r="BP52" s="112">
        <f>-BP14</f>
        <v>5478</v>
      </c>
      <c r="BQ52" s="13">
        <f t="shared" si="73"/>
        <v>5478</v>
      </c>
      <c r="BR52" s="112">
        <v>0</v>
      </c>
      <c r="BS52" s="112">
        <v>0</v>
      </c>
      <c r="BT52" s="112">
        <f>-BT14</f>
        <v>0</v>
      </c>
      <c r="BU52" s="112">
        <f>-BU14</f>
        <v>0</v>
      </c>
      <c r="BV52" s="13">
        <f>SUM(BR52:BU52)</f>
        <v>0</v>
      </c>
      <c r="BW52" s="112">
        <f>-BW14</f>
        <v>0</v>
      </c>
      <c r="BX52" s="112">
        <f>-BX14</f>
        <v>0</v>
      </c>
      <c r="BY52" s="112">
        <f>-BY14</f>
        <v>0</v>
      </c>
      <c r="BZ52" s="112">
        <f>-BZ14</f>
        <v>0</v>
      </c>
      <c r="CA52" s="13">
        <f>SUM(BW52:BZ52)</f>
        <v>0</v>
      </c>
      <c r="CB52" s="112"/>
      <c r="CC52" s="112"/>
      <c r="CD52" s="112"/>
      <c r="CE52" s="112"/>
      <c r="CF52" s="13">
        <f>SUM(CB52:CE52)</f>
        <v>0</v>
      </c>
      <c r="CG52" s="112"/>
      <c r="CH52" s="112"/>
      <c r="CI52" s="112"/>
      <c r="CJ52" s="112"/>
      <c r="CK52" s="13">
        <f>SUM(CG52:CJ52)</f>
        <v>0</v>
      </c>
      <c r="CL52" s="112"/>
      <c r="CM52" s="112"/>
      <c r="CN52" s="112"/>
      <c r="CO52" s="112"/>
      <c r="CP52" s="13">
        <f>SUM(CL52:CO52)</f>
        <v>0</v>
      </c>
      <c r="CQ52" s="112"/>
      <c r="CR52" s="112"/>
      <c r="CS52" s="112"/>
      <c r="CT52" s="112"/>
      <c r="CU52" s="13">
        <f>SUM(CQ52:CT52)</f>
        <v>0</v>
      </c>
    </row>
    <row r="53" spans="2:99">
      <c r="B53" s="8"/>
      <c r="C53" s="7" t="s">
        <v>57</v>
      </c>
      <c r="D53" s="13">
        <v>0</v>
      </c>
      <c r="E53" s="12">
        <v>0</v>
      </c>
      <c r="F53" s="12">
        <v>0</v>
      </c>
      <c r="G53" s="12">
        <f>2005-F53-E53</f>
        <v>2005</v>
      </c>
      <c r="H53" s="12">
        <f>I53-G53-F53-E53</f>
        <v>0</v>
      </c>
      <c r="I53" s="13">
        <v>2005</v>
      </c>
      <c r="J53" s="12">
        <v>0</v>
      </c>
      <c r="K53" s="12">
        <v>0</v>
      </c>
      <c r="L53" s="12">
        <v>0</v>
      </c>
      <c r="M53" s="12">
        <f>N53-L53-K53-J53</f>
        <v>0</v>
      </c>
      <c r="N53" s="13">
        <v>0</v>
      </c>
      <c r="O53" s="12">
        <v>0</v>
      </c>
      <c r="P53" s="12">
        <v>0</v>
      </c>
      <c r="Q53" s="12">
        <v>0</v>
      </c>
      <c r="R53" s="12">
        <v>0</v>
      </c>
      <c r="S53" s="13">
        <v>0</v>
      </c>
      <c r="T53" s="12">
        <v>0</v>
      </c>
      <c r="U53" s="12">
        <v>0</v>
      </c>
      <c r="V53" s="12">
        <v>0</v>
      </c>
      <c r="W53" s="12">
        <v>0</v>
      </c>
      <c r="X53" s="13">
        <v>0</v>
      </c>
      <c r="Y53" s="12">
        <v>0</v>
      </c>
      <c r="Z53" s="112">
        <v>0</v>
      </c>
      <c r="AA53" s="112">
        <v>0</v>
      </c>
      <c r="AB53" s="112">
        <v>0</v>
      </c>
      <c r="AC53" s="115">
        <f t="shared" si="65"/>
        <v>0</v>
      </c>
      <c r="AD53" s="112">
        <v>0</v>
      </c>
      <c r="AE53" s="112">
        <v>0</v>
      </c>
      <c r="AF53" s="112">
        <v>0</v>
      </c>
      <c r="AG53" s="112">
        <v>0</v>
      </c>
      <c r="AH53" s="92">
        <f t="shared" si="66"/>
        <v>0</v>
      </c>
      <c r="AI53" s="112">
        <v>0</v>
      </c>
      <c r="AJ53" s="112">
        <v>0</v>
      </c>
      <c r="AK53" s="112">
        <v>0</v>
      </c>
      <c r="AL53" s="112">
        <v>0</v>
      </c>
      <c r="AM53" s="92">
        <f t="shared" si="67"/>
        <v>0</v>
      </c>
      <c r="AN53" s="112">
        <v>0</v>
      </c>
      <c r="AO53" s="112">
        <v>0</v>
      </c>
      <c r="AP53" s="112">
        <v>0</v>
      </c>
      <c r="AQ53" s="385">
        <v>0</v>
      </c>
      <c r="AR53" s="92">
        <f t="shared" si="68"/>
        <v>0</v>
      </c>
      <c r="AS53" s="276">
        <v>0</v>
      </c>
      <c r="AT53" s="276">
        <v>0</v>
      </c>
      <c r="AU53" s="276">
        <v>0</v>
      </c>
      <c r="AV53" s="276">
        <v>0</v>
      </c>
      <c r="AW53" s="13">
        <f t="shared" si="69"/>
        <v>0</v>
      </c>
      <c r="AX53" s="276">
        <v>0</v>
      </c>
      <c r="AY53" s="276">
        <v>0</v>
      </c>
      <c r="AZ53" s="276">
        <v>0</v>
      </c>
      <c r="BA53" s="112">
        <v>0</v>
      </c>
      <c r="BB53" s="92">
        <f t="shared" si="70"/>
        <v>0</v>
      </c>
      <c r="BC53" s="276">
        <v>0</v>
      </c>
      <c r="BD53" s="112">
        <v>0</v>
      </c>
      <c r="BE53" s="112">
        <v>0</v>
      </c>
      <c r="BF53" s="112">
        <v>0</v>
      </c>
      <c r="BG53" s="92">
        <f t="shared" si="71"/>
        <v>0</v>
      </c>
      <c r="BH53" s="276">
        <v>0</v>
      </c>
      <c r="BI53" s="112">
        <v>0</v>
      </c>
      <c r="BJ53" s="112">
        <v>0</v>
      </c>
      <c r="BK53" s="112">
        <v>0</v>
      </c>
      <c r="BL53" s="92">
        <f t="shared" si="72"/>
        <v>0</v>
      </c>
      <c r="BM53" s="112"/>
      <c r="BN53" s="112">
        <v>0</v>
      </c>
      <c r="BO53" s="112">
        <v>0</v>
      </c>
      <c r="BP53" s="112">
        <v>0</v>
      </c>
      <c r="BQ53" s="92">
        <f t="shared" si="73"/>
        <v>0</v>
      </c>
      <c r="BR53" s="112">
        <v>3038</v>
      </c>
      <c r="BS53" s="112">
        <f>6200-BR53</f>
        <v>3162</v>
      </c>
      <c r="BT53" s="112">
        <v>0</v>
      </c>
      <c r="BU53" s="112">
        <v>0</v>
      </c>
      <c r="BV53" s="92">
        <f>SUM(BR53:BU53)</f>
        <v>6200</v>
      </c>
      <c r="BW53" s="112">
        <v>0</v>
      </c>
      <c r="BX53" s="112">
        <v>0</v>
      </c>
      <c r="BY53" s="112">
        <v>0</v>
      </c>
      <c r="BZ53" s="112">
        <v>0</v>
      </c>
      <c r="CA53" s="92">
        <f>SUM(BW53:BZ53)</f>
        <v>0</v>
      </c>
      <c r="CB53" s="112">
        <v>0</v>
      </c>
      <c r="CC53" s="112">
        <v>0</v>
      </c>
      <c r="CD53" s="112">
        <v>0</v>
      </c>
      <c r="CE53" s="112">
        <v>0</v>
      </c>
      <c r="CF53" s="92">
        <f>SUM(CB53:CE53)</f>
        <v>0</v>
      </c>
      <c r="CG53" s="112">
        <v>0</v>
      </c>
      <c r="CH53" s="112"/>
      <c r="CI53" s="112"/>
      <c r="CJ53" s="112">
        <v>0</v>
      </c>
      <c r="CK53" s="92">
        <f>SUM(CG53:CJ53)</f>
        <v>0</v>
      </c>
      <c r="CL53" s="112">
        <v>-4477</v>
      </c>
      <c r="CM53" s="112">
        <v>-2900</v>
      </c>
      <c r="CN53" s="112">
        <v>-335</v>
      </c>
      <c r="CO53" s="112">
        <v>0</v>
      </c>
      <c r="CP53" s="92">
        <f>SUM(CL53:CO53)</f>
        <v>-7712</v>
      </c>
      <c r="CQ53" s="112">
        <v>0</v>
      </c>
      <c r="CR53" s="112">
        <v>0</v>
      </c>
      <c r="CS53" s="112">
        <v>0</v>
      </c>
      <c r="CT53" s="112">
        <v>0</v>
      </c>
      <c r="CU53" s="92">
        <f>SUM(CQ53:CT53)</f>
        <v>0</v>
      </c>
    </row>
    <row r="54" spans="2:99" s="77" customFormat="1">
      <c r="B54" s="34" t="s">
        <v>113</v>
      </c>
      <c r="C54" s="27"/>
      <c r="D54" s="70">
        <f>SUM(D45:D53)</f>
        <v>-7406</v>
      </c>
      <c r="E54" s="71">
        <f t="shared" ref="E54:AH54" si="74">SUM(E45:E53)</f>
        <v>-12184</v>
      </c>
      <c r="F54" s="71">
        <f t="shared" si="74"/>
        <v>1171</v>
      </c>
      <c r="G54" s="71">
        <f t="shared" si="74"/>
        <v>-12901</v>
      </c>
      <c r="H54" s="71">
        <f t="shared" si="74"/>
        <v>-22214</v>
      </c>
      <c r="I54" s="70">
        <f t="shared" si="74"/>
        <v>-46128</v>
      </c>
      <c r="J54" s="71">
        <f t="shared" si="74"/>
        <v>-9568</v>
      </c>
      <c r="K54" s="71">
        <f t="shared" si="74"/>
        <v>10904</v>
      </c>
      <c r="L54" s="71">
        <f t="shared" si="74"/>
        <v>-22479</v>
      </c>
      <c r="M54" s="71">
        <f t="shared" si="74"/>
        <v>-206</v>
      </c>
      <c r="N54" s="70">
        <f t="shared" si="74"/>
        <v>-21349</v>
      </c>
      <c r="O54" s="71">
        <f t="shared" si="74"/>
        <v>-1743</v>
      </c>
      <c r="P54" s="71">
        <f t="shared" si="74"/>
        <v>5714</v>
      </c>
      <c r="Q54" s="71">
        <f t="shared" si="74"/>
        <v>-26696</v>
      </c>
      <c r="R54" s="71">
        <f t="shared" si="74"/>
        <v>-11513</v>
      </c>
      <c r="S54" s="70">
        <f t="shared" si="74"/>
        <v>-34238</v>
      </c>
      <c r="T54" s="71">
        <f t="shared" si="74"/>
        <v>-9768</v>
      </c>
      <c r="U54" s="71">
        <f t="shared" si="74"/>
        <v>-2084</v>
      </c>
      <c r="V54" s="71">
        <f t="shared" si="74"/>
        <v>-20410</v>
      </c>
      <c r="W54" s="71">
        <f t="shared" si="74"/>
        <v>21648</v>
      </c>
      <c r="X54" s="70">
        <f t="shared" si="74"/>
        <v>-29414</v>
      </c>
      <c r="Y54" s="71">
        <f t="shared" si="74"/>
        <v>-2581</v>
      </c>
      <c r="Z54" s="71">
        <f t="shared" si="74"/>
        <v>12687</v>
      </c>
      <c r="AA54" s="71">
        <f t="shared" si="74"/>
        <v>-32119</v>
      </c>
      <c r="AB54" s="71">
        <f t="shared" si="74"/>
        <v>3161</v>
      </c>
      <c r="AC54" s="70">
        <f t="shared" si="74"/>
        <v>-18852</v>
      </c>
      <c r="AD54" s="71">
        <f t="shared" si="74"/>
        <v>-14170</v>
      </c>
      <c r="AE54" s="71">
        <f t="shared" si="74"/>
        <v>7946</v>
      </c>
      <c r="AF54" s="71">
        <f t="shared" si="74"/>
        <v>13360</v>
      </c>
      <c r="AG54" s="71">
        <f t="shared" si="74"/>
        <v>24902</v>
      </c>
      <c r="AH54" s="70">
        <f t="shared" si="74"/>
        <v>32038</v>
      </c>
      <c r="AI54" s="71">
        <f t="shared" ref="AI54:BG54" si="75">SUM(AI45:AI53)</f>
        <v>5031</v>
      </c>
      <c r="AJ54" s="71">
        <f t="shared" si="75"/>
        <v>-18509</v>
      </c>
      <c r="AK54" s="71">
        <f t="shared" si="75"/>
        <v>7154</v>
      </c>
      <c r="AL54" s="71">
        <f t="shared" si="75"/>
        <v>21733</v>
      </c>
      <c r="AM54" s="70">
        <f t="shared" si="75"/>
        <v>15409</v>
      </c>
      <c r="AN54" s="71">
        <f t="shared" si="75"/>
        <v>7883</v>
      </c>
      <c r="AO54" s="71">
        <f t="shared" si="75"/>
        <v>9271</v>
      </c>
      <c r="AP54" s="71">
        <f t="shared" si="75"/>
        <v>4738</v>
      </c>
      <c r="AQ54" s="382">
        <f t="shared" si="75"/>
        <v>114474</v>
      </c>
      <c r="AR54" s="70">
        <f t="shared" si="75"/>
        <v>136366</v>
      </c>
      <c r="AS54" s="280">
        <f t="shared" si="75"/>
        <v>-15860</v>
      </c>
      <c r="AT54" s="280">
        <f t="shared" si="75"/>
        <v>5668</v>
      </c>
      <c r="AU54" s="280">
        <f t="shared" si="75"/>
        <v>-77973</v>
      </c>
      <c r="AV54" s="280">
        <f t="shared" si="75"/>
        <v>-49910</v>
      </c>
      <c r="AW54" s="70">
        <f t="shared" si="75"/>
        <v>-138075</v>
      </c>
      <c r="AX54" s="280">
        <f t="shared" si="75"/>
        <v>-531</v>
      </c>
      <c r="AY54" s="71">
        <f t="shared" si="75"/>
        <v>10286</v>
      </c>
      <c r="AZ54" s="280">
        <f t="shared" si="75"/>
        <v>12123</v>
      </c>
      <c r="BA54" s="71">
        <f t="shared" si="75"/>
        <v>17537</v>
      </c>
      <c r="BB54" s="70">
        <f t="shared" si="75"/>
        <v>39415</v>
      </c>
      <c r="BC54" s="280">
        <f t="shared" si="75"/>
        <v>21096</v>
      </c>
      <c r="BD54" s="71">
        <f t="shared" si="75"/>
        <v>26981</v>
      </c>
      <c r="BE54" s="71">
        <f t="shared" si="75"/>
        <v>28437</v>
      </c>
      <c r="BF54" s="71">
        <f t="shared" si="75"/>
        <v>-140109</v>
      </c>
      <c r="BG54" s="70">
        <f t="shared" si="75"/>
        <v>-63595</v>
      </c>
      <c r="BH54" s="280">
        <f t="shared" ref="BH54:BM54" si="76">SUM(BH45:BH53)</f>
        <v>76091</v>
      </c>
      <c r="BI54" s="71">
        <f t="shared" si="76"/>
        <v>-52136</v>
      </c>
      <c r="BJ54" s="71">
        <f t="shared" si="76"/>
        <v>27881</v>
      </c>
      <c r="BK54" s="71">
        <f t="shared" si="76"/>
        <v>36862</v>
      </c>
      <c r="BL54" s="70">
        <f t="shared" si="76"/>
        <v>88698</v>
      </c>
      <c r="BM54" s="71">
        <f t="shared" si="76"/>
        <v>27604</v>
      </c>
      <c r="BN54" s="71">
        <f t="shared" ref="BN54:CP54" si="77">SUM(BN45:BN53)</f>
        <v>48809</v>
      </c>
      <c r="BO54" s="71">
        <f t="shared" si="77"/>
        <v>11425</v>
      </c>
      <c r="BP54" s="71">
        <f t="shared" si="77"/>
        <v>31812</v>
      </c>
      <c r="BQ54" s="70">
        <f t="shared" si="77"/>
        <v>119650</v>
      </c>
      <c r="BR54" s="71">
        <f t="shared" si="77"/>
        <v>615120</v>
      </c>
      <c r="BS54" s="71">
        <f t="shared" si="77"/>
        <v>945366</v>
      </c>
      <c r="BT54" s="71">
        <f t="shared" si="77"/>
        <v>-101936</v>
      </c>
      <c r="BU54" s="71">
        <f t="shared" si="77"/>
        <v>-33820</v>
      </c>
      <c r="BV54" s="70">
        <f t="shared" si="77"/>
        <v>1424730</v>
      </c>
      <c r="BW54" s="71">
        <f t="shared" si="77"/>
        <v>-8277</v>
      </c>
      <c r="BX54" s="71">
        <f t="shared" si="77"/>
        <v>-67674</v>
      </c>
      <c r="BY54" s="71">
        <f t="shared" si="77"/>
        <v>-181137</v>
      </c>
      <c r="BZ54" s="71">
        <f t="shared" si="77"/>
        <v>-87151</v>
      </c>
      <c r="CA54" s="70">
        <f t="shared" si="77"/>
        <v>-344239</v>
      </c>
      <c r="CB54" s="71">
        <f t="shared" si="77"/>
        <v>-117121</v>
      </c>
      <c r="CC54" s="71">
        <f t="shared" si="77"/>
        <v>6995</v>
      </c>
      <c r="CD54" s="71">
        <f t="shared" si="77"/>
        <v>-124656</v>
      </c>
      <c r="CE54" s="71">
        <f t="shared" si="77"/>
        <v>-77062</v>
      </c>
      <c r="CF54" s="70">
        <f t="shared" si="77"/>
        <v>-311844</v>
      </c>
      <c r="CG54" s="71">
        <f t="shared" si="77"/>
        <v>-36414</v>
      </c>
      <c r="CH54" s="71">
        <f>SUM(CH45:CH53)</f>
        <v>10773</v>
      </c>
      <c r="CI54" s="71">
        <f>SUM(CI45:CI53)</f>
        <v>33258</v>
      </c>
      <c r="CJ54" s="71">
        <f t="shared" ref="CJ54" si="78">SUM(CJ45:CJ53)</f>
        <v>14590</v>
      </c>
      <c r="CK54" s="70">
        <f t="shared" si="77"/>
        <v>22207</v>
      </c>
      <c r="CL54" s="71">
        <f t="shared" ref="CL54" si="79">SUM(CL45:CL53)</f>
        <v>1019</v>
      </c>
      <c r="CM54" s="71">
        <f t="shared" si="77"/>
        <v>-3834</v>
      </c>
      <c r="CN54" s="71">
        <f t="shared" si="77"/>
        <v>-153358</v>
      </c>
      <c r="CO54" s="71">
        <f t="shared" si="77"/>
        <v>-4197</v>
      </c>
      <c r="CP54" s="70">
        <f t="shared" si="77"/>
        <v>-160370</v>
      </c>
      <c r="CQ54" s="71">
        <f t="shared" ref="CQ54:CU54" si="80">SUM(CQ45:CQ53)</f>
        <v>0</v>
      </c>
      <c r="CR54" s="71">
        <f t="shared" si="80"/>
        <v>0</v>
      </c>
      <c r="CS54" s="71">
        <f t="shared" si="80"/>
        <v>0</v>
      </c>
      <c r="CT54" s="71">
        <f t="shared" si="80"/>
        <v>0</v>
      </c>
      <c r="CU54" s="70">
        <f t="shared" si="80"/>
        <v>0</v>
      </c>
    </row>
    <row r="55" spans="2:99" ht="13.5" thickBot="1">
      <c r="B55" s="8"/>
      <c r="C55" s="7"/>
      <c r="D55" s="50"/>
      <c r="E55" s="12"/>
      <c r="F55" s="12"/>
      <c r="G55" s="12"/>
      <c r="H55" s="12"/>
      <c r="I55" s="50"/>
      <c r="J55" s="12"/>
      <c r="K55" s="12"/>
      <c r="L55" s="12"/>
      <c r="M55" s="12"/>
      <c r="N55" s="50"/>
      <c r="O55" s="12"/>
      <c r="P55" s="12"/>
      <c r="Q55" s="12"/>
      <c r="R55" s="12"/>
      <c r="S55" s="50"/>
      <c r="T55" s="12"/>
      <c r="U55" s="12"/>
      <c r="V55" s="12"/>
      <c r="W55" s="12"/>
      <c r="X55" s="50"/>
      <c r="Y55" s="12"/>
      <c r="Z55" s="7"/>
      <c r="AA55" s="7"/>
      <c r="AB55" s="7"/>
      <c r="AC55" s="26"/>
      <c r="AD55" s="7"/>
      <c r="AE55" s="7"/>
      <c r="AF55" s="7"/>
      <c r="AG55" s="7"/>
      <c r="AH55" s="26"/>
      <c r="AI55" s="7"/>
      <c r="AJ55" s="7"/>
      <c r="AK55" s="7"/>
      <c r="AL55" s="7"/>
      <c r="AM55" s="26"/>
      <c r="AN55" s="7"/>
      <c r="AO55" s="7"/>
      <c r="AP55" s="7"/>
      <c r="AQ55" s="384"/>
      <c r="AR55" s="26"/>
      <c r="AS55" s="279"/>
      <c r="AT55" s="279"/>
      <c r="AU55" s="279"/>
      <c r="AV55" s="279"/>
      <c r="AW55" s="26"/>
      <c r="AX55" s="279"/>
      <c r="AY55" s="7"/>
      <c r="AZ55" s="279"/>
      <c r="BA55" s="7"/>
      <c r="BB55" s="26"/>
      <c r="BC55" s="279"/>
      <c r="BD55" s="7"/>
      <c r="BE55" s="7"/>
      <c r="BF55" s="7"/>
      <c r="BG55" s="26"/>
      <c r="BH55" s="279"/>
      <c r="BI55" s="7"/>
      <c r="BJ55" s="7"/>
      <c r="BK55" s="7"/>
      <c r="BL55" s="26"/>
      <c r="BM55" s="7"/>
      <c r="BN55" s="7"/>
      <c r="BO55" s="7"/>
      <c r="BP55" s="7"/>
      <c r="BQ55" s="26"/>
      <c r="BR55" s="7"/>
      <c r="BS55" s="22"/>
      <c r="BT55" s="7"/>
      <c r="BU55" s="7"/>
      <c r="BV55" s="26"/>
      <c r="BW55" s="7"/>
      <c r="BX55" s="7"/>
      <c r="BY55" s="7"/>
      <c r="BZ55" s="7"/>
      <c r="CA55" s="26"/>
      <c r="CB55" s="7"/>
      <c r="CC55" s="7"/>
      <c r="CD55" s="7"/>
      <c r="CE55" s="7"/>
      <c r="CF55" s="26"/>
      <c r="CG55" s="7"/>
      <c r="CH55" s="7"/>
      <c r="CI55" s="7"/>
      <c r="CJ55" s="7"/>
      <c r="CK55" s="26"/>
      <c r="CL55" s="7"/>
      <c r="CM55" s="7"/>
      <c r="CN55" s="7"/>
      <c r="CO55" s="7"/>
      <c r="CP55" s="26"/>
      <c r="CQ55" s="7"/>
      <c r="CR55" s="7"/>
      <c r="CS55" s="7"/>
      <c r="CT55" s="7"/>
      <c r="CU55" s="26"/>
    </row>
    <row r="56" spans="2:99" s="77" customFormat="1" ht="13.5" thickBot="1">
      <c r="B56" s="14" t="s">
        <v>115</v>
      </c>
      <c r="C56" s="265"/>
      <c r="D56" s="266">
        <f>D59-D58</f>
        <v>-7570</v>
      </c>
      <c r="E56" s="267">
        <f>E59-E58</f>
        <v>23449</v>
      </c>
      <c r="F56" s="267">
        <f t="shared" ref="F56:Y56" si="81">F59-F58</f>
        <v>23370</v>
      </c>
      <c r="G56" s="267">
        <f t="shared" si="81"/>
        <v>14137</v>
      </c>
      <c r="H56" s="267">
        <f t="shared" si="81"/>
        <v>-22017</v>
      </c>
      <c r="I56" s="266">
        <f t="shared" si="81"/>
        <v>-7880</v>
      </c>
      <c r="J56" s="267">
        <f t="shared" si="81"/>
        <v>549</v>
      </c>
      <c r="K56" s="267">
        <f t="shared" si="81"/>
        <v>1692</v>
      </c>
      <c r="L56" s="267">
        <f t="shared" si="81"/>
        <v>133</v>
      </c>
      <c r="M56" s="267">
        <f t="shared" si="81"/>
        <v>7801</v>
      </c>
      <c r="N56" s="266">
        <f t="shared" si="81"/>
        <v>7934</v>
      </c>
      <c r="O56" s="267">
        <f t="shared" si="81"/>
        <v>-5645</v>
      </c>
      <c r="P56" s="267">
        <f t="shared" si="81"/>
        <v>-8504</v>
      </c>
      <c r="Q56" s="267">
        <f t="shared" si="81"/>
        <v>-3247</v>
      </c>
      <c r="R56" s="267">
        <f t="shared" si="81"/>
        <v>-4305</v>
      </c>
      <c r="S56" s="266">
        <f t="shared" si="81"/>
        <v>-7582</v>
      </c>
      <c r="T56" s="267">
        <f t="shared" si="81"/>
        <v>134</v>
      </c>
      <c r="U56" s="267">
        <f t="shared" si="81"/>
        <v>-702</v>
      </c>
      <c r="V56" s="267">
        <f t="shared" si="81"/>
        <v>3166</v>
      </c>
      <c r="W56" s="267">
        <f t="shared" si="81"/>
        <v>-3954</v>
      </c>
      <c r="X56" s="266">
        <f t="shared" si="81"/>
        <v>-788</v>
      </c>
      <c r="Y56" s="267">
        <f t="shared" si="81"/>
        <v>8606</v>
      </c>
      <c r="Z56" s="32">
        <f t="shared" ref="Z56:BE56" si="82">Z26+Z38+Z54</f>
        <v>-9620</v>
      </c>
      <c r="AA56" s="32">
        <f t="shared" si="82"/>
        <v>-209</v>
      </c>
      <c r="AB56" s="32">
        <f t="shared" si="82"/>
        <v>6303</v>
      </c>
      <c r="AC56" s="33">
        <f t="shared" si="82"/>
        <v>5080</v>
      </c>
      <c r="AD56" s="32">
        <f t="shared" si="82"/>
        <v>-1911</v>
      </c>
      <c r="AE56" s="32">
        <f t="shared" si="82"/>
        <v>-1427</v>
      </c>
      <c r="AF56" s="32">
        <f t="shared" si="82"/>
        <v>49053</v>
      </c>
      <c r="AG56" s="32">
        <f t="shared" si="82"/>
        <v>26755</v>
      </c>
      <c r="AH56" s="33">
        <f t="shared" si="82"/>
        <v>72470</v>
      </c>
      <c r="AI56" s="32">
        <f t="shared" si="82"/>
        <v>18269</v>
      </c>
      <c r="AJ56" s="32">
        <f t="shared" si="82"/>
        <v>-9053</v>
      </c>
      <c r="AK56" s="32">
        <f t="shared" si="82"/>
        <v>69339</v>
      </c>
      <c r="AL56" s="32">
        <f t="shared" si="82"/>
        <v>48736</v>
      </c>
      <c r="AM56" s="33">
        <f t="shared" si="82"/>
        <v>127291</v>
      </c>
      <c r="AN56" s="32">
        <f t="shared" si="82"/>
        <v>-11446</v>
      </c>
      <c r="AO56" s="32">
        <f t="shared" si="82"/>
        <v>9382</v>
      </c>
      <c r="AP56" s="32">
        <f t="shared" si="82"/>
        <v>34511</v>
      </c>
      <c r="AQ56" s="693">
        <f t="shared" si="82"/>
        <v>-205527</v>
      </c>
      <c r="AR56" s="33">
        <f t="shared" si="82"/>
        <v>-173080</v>
      </c>
      <c r="AS56" s="404">
        <f t="shared" si="82"/>
        <v>3399</v>
      </c>
      <c r="AT56" s="32">
        <f t="shared" si="82"/>
        <v>12121</v>
      </c>
      <c r="AU56" s="404">
        <f t="shared" si="82"/>
        <v>-4847</v>
      </c>
      <c r="AV56" s="404">
        <f t="shared" si="82"/>
        <v>-7609</v>
      </c>
      <c r="AW56" s="33">
        <f t="shared" si="82"/>
        <v>3064</v>
      </c>
      <c r="AX56" s="404">
        <f t="shared" si="82"/>
        <v>27580</v>
      </c>
      <c r="AY56" s="32">
        <f t="shared" si="82"/>
        <v>-8660</v>
      </c>
      <c r="AZ56" s="404">
        <f t="shared" si="82"/>
        <v>69531</v>
      </c>
      <c r="BA56" s="32">
        <f t="shared" si="82"/>
        <v>61323</v>
      </c>
      <c r="BB56" s="33">
        <f t="shared" si="82"/>
        <v>149774</v>
      </c>
      <c r="BC56" s="404">
        <f t="shared" si="82"/>
        <v>24690</v>
      </c>
      <c r="BD56" s="32">
        <f t="shared" si="82"/>
        <v>-117369</v>
      </c>
      <c r="BE56" s="32">
        <f t="shared" si="82"/>
        <v>126205</v>
      </c>
      <c r="BF56" s="32">
        <f t="shared" ref="BF56:CF56" si="83">BF26+BF38+BF54</f>
        <v>-85173</v>
      </c>
      <c r="BG56" s="33">
        <f t="shared" si="83"/>
        <v>-51647</v>
      </c>
      <c r="BH56" s="404">
        <f t="shared" si="83"/>
        <v>-94842</v>
      </c>
      <c r="BI56" s="32">
        <f t="shared" si="83"/>
        <v>-28250</v>
      </c>
      <c r="BJ56" s="32">
        <f t="shared" si="83"/>
        <v>150251</v>
      </c>
      <c r="BK56" s="32">
        <f t="shared" si="83"/>
        <v>71244</v>
      </c>
      <c r="BL56" s="33">
        <f t="shared" si="83"/>
        <v>98403</v>
      </c>
      <c r="BM56" s="32">
        <f t="shared" si="83"/>
        <v>68568</v>
      </c>
      <c r="BN56" s="32">
        <f t="shared" si="83"/>
        <v>48599</v>
      </c>
      <c r="BO56" s="32">
        <f t="shared" si="83"/>
        <v>166596</v>
      </c>
      <c r="BP56" s="32">
        <f t="shared" si="83"/>
        <v>89663</v>
      </c>
      <c r="BQ56" s="33">
        <f t="shared" si="83"/>
        <v>373426</v>
      </c>
      <c r="BR56" s="32">
        <f t="shared" si="83"/>
        <v>647130</v>
      </c>
      <c r="BS56" s="850">
        <f t="shared" si="83"/>
        <v>-1033980</v>
      </c>
      <c r="BT56" s="32">
        <f t="shared" si="83"/>
        <v>17354</v>
      </c>
      <c r="BU56" s="32">
        <f t="shared" si="83"/>
        <v>75043</v>
      </c>
      <c r="BV56" s="33">
        <f t="shared" si="83"/>
        <v>-294453</v>
      </c>
      <c r="BW56" s="32">
        <f t="shared" si="83"/>
        <v>-65909</v>
      </c>
      <c r="BX56" s="32">
        <f t="shared" si="83"/>
        <v>9800</v>
      </c>
      <c r="BY56" s="32">
        <f t="shared" si="83"/>
        <v>-67136</v>
      </c>
      <c r="BZ56" s="32">
        <f t="shared" si="83"/>
        <v>-12070</v>
      </c>
      <c r="CA56" s="33">
        <f t="shared" si="83"/>
        <v>-135315</v>
      </c>
      <c r="CB56" s="32">
        <f t="shared" si="83"/>
        <v>-43012</v>
      </c>
      <c r="CC56" s="32">
        <f t="shared" si="83"/>
        <v>-12081</v>
      </c>
      <c r="CD56" s="32">
        <f t="shared" si="83"/>
        <v>12722</v>
      </c>
      <c r="CE56" s="32">
        <f t="shared" si="83"/>
        <v>34007</v>
      </c>
      <c r="CF56" s="33">
        <f t="shared" si="83"/>
        <v>-8364</v>
      </c>
      <c r="CG56" s="32">
        <f t="shared" ref="CG56:CP56" si="84">CG26+CG38+CG54</f>
        <v>22744</v>
      </c>
      <c r="CH56" s="32">
        <f t="shared" si="84"/>
        <v>62485</v>
      </c>
      <c r="CI56" s="32">
        <f>CI26+CI38+CI54</f>
        <v>287574</v>
      </c>
      <c r="CJ56" s="32">
        <f t="shared" ref="CJ56" si="85">CJ26+CJ38+CJ54</f>
        <v>206425</v>
      </c>
      <c r="CK56" s="33">
        <f t="shared" si="84"/>
        <v>579228</v>
      </c>
      <c r="CL56" s="32">
        <f t="shared" ref="CL56" si="86">CL26+CL38+CL54</f>
        <v>-38992</v>
      </c>
      <c r="CM56" s="32">
        <f t="shared" si="84"/>
        <v>81719</v>
      </c>
      <c r="CN56" s="32">
        <f t="shared" si="84"/>
        <v>46654</v>
      </c>
      <c r="CO56" s="32">
        <f t="shared" si="84"/>
        <v>181299</v>
      </c>
      <c r="CP56" s="33">
        <f t="shared" si="84"/>
        <v>285659.03399999999</v>
      </c>
      <c r="CQ56" s="32">
        <f t="shared" ref="CQ56:CU56" si="87">CQ26+CQ38+CQ54</f>
        <v>-26016.083812649973</v>
      </c>
      <c r="CR56" s="32">
        <f t="shared" si="87"/>
        <v>227636.09914614999</v>
      </c>
      <c r="CS56" s="32">
        <f t="shared" si="87"/>
        <v>238644.21691750007</v>
      </c>
      <c r="CT56" s="32">
        <f t="shared" si="87"/>
        <v>241125.98121698946</v>
      </c>
      <c r="CU56" s="33">
        <f t="shared" si="87"/>
        <v>681390.21346798935</v>
      </c>
    </row>
    <row r="57" spans="2:99">
      <c r="B57" s="8"/>
      <c r="C57" s="7"/>
      <c r="D57" s="13"/>
      <c r="E57" s="12"/>
      <c r="F57" s="12"/>
      <c r="G57" s="12"/>
      <c r="H57" s="12"/>
      <c r="I57" s="13"/>
      <c r="J57" s="12"/>
      <c r="K57" s="12"/>
      <c r="L57" s="12"/>
      <c r="M57" s="12"/>
      <c r="N57" s="13"/>
      <c r="O57" s="12"/>
      <c r="P57" s="12"/>
      <c r="Q57" s="12"/>
      <c r="R57" s="12"/>
      <c r="S57" s="13"/>
      <c r="T57" s="12"/>
      <c r="U57" s="12"/>
      <c r="V57" s="12"/>
      <c r="W57" s="12"/>
      <c r="X57" s="13"/>
      <c r="Y57" s="12"/>
      <c r="Z57" s="7"/>
      <c r="AA57" s="7"/>
      <c r="AB57" s="7"/>
      <c r="AC57" s="9"/>
      <c r="AD57" s="7"/>
      <c r="AE57" s="7"/>
      <c r="AF57" s="7"/>
      <c r="AG57" s="7"/>
      <c r="AH57" s="9"/>
      <c r="AI57" s="7"/>
      <c r="AJ57" s="7"/>
      <c r="AK57" s="7"/>
      <c r="AL57" s="7"/>
      <c r="AM57" s="9"/>
      <c r="AN57" s="7"/>
      <c r="AO57" s="7"/>
      <c r="AP57" s="7"/>
      <c r="AQ57" s="384"/>
      <c r="AR57" s="9"/>
      <c r="AS57" s="279"/>
      <c r="AT57" s="7"/>
      <c r="AU57" s="279"/>
      <c r="AV57" s="279"/>
      <c r="AW57" s="9"/>
      <c r="AX57" s="279"/>
      <c r="AY57" s="7"/>
      <c r="AZ57" s="279"/>
      <c r="BA57" s="7"/>
      <c r="BB57" s="9"/>
      <c r="BC57" s="279"/>
      <c r="BD57" s="7"/>
      <c r="BE57" s="7"/>
      <c r="BF57" s="7"/>
      <c r="BG57" s="9"/>
      <c r="BH57" s="279"/>
      <c r="BI57" s="7"/>
      <c r="BJ57" s="7"/>
      <c r="BK57" s="7"/>
      <c r="BL57" s="9"/>
      <c r="BM57" s="7"/>
      <c r="BN57" s="7"/>
      <c r="BO57" s="7"/>
      <c r="BP57" s="7"/>
      <c r="BQ57" s="9"/>
      <c r="BR57" s="7"/>
      <c r="BS57" s="22"/>
      <c r="BT57" s="7"/>
      <c r="BU57" s="7"/>
      <c r="BV57" s="9"/>
      <c r="BW57" s="7"/>
      <c r="BX57" s="7"/>
      <c r="BY57" s="7"/>
      <c r="BZ57" s="7"/>
      <c r="CA57" s="9"/>
      <c r="CB57" s="7"/>
      <c r="CC57" s="7"/>
      <c r="CD57" s="7"/>
      <c r="CE57" s="7"/>
      <c r="CF57" s="9"/>
      <c r="CG57" s="7"/>
      <c r="CH57" s="7"/>
      <c r="CI57" s="7"/>
      <c r="CJ57" s="7"/>
      <c r="CK57" s="9"/>
      <c r="CL57" s="7"/>
      <c r="CM57" s="7"/>
      <c r="CN57" s="7"/>
      <c r="CO57" s="7"/>
      <c r="CP57" s="9"/>
      <c r="CQ57" s="7"/>
      <c r="CR57" s="7"/>
      <c r="CS57" s="7"/>
      <c r="CT57" s="7"/>
      <c r="CU57" s="9"/>
    </row>
    <row r="58" spans="2:99">
      <c r="B58" s="8" t="s">
        <v>114</v>
      </c>
      <c r="C58" s="7"/>
      <c r="D58" s="13">
        <v>17212</v>
      </c>
      <c r="E58" s="12">
        <v>9642</v>
      </c>
      <c r="F58" s="12">
        <v>9642</v>
      </c>
      <c r="G58" s="12">
        <v>9642</v>
      </c>
      <c r="H58" s="12">
        <v>23779</v>
      </c>
      <c r="I58" s="13">
        <v>9642</v>
      </c>
      <c r="J58" s="12">
        <v>1762</v>
      </c>
      <c r="K58" s="12">
        <v>1732</v>
      </c>
      <c r="L58" s="12">
        <v>1762</v>
      </c>
      <c r="M58" s="12">
        <v>1895</v>
      </c>
      <c r="N58" s="13">
        <v>1762</v>
      </c>
      <c r="O58" s="12">
        <v>9696</v>
      </c>
      <c r="P58" s="12">
        <v>9696</v>
      </c>
      <c r="Q58" s="12">
        <v>9696</v>
      </c>
      <c r="R58" s="12">
        <v>6449</v>
      </c>
      <c r="S58" s="13">
        <v>9696</v>
      </c>
      <c r="T58" s="12">
        <v>2114</v>
      </c>
      <c r="U58" s="12">
        <v>2114</v>
      </c>
      <c r="V58" s="12">
        <v>2114</v>
      </c>
      <c r="W58" s="12">
        <v>5280</v>
      </c>
      <c r="X58" s="13">
        <v>2114</v>
      </c>
      <c r="Y58" s="12">
        <v>1326</v>
      </c>
      <c r="Z58" s="22">
        <f>Y59</f>
        <v>9932</v>
      </c>
      <c r="AA58" s="22">
        <f>Z59</f>
        <v>312</v>
      </c>
      <c r="AB58" s="22">
        <f>AA59</f>
        <v>103</v>
      </c>
      <c r="AC58" s="23">
        <f>X59</f>
        <v>1326</v>
      </c>
      <c r="AD58" s="12">
        <v>6406</v>
      </c>
      <c r="AE58" s="22">
        <f>AD59</f>
        <v>4495</v>
      </c>
      <c r="AF58" s="22">
        <f>AE59</f>
        <v>3068</v>
      </c>
      <c r="AG58" s="22">
        <f>AF59</f>
        <v>52121</v>
      </c>
      <c r="AH58" s="13">
        <f>AC59</f>
        <v>6406</v>
      </c>
      <c r="AI58" s="12">
        <f>AG59</f>
        <v>78876</v>
      </c>
      <c r="AJ58" s="22">
        <f>AI59</f>
        <v>97145</v>
      </c>
      <c r="AK58" s="22">
        <f>AJ59</f>
        <v>88092</v>
      </c>
      <c r="AL58" s="22">
        <f>AK59</f>
        <v>157431</v>
      </c>
      <c r="AM58" s="13">
        <f>AH59</f>
        <v>78876</v>
      </c>
      <c r="AN58" s="12">
        <f>AL59</f>
        <v>206167</v>
      </c>
      <c r="AO58" s="22">
        <f>AN59</f>
        <v>194721</v>
      </c>
      <c r="AP58" s="22">
        <f>AO59</f>
        <v>204103</v>
      </c>
      <c r="AQ58" s="22">
        <f>AP59</f>
        <v>238614</v>
      </c>
      <c r="AR58" s="13">
        <f>AM59</f>
        <v>206167</v>
      </c>
      <c r="AS58" s="81">
        <f>AQ59</f>
        <v>33087</v>
      </c>
      <c r="AT58" s="22">
        <f>AS59</f>
        <v>36486</v>
      </c>
      <c r="AU58" s="235">
        <f>AT59</f>
        <v>48607</v>
      </c>
      <c r="AV58" s="235">
        <f>AU59</f>
        <v>43760</v>
      </c>
      <c r="AW58" s="13">
        <f>AR59</f>
        <v>33087</v>
      </c>
      <c r="AX58" s="81">
        <f>AV59</f>
        <v>36151</v>
      </c>
      <c r="AY58" s="22">
        <f>AX59</f>
        <v>63731</v>
      </c>
      <c r="AZ58" s="235">
        <f>AY59</f>
        <v>55071</v>
      </c>
      <c r="BA58" s="22">
        <f>AZ59</f>
        <v>124602</v>
      </c>
      <c r="BB58" s="13">
        <f>AW59</f>
        <v>36151</v>
      </c>
      <c r="BC58" s="81">
        <f>BA59</f>
        <v>185925</v>
      </c>
      <c r="BD58" s="22">
        <f>BC59</f>
        <v>210615</v>
      </c>
      <c r="BE58" s="22">
        <f>BD59</f>
        <v>93246</v>
      </c>
      <c r="BF58" s="22">
        <f>BE59</f>
        <v>219451</v>
      </c>
      <c r="BG58" s="13">
        <f>BB59</f>
        <v>185925</v>
      </c>
      <c r="BH58" s="81">
        <f>BF59</f>
        <v>134278</v>
      </c>
      <c r="BI58" s="22">
        <f>BH59</f>
        <v>39436</v>
      </c>
      <c r="BJ58" s="22">
        <f>BI59</f>
        <v>11186</v>
      </c>
      <c r="BK58" s="22">
        <f>BJ59</f>
        <v>161437</v>
      </c>
      <c r="BL58" s="13">
        <f>BG59</f>
        <v>134278</v>
      </c>
      <c r="BM58" s="22">
        <f>BL59</f>
        <v>232681</v>
      </c>
      <c r="BN58" s="22">
        <f>BM59</f>
        <v>301249</v>
      </c>
      <c r="BO58" s="22">
        <f>BN59</f>
        <v>349848</v>
      </c>
      <c r="BP58" s="22">
        <f>BO59</f>
        <v>516444</v>
      </c>
      <c r="BQ58" s="13">
        <f>BL59</f>
        <v>232681</v>
      </c>
      <c r="BR58" s="22">
        <f>BQ59</f>
        <v>606107</v>
      </c>
      <c r="BS58" s="22">
        <f>BR59</f>
        <v>1253237</v>
      </c>
      <c r="BT58" s="22">
        <f>BS59</f>
        <v>219257</v>
      </c>
      <c r="BU58" s="22">
        <f>BT59</f>
        <v>236611</v>
      </c>
      <c r="BV58" s="13">
        <f>BQ59</f>
        <v>606107</v>
      </c>
      <c r="BW58" s="22">
        <v>309171</v>
      </c>
      <c r="BX58" s="22">
        <f>BW59</f>
        <v>243262</v>
      </c>
      <c r="BY58" s="22">
        <f>BX59</f>
        <v>253062</v>
      </c>
      <c r="BZ58" s="22">
        <f>BY59</f>
        <v>185926</v>
      </c>
      <c r="CA58" s="13">
        <f>BV59</f>
        <v>311654</v>
      </c>
      <c r="CB58" s="22">
        <v>173857</v>
      </c>
      <c r="CC58" s="22">
        <f>CB59</f>
        <v>130845</v>
      </c>
      <c r="CD58" s="22">
        <f>CC59</f>
        <v>118764</v>
      </c>
      <c r="CE58" s="22">
        <f>CD59</f>
        <v>131486</v>
      </c>
      <c r="CF58" s="13">
        <f>CA59</f>
        <v>176339</v>
      </c>
      <c r="CG58" s="22">
        <f>CE59</f>
        <v>165493</v>
      </c>
      <c r="CH58" s="22">
        <f>CG59</f>
        <v>188237</v>
      </c>
      <c r="CI58" s="22">
        <f>CH59</f>
        <v>250722</v>
      </c>
      <c r="CJ58" s="22">
        <f>CI59</f>
        <v>538296</v>
      </c>
      <c r="CK58" s="13">
        <f>CF59</f>
        <v>167975</v>
      </c>
      <c r="CL58" s="22">
        <f>CJ59</f>
        <v>744721</v>
      </c>
      <c r="CM58" s="22">
        <f>CL59</f>
        <v>705729</v>
      </c>
      <c r="CN58" s="22">
        <f>CM59</f>
        <v>787448</v>
      </c>
      <c r="CO58" s="22">
        <f>CN59</f>
        <v>834102</v>
      </c>
      <c r="CP58" s="13">
        <f>CK59</f>
        <v>747203</v>
      </c>
      <c r="CQ58" s="22">
        <f>CP59</f>
        <v>1032862.034</v>
      </c>
      <c r="CR58" s="22">
        <f>CQ59</f>
        <v>1006845.95018735</v>
      </c>
      <c r="CS58" s="22">
        <f>CR59</f>
        <v>1234482.0493335</v>
      </c>
      <c r="CT58" s="22">
        <f>CS59</f>
        <v>1473126.2662510001</v>
      </c>
      <c r="CU58" s="13">
        <f>CP59</f>
        <v>1032862.034</v>
      </c>
    </row>
    <row r="59" spans="2:99" ht="13.5" thickBot="1">
      <c r="B59" s="48" t="s">
        <v>116</v>
      </c>
      <c r="C59" s="49"/>
      <c r="D59" s="50">
        <v>9642</v>
      </c>
      <c r="E59" s="51">
        <v>33091</v>
      </c>
      <c r="F59" s="51">
        <v>33012</v>
      </c>
      <c r="G59" s="51">
        <v>23779</v>
      </c>
      <c r="H59" s="51">
        <v>1762</v>
      </c>
      <c r="I59" s="50">
        <v>1762</v>
      </c>
      <c r="J59" s="51">
        <v>2311</v>
      </c>
      <c r="K59" s="51">
        <v>3424</v>
      </c>
      <c r="L59" s="51">
        <v>1895</v>
      </c>
      <c r="M59" s="51">
        <v>9696</v>
      </c>
      <c r="N59" s="50">
        <v>9696</v>
      </c>
      <c r="O59" s="51">
        <v>4051</v>
      </c>
      <c r="P59" s="51">
        <v>1192</v>
      </c>
      <c r="Q59" s="51">
        <v>6449</v>
      </c>
      <c r="R59" s="51">
        <v>2144</v>
      </c>
      <c r="S59" s="50">
        <v>2114</v>
      </c>
      <c r="T59" s="51">
        <v>2248</v>
      </c>
      <c r="U59" s="51">
        <v>1412</v>
      </c>
      <c r="V59" s="51">
        <v>5280</v>
      </c>
      <c r="W59" s="51">
        <v>1326</v>
      </c>
      <c r="X59" s="50">
        <v>1326</v>
      </c>
      <c r="Y59" s="51">
        <v>9932</v>
      </c>
      <c r="Z59" s="93">
        <f t="shared" ref="Z59:BP59" si="88">Z56+Z58</f>
        <v>312</v>
      </c>
      <c r="AA59" s="93">
        <f t="shared" si="88"/>
        <v>103</v>
      </c>
      <c r="AB59" s="93">
        <f t="shared" si="88"/>
        <v>6406</v>
      </c>
      <c r="AC59" s="96">
        <f t="shared" si="88"/>
        <v>6406</v>
      </c>
      <c r="AD59" s="93">
        <f t="shared" si="88"/>
        <v>4495</v>
      </c>
      <c r="AE59" s="93">
        <f t="shared" si="88"/>
        <v>3068</v>
      </c>
      <c r="AF59" s="93">
        <f t="shared" si="88"/>
        <v>52121</v>
      </c>
      <c r="AG59" s="93">
        <f t="shared" si="88"/>
        <v>78876</v>
      </c>
      <c r="AH59" s="96">
        <f t="shared" si="88"/>
        <v>78876</v>
      </c>
      <c r="AI59" s="93">
        <f t="shared" si="88"/>
        <v>97145</v>
      </c>
      <c r="AJ59" s="93">
        <f t="shared" si="88"/>
        <v>88092</v>
      </c>
      <c r="AK59" s="93">
        <f t="shared" si="88"/>
        <v>157431</v>
      </c>
      <c r="AL59" s="93">
        <f t="shared" si="88"/>
        <v>206167</v>
      </c>
      <c r="AM59" s="96">
        <f t="shared" si="88"/>
        <v>206167</v>
      </c>
      <c r="AN59" s="93">
        <f t="shared" si="88"/>
        <v>194721</v>
      </c>
      <c r="AO59" s="93">
        <f t="shared" si="88"/>
        <v>204103</v>
      </c>
      <c r="AP59" s="93">
        <f t="shared" si="88"/>
        <v>238614</v>
      </c>
      <c r="AQ59" s="93">
        <f t="shared" si="88"/>
        <v>33087</v>
      </c>
      <c r="AR59" s="96">
        <f t="shared" si="88"/>
        <v>33087</v>
      </c>
      <c r="AS59" s="400">
        <f t="shared" si="88"/>
        <v>36486</v>
      </c>
      <c r="AT59" s="93">
        <f t="shared" si="88"/>
        <v>48607</v>
      </c>
      <c r="AU59" s="400">
        <f t="shared" si="88"/>
        <v>43760</v>
      </c>
      <c r="AV59" s="400">
        <f t="shared" si="88"/>
        <v>36151</v>
      </c>
      <c r="AW59" s="96">
        <f t="shared" si="88"/>
        <v>36151</v>
      </c>
      <c r="AX59" s="400">
        <f t="shared" si="88"/>
        <v>63731</v>
      </c>
      <c r="AY59" s="93">
        <f t="shared" si="88"/>
        <v>55071</v>
      </c>
      <c r="AZ59" s="400">
        <f t="shared" si="88"/>
        <v>124602</v>
      </c>
      <c r="BA59" s="93">
        <f t="shared" si="88"/>
        <v>185925</v>
      </c>
      <c r="BB59" s="96">
        <f t="shared" si="88"/>
        <v>185925</v>
      </c>
      <c r="BC59" s="400">
        <f t="shared" si="88"/>
        <v>210615</v>
      </c>
      <c r="BD59" s="93">
        <f t="shared" si="88"/>
        <v>93246</v>
      </c>
      <c r="BE59" s="93">
        <f t="shared" si="88"/>
        <v>219451</v>
      </c>
      <c r="BF59" s="93">
        <f t="shared" si="88"/>
        <v>134278</v>
      </c>
      <c r="BG59" s="96">
        <f t="shared" si="88"/>
        <v>134278</v>
      </c>
      <c r="BH59" s="400">
        <f t="shared" si="88"/>
        <v>39436</v>
      </c>
      <c r="BI59" s="93">
        <f t="shared" si="88"/>
        <v>11186</v>
      </c>
      <c r="BJ59" s="93">
        <f t="shared" si="88"/>
        <v>161437</v>
      </c>
      <c r="BK59" s="93">
        <f t="shared" si="88"/>
        <v>232681</v>
      </c>
      <c r="BL59" s="96">
        <f t="shared" si="88"/>
        <v>232681</v>
      </c>
      <c r="BM59" s="93">
        <f t="shared" si="88"/>
        <v>301249</v>
      </c>
      <c r="BN59" s="93">
        <f t="shared" si="88"/>
        <v>349848</v>
      </c>
      <c r="BO59" s="93">
        <f t="shared" si="88"/>
        <v>516444</v>
      </c>
      <c r="BP59" s="93">
        <f t="shared" si="88"/>
        <v>606107</v>
      </c>
      <c r="BQ59" s="96">
        <f t="shared" ref="BQ59:CP59" si="89">BQ56+BQ58</f>
        <v>606107</v>
      </c>
      <c r="BR59" s="93">
        <f t="shared" si="89"/>
        <v>1253237</v>
      </c>
      <c r="BS59" s="93">
        <f t="shared" si="89"/>
        <v>219257</v>
      </c>
      <c r="BT59" s="93">
        <f t="shared" si="89"/>
        <v>236611</v>
      </c>
      <c r="BU59" s="93">
        <f t="shared" si="89"/>
        <v>311654</v>
      </c>
      <c r="BV59" s="96">
        <f t="shared" si="89"/>
        <v>311654</v>
      </c>
      <c r="BW59" s="93">
        <f t="shared" si="89"/>
        <v>243262</v>
      </c>
      <c r="BX59" s="93">
        <f t="shared" si="89"/>
        <v>253062</v>
      </c>
      <c r="BY59" s="93">
        <f t="shared" si="89"/>
        <v>185926</v>
      </c>
      <c r="BZ59" s="93">
        <f t="shared" si="89"/>
        <v>173856</v>
      </c>
      <c r="CA59" s="96">
        <f t="shared" si="89"/>
        <v>176339</v>
      </c>
      <c r="CB59" s="93">
        <f t="shared" si="89"/>
        <v>130845</v>
      </c>
      <c r="CC59" s="93">
        <f t="shared" si="89"/>
        <v>118764</v>
      </c>
      <c r="CD59" s="93">
        <f t="shared" si="89"/>
        <v>131486</v>
      </c>
      <c r="CE59" s="93">
        <f t="shared" si="89"/>
        <v>165493</v>
      </c>
      <c r="CF59" s="96">
        <f t="shared" si="89"/>
        <v>167975</v>
      </c>
      <c r="CG59" s="93">
        <f t="shared" si="89"/>
        <v>188237</v>
      </c>
      <c r="CH59" s="93">
        <f>CH56+CH58</f>
        <v>250722</v>
      </c>
      <c r="CI59" s="93">
        <f>CI56+CI58</f>
        <v>538296</v>
      </c>
      <c r="CJ59" s="93">
        <f t="shared" ref="CJ59" si="90">CJ56+CJ58</f>
        <v>744721</v>
      </c>
      <c r="CK59" s="96">
        <f t="shared" si="89"/>
        <v>747203</v>
      </c>
      <c r="CL59" s="93">
        <f t="shared" ref="CL59" si="91">CL56+CL58</f>
        <v>705729</v>
      </c>
      <c r="CM59" s="93">
        <f t="shared" si="89"/>
        <v>787448</v>
      </c>
      <c r="CN59" s="93">
        <f t="shared" si="89"/>
        <v>834102</v>
      </c>
      <c r="CO59" s="93">
        <f t="shared" si="89"/>
        <v>1015401</v>
      </c>
      <c r="CP59" s="96">
        <f t="shared" si="89"/>
        <v>1032862.034</v>
      </c>
      <c r="CQ59" s="93">
        <f t="shared" ref="CQ59:CU59" si="92">CQ56+CQ58</f>
        <v>1006845.95018735</v>
      </c>
      <c r="CR59" s="93">
        <f t="shared" si="92"/>
        <v>1234482.0493335</v>
      </c>
      <c r="CS59" s="93">
        <f t="shared" si="92"/>
        <v>1473126.2662510001</v>
      </c>
      <c r="CT59" s="93">
        <f t="shared" si="92"/>
        <v>1714252.2474679896</v>
      </c>
      <c r="CU59" s="96">
        <f t="shared" si="92"/>
        <v>1714252.2474679893</v>
      </c>
    </row>
    <row r="60" spans="2:99">
      <c r="B60" s="207"/>
      <c r="C60" s="43"/>
      <c r="D60" s="12"/>
      <c r="E60" s="12"/>
      <c r="F60" s="12"/>
      <c r="G60" s="12"/>
      <c r="H60" s="12"/>
      <c r="I60" s="12"/>
      <c r="J60" s="12"/>
      <c r="K60" s="12"/>
      <c r="L60" s="12"/>
      <c r="M60" s="12"/>
      <c r="N60" s="12"/>
      <c r="O60" s="12"/>
      <c r="P60" s="12"/>
      <c r="Q60" s="12"/>
      <c r="R60" s="12"/>
      <c r="S60" s="12"/>
      <c r="T60" s="12"/>
      <c r="U60" s="12"/>
      <c r="V60" s="12"/>
      <c r="W60" s="12"/>
      <c r="X60" s="12"/>
      <c r="Y60" s="12"/>
      <c r="Z60" s="22"/>
      <c r="AA60" s="22"/>
      <c r="AB60" s="22"/>
      <c r="AC60" s="22"/>
      <c r="AD60" s="22"/>
      <c r="AE60" s="22"/>
      <c r="AF60" s="22"/>
      <c r="AG60" s="22"/>
      <c r="AH60" s="22"/>
      <c r="AI60" s="22"/>
      <c r="AJ60" s="22"/>
      <c r="AK60" s="22"/>
      <c r="AL60" s="22"/>
      <c r="AM60" s="22"/>
      <c r="AN60" s="22"/>
      <c r="AO60" s="22"/>
      <c r="AP60" s="22"/>
      <c r="AQ60" s="22"/>
      <c r="AR60" s="208"/>
      <c r="AS60" s="235"/>
      <c r="AT60" s="22"/>
      <c r="AU60" s="235"/>
      <c r="AV60" s="235"/>
      <c r="AW60" s="208"/>
      <c r="BG60" s="208"/>
      <c r="BQ60" s="208"/>
      <c r="BV60" s="208"/>
      <c r="CA60" s="208"/>
      <c r="CF60" s="208"/>
      <c r="CK60" s="208"/>
      <c r="CP60" s="208"/>
      <c r="CU60" s="208"/>
    </row>
    <row r="61" spans="2:99" s="7" customFormat="1" ht="12.75">
      <c r="B61" s="207"/>
      <c r="C61" s="43"/>
      <c r="AR61" s="209"/>
      <c r="AS61" s="279"/>
      <c r="AU61" s="279"/>
      <c r="AV61" s="279"/>
      <c r="AW61" s="209"/>
      <c r="BG61" s="209"/>
      <c r="BQ61" s="209"/>
      <c r="BV61" s="209"/>
      <c r="CA61" s="209"/>
      <c r="CF61" s="209"/>
      <c r="CK61" s="209"/>
      <c r="CP61" s="209"/>
      <c r="CU61" s="209"/>
    </row>
    <row r="62" spans="2:99" s="76" customFormat="1" ht="12.75">
      <c r="C62" s="76" t="s">
        <v>122</v>
      </c>
      <c r="F62" s="76">
        <f>F8/'Balance Sheet'!E15</f>
        <v>0.29760717846460616</v>
      </c>
      <c r="G62" s="76">
        <f>G8/'Balance Sheet'!F15</f>
        <v>0.23207261724659606</v>
      </c>
      <c r="H62" s="76">
        <f>H8/'Balance Sheet'!G15</f>
        <v>0.14620756468736124</v>
      </c>
      <c r="J62" s="76">
        <f>J8/'Balance Sheet'!H15</f>
        <v>8.7927003996682004E-2</v>
      </c>
      <c r="K62" s="76">
        <f>K8/'Balance Sheet'!J15</f>
        <v>8.6173495013274024E-2</v>
      </c>
      <c r="L62" s="76">
        <f>L8/'Balance Sheet'!K15</f>
        <v>8.1921698179517818E-2</v>
      </c>
      <c r="M62" s="76">
        <f>M8/'Balance Sheet'!L15</f>
        <v>7.6092738024467324E-2</v>
      </c>
      <c r="O62" s="76">
        <f>O9/'Balance Sheet'!M15</f>
        <v>7.4097902097902096E-2</v>
      </c>
      <c r="P62" s="76">
        <f>P9/'Balance Sheet'!N15</f>
        <v>7.4657342657342654E-2</v>
      </c>
      <c r="Q62" s="76">
        <f>Q9/'Balance Sheet'!O15</f>
        <v>7.6236529428018784E-2</v>
      </c>
      <c r="R62" s="76">
        <f>R9/'Balance Sheet'!P15</f>
        <v>7.5949012466732038E-2</v>
      </c>
      <c r="T62" s="76">
        <f>T9/'Balance Sheet'!R15</f>
        <v>4.2638661731370694E-2</v>
      </c>
      <c r="U62" s="76">
        <f>U9/'Balance Sheet'!S15</f>
        <v>4.5536713437204099E-2</v>
      </c>
      <c r="V62" s="76">
        <f>V9/'Balance Sheet'!T15</f>
        <v>3.6606581935920361E-2</v>
      </c>
      <c r="W62" s="76">
        <f>W9/'Balance Sheet'!U15</f>
        <v>4.0285354595048256E-2</v>
      </c>
      <c r="Y62" s="76">
        <f>Y9/'Balance Sheet'!W15</f>
        <v>4.0816326530612242E-2</v>
      </c>
      <c r="Z62" s="76">
        <f>Z9/'Balance Sheet'!X15</f>
        <v>4.132958572650617E-2</v>
      </c>
      <c r="AA62" s="76">
        <f>AA9/'Balance Sheet'!Y15</f>
        <v>4.1722943935561502E-2</v>
      </c>
      <c r="AB62" s="76">
        <f>AB9/'Balance Sheet'!Z15</f>
        <v>3.4917647058823532E-2</v>
      </c>
      <c r="AC62" s="90"/>
      <c r="AD62" s="76">
        <f>AD9/'Balance Sheet'!AB15</f>
        <v>3.618254335514863E-2</v>
      </c>
      <c r="AE62" s="76">
        <f>AE9/'Balance Sheet'!AC15</f>
        <v>3.7636896498534626E-2</v>
      </c>
      <c r="AF62" s="76">
        <f>AF9/'Balance Sheet'!AD15</f>
        <v>3.6744861947270085E-2</v>
      </c>
      <c r="AG62" s="76">
        <f>AG9/'Balance Sheet'!AE15</f>
        <v>3.7397522481851998E-2</v>
      </c>
      <c r="AH62" s="90"/>
      <c r="AI62" s="76">
        <f>AI9/'Balance Sheet'!AG15</f>
        <v>3.1552649435568444E-2</v>
      </c>
      <c r="AJ62" s="76">
        <f>AJ9/'Balance Sheet'!AH15</f>
        <v>3.1660600826599224E-2</v>
      </c>
      <c r="AK62" s="76">
        <f>AK9/'Balance Sheet'!AI15</f>
        <v>3.1273594877835161E-2</v>
      </c>
      <c r="AL62" s="76">
        <f>AL9/'Balance Sheet'!AJ15</f>
        <v>3.024121500893389E-2</v>
      </c>
      <c r="AM62" s="90"/>
      <c r="AN62" s="76">
        <f>AN9/'Balance Sheet'!AL15</f>
        <v>3.1937490517372172E-2</v>
      </c>
      <c r="AO62" s="76">
        <f>AO9/'Balance Sheet'!AN15</f>
        <v>3.2154054174529351E-2</v>
      </c>
      <c r="AP62" s="76">
        <f>AP9/'Balance Sheet'!AO15</f>
        <v>3.33981268775402E-2</v>
      </c>
      <c r="AQ62" s="76">
        <f>AQ9/'Balance Sheet'!AP15</f>
        <v>3.9534747106855429E-2</v>
      </c>
      <c r="AR62" s="90"/>
      <c r="AS62" s="76">
        <f>AS9/'Balance Sheet'!AQ15</f>
        <v>3.318102697998259E-2</v>
      </c>
      <c r="AT62" s="76">
        <f>AT9/'Balance Sheet'!AS15</f>
        <v>3.0982317067835611E-2</v>
      </c>
      <c r="AU62" s="76">
        <f>AU9/'Balance Sheet'!AT15</f>
        <v>3.1194449717826138E-2</v>
      </c>
      <c r="AV62" s="76">
        <f>AV9/'Balance Sheet'!AU15</f>
        <v>3.1612972561857758E-2</v>
      </c>
      <c r="AX62" s="76">
        <f>AX9/'Balance Sheet'!AW15</f>
        <v>3.4047381465864099E-2</v>
      </c>
      <c r="AY62" s="76">
        <f>AY9/'Balance Sheet'!AX15</f>
        <v>3.1271770260856105E-2</v>
      </c>
      <c r="AZ62" s="76">
        <f>AZ9/'Balance Sheet'!AY15</f>
        <v>3.2205520560166533E-2</v>
      </c>
      <c r="BA62" s="76">
        <f>BA9/'Balance Sheet'!AZ15</f>
        <v>3.2767429697871824E-2</v>
      </c>
      <c r="BC62" s="76">
        <f>BC9/'Balance Sheet'!BB15</f>
        <v>3.5551324557660115E-2</v>
      </c>
      <c r="BD62" s="76">
        <f>BD9/'Balance Sheet'!BC15</f>
        <v>3.7418802753899416E-2</v>
      </c>
      <c r="BE62" s="76">
        <f>BE9/'Balance Sheet'!BD15</f>
        <v>3.686943235964367E-2</v>
      </c>
      <c r="BF62" s="76">
        <f>BF9/'Balance Sheet'!BE15</f>
        <v>4.000051118864139E-2</v>
      </c>
      <c r="BH62" s="76">
        <f>BH9/'Balance Sheet'!BG15</f>
        <v>3.7222010993897291E-2</v>
      </c>
      <c r="BI62" s="76">
        <f>BI9/'Balance Sheet'!BH15</f>
        <v>3.5002460256231133E-2</v>
      </c>
      <c r="BJ62" s="76">
        <f>BJ9/'Balance Sheet'!BI15</f>
        <v>3.6332647663826038E-2</v>
      </c>
      <c r="BK62" s="76">
        <f>BK9/'Balance Sheet'!BJ15</f>
        <v>3.7922918505442778E-2</v>
      </c>
      <c r="BM62" s="76">
        <f>BM9/'Balance Sheet'!BL15</f>
        <v>3.8205293813023317E-2</v>
      </c>
      <c r="BN62" s="76">
        <f>BN9/'Balance Sheet'!BM15</f>
        <v>3.9251111364413539E-2</v>
      </c>
      <c r="BO62" s="76">
        <f>BO9/'Balance Sheet'!BN15</f>
        <v>4.0687672532534705E-2</v>
      </c>
      <c r="BP62" s="76">
        <f>BP9/'Balance Sheet'!BO15</f>
        <v>4.3674231559476216E-2</v>
      </c>
      <c r="BR62" s="76">
        <f>BR9/'Balance Sheet'!BQ15</f>
        <v>4.5975095831051645E-2</v>
      </c>
      <c r="BS62" s="76">
        <f>BS9/'Balance Sheet'!BR15</f>
        <v>9.8248619274048266E-2</v>
      </c>
      <c r="BT62" s="76">
        <f>BT9/'Balance Sheet'!BS15</f>
        <v>5.5196047537588909E-2</v>
      </c>
      <c r="BU62" s="76">
        <f>BU9/'Balance Sheet'!BT15</f>
        <v>6.2281818438994031E-2</v>
      </c>
      <c r="BW62" s="76">
        <f>BW9/'Balance Sheet'!BV15</f>
        <v>5.6370831102746793E-2</v>
      </c>
      <c r="BX62" s="76">
        <f>BX9/'Balance Sheet'!BW15</f>
        <v>5.6752371724091311E-2</v>
      </c>
      <c r="BY62" s="76">
        <f>BY9/'Balance Sheet'!BX15</f>
        <v>7.0379467924252564E-2</v>
      </c>
      <c r="BZ62" s="76">
        <f>BZ9/'Balance Sheet'!BY15</f>
        <v>7.2535902646179137E-2</v>
      </c>
      <c r="CB62" s="76">
        <f>CB9/'Balance Sheet'!CA15</f>
        <v>6.2418251478707769E-2</v>
      </c>
      <c r="CC62" s="76">
        <f>CC9/'Balance Sheet'!CB15</f>
        <v>6.169975489465241E-2</v>
      </c>
      <c r="CD62" s="76">
        <f>CD9/'Balance Sheet'!CC15</f>
        <v>6.5706820499514249E-2</v>
      </c>
      <c r="CE62" s="76">
        <f>CE9/'Balance Sheet'!CD15</f>
        <v>6.8572497390443896E-2</v>
      </c>
      <c r="CG62" s="76">
        <f>CG9/'Balance Sheet'!CF15</f>
        <v>0.12950153193495167</v>
      </c>
      <c r="CH62" s="76">
        <f>CH9/'Balance Sheet'!CG15</f>
        <v>0.12143297371365658</v>
      </c>
      <c r="CI62" s="76">
        <f>CI9/'Balance Sheet'!CH15</f>
        <v>0.12336399537086748</v>
      </c>
      <c r="CJ62" s="76">
        <f>CJ9/'Balance Sheet'!CI15</f>
        <v>0.12619802507381769</v>
      </c>
      <c r="CL62" s="76">
        <f>CL9/'Balance Sheet'!CK15</f>
        <v>0.12506182262250037</v>
      </c>
      <c r="CM62" s="76">
        <f>CM9/'Balance Sheet'!CL15</f>
        <v>0.12728300574012871</v>
      </c>
      <c r="CN62" s="76">
        <f>CN9/'Balance Sheet'!CM15</f>
        <v>0.12887726063747343</v>
      </c>
      <c r="CO62" s="76">
        <f>CO9/'Balance Sheet'!CN15</f>
        <v>0.12563968473348025</v>
      </c>
      <c r="CQ62" s="694">
        <v>7.0000000000000007E-2</v>
      </c>
      <c r="CR62" s="694">
        <v>7.0000000000000007E-2</v>
      </c>
      <c r="CS62" s="694">
        <v>7.0000000000000007E-2</v>
      </c>
      <c r="CT62" s="694">
        <v>7.0000000000000007E-2</v>
      </c>
    </row>
    <row r="63" spans="2:99">
      <c r="AS63" s="401"/>
      <c r="AU63" s="401"/>
      <c r="AV63" s="401"/>
    </row>
    <row r="64" spans="2:99">
      <c r="AU64" s="401"/>
      <c r="AV64" s="401"/>
    </row>
    <row r="65" spans="4:60">
      <c r="D65" s="91"/>
      <c r="E65" s="91"/>
      <c r="F65" s="91"/>
      <c r="G65" s="91"/>
      <c r="H65" s="91"/>
      <c r="I65" s="91"/>
      <c r="J65" s="91"/>
      <c r="K65" s="91"/>
      <c r="L65" s="91"/>
      <c r="M65" s="91"/>
      <c r="N65" s="91"/>
      <c r="O65" s="91"/>
      <c r="P65" s="91"/>
      <c r="Q65" s="91"/>
      <c r="R65" s="91"/>
      <c r="S65" s="91"/>
      <c r="T65" s="91"/>
      <c r="U65" s="91"/>
      <c r="V65" s="91"/>
      <c r="W65" s="91"/>
      <c r="X65" s="91"/>
      <c r="Y65" s="91"/>
    </row>
    <row r="77" spans="4:60">
      <c r="BH77" s="67">
        <v>45000</v>
      </c>
    </row>
    <row r="78" spans="4:60">
      <c r="BH78" s="67">
        <f>1115/BH77</f>
        <v>2.4777777777777777E-2</v>
      </c>
    </row>
  </sheetData>
  <pageMargins left="0.17" right="0.17" top="0.75" bottom="0.75" header="0.3" footer="0.3"/>
  <pageSetup scale="51" orientation="landscape"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ABE11-F888-47F6-ABAF-C17688F00105}">
  <dimension ref="B2:AM130"/>
  <sheetViews>
    <sheetView showGridLines="0" tabSelected="1" workbookViewId="0">
      <pane xSplit="3" topLeftCell="W1" activePane="topRight" state="frozen"/>
      <selection activeCell="A98" sqref="A98"/>
      <selection pane="topRight" activeCell="AC3" sqref="AC3:AF3"/>
    </sheetView>
  </sheetViews>
  <sheetFormatPr defaultRowHeight="14.25" outlineLevelRow="1" outlineLevelCol="1"/>
  <cols>
    <col min="1" max="1" width="3" customWidth="1"/>
    <col min="2" max="2" width="2.3984375" customWidth="1"/>
    <col min="3" max="3" width="22.59765625" customWidth="1"/>
    <col min="4" max="7" width="9.1328125" hidden="1" customWidth="1" outlineLevel="1"/>
    <col min="8" max="8" width="10.1328125" hidden="1" customWidth="1" collapsed="1"/>
    <col min="9" max="9" width="11.1328125" hidden="1" customWidth="1" outlineLevel="1" collapsed="1"/>
    <col min="10" max="10" width="10.1328125" hidden="1" customWidth="1" outlineLevel="1"/>
    <col min="11" max="11" width="11.1328125" hidden="1" customWidth="1" outlineLevel="1"/>
    <col min="12" max="12" width="10.1328125" hidden="1" customWidth="1" outlineLevel="1"/>
    <col min="13" max="13" width="10.59765625" customWidth="1" collapsed="1"/>
    <col min="14" max="17" width="11.1328125" hidden="1" customWidth="1" outlineLevel="1"/>
    <col min="18" max="18" width="11.1328125" bestFit="1" customWidth="1" collapsed="1"/>
    <col min="19" max="21" width="11.1328125" customWidth="1" outlineLevel="1"/>
    <col min="22" max="22" width="11.59765625" customWidth="1" outlineLevel="1"/>
    <col min="23" max="23" width="12.73046875" bestFit="1" customWidth="1"/>
    <col min="24" max="24" width="11.265625" customWidth="1" outlineLevel="1"/>
    <col min="25" max="25" width="11.1328125" customWidth="1" outlineLevel="1"/>
    <col min="26" max="26" width="11.59765625" bestFit="1" customWidth="1" outlineLevel="1"/>
    <col min="27" max="27" width="11.1328125" customWidth="1" outlineLevel="1"/>
    <col min="28" max="28" width="10.86328125" customWidth="1"/>
    <col min="29" max="29" width="11.86328125" customWidth="1" outlineLevel="1"/>
    <col min="30" max="30" width="10.3984375" customWidth="1" outlineLevel="1"/>
    <col min="31" max="31" width="12.1328125" customWidth="1" outlineLevel="1"/>
    <col min="32" max="32" width="11.59765625" bestFit="1" customWidth="1" outlineLevel="1"/>
    <col min="33" max="33" width="10.59765625" bestFit="1" customWidth="1"/>
    <col min="34" max="34" width="11.86328125" customWidth="1" outlineLevel="1"/>
    <col min="35" max="35" width="10.3984375" customWidth="1" outlineLevel="1"/>
    <col min="36" max="36" width="10.86328125" customWidth="1" outlineLevel="1"/>
    <col min="37" max="37" width="11.59765625" bestFit="1" customWidth="1" outlineLevel="1"/>
    <col min="38" max="38" width="10.59765625" bestFit="1" customWidth="1"/>
  </cols>
  <sheetData>
    <row r="2" spans="2:39" ht="14.65" thickBot="1">
      <c r="B2" s="1092" t="s">
        <v>972</v>
      </c>
      <c r="C2" s="1093"/>
      <c r="D2" s="1094" t="s">
        <v>685</v>
      </c>
      <c r="E2" s="1093" t="s">
        <v>687</v>
      </c>
      <c r="F2" s="1093" t="s">
        <v>688</v>
      </c>
      <c r="G2" s="1093" t="s">
        <v>689</v>
      </c>
      <c r="H2" s="1095">
        <v>2020</v>
      </c>
      <c r="I2" s="1093" t="s">
        <v>738</v>
      </c>
      <c r="J2" s="1093" t="s">
        <v>761</v>
      </c>
      <c r="K2" s="1093" t="s">
        <v>777</v>
      </c>
      <c r="L2" s="1093" t="s">
        <v>781</v>
      </c>
      <c r="M2" s="1095">
        <v>2021</v>
      </c>
      <c r="N2" s="1093" t="s">
        <v>888</v>
      </c>
      <c r="O2" s="1093" t="s">
        <v>899</v>
      </c>
      <c r="P2" s="1093" t="s">
        <v>905</v>
      </c>
      <c r="Q2" s="1093" t="s">
        <v>916</v>
      </c>
      <c r="R2" s="1095">
        <v>2022</v>
      </c>
      <c r="S2" s="1093" t="s">
        <v>927</v>
      </c>
      <c r="T2" s="1093" t="s">
        <v>928</v>
      </c>
      <c r="U2" s="1093" t="s">
        <v>929</v>
      </c>
      <c r="V2" s="1093" t="s">
        <v>964</v>
      </c>
      <c r="W2" s="1095">
        <v>2023</v>
      </c>
      <c r="X2" s="1093" t="s">
        <v>969</v>
      </c>
      <c r="Y2" s="1093" t="s">
        <v>975</v>
      </c>
      <c r="Z2" s="1093" t="str">
        <f>'Income Statement'!CI4</f>
        <v>3Q24</v>
      </c>
      <c r="AA2" s="1093" t="str">
        <f>'Income Statement'!CJ4</f>
        <v>4Q24</v>
      </c>
      <c r="AB2" s="1095">
        <f>'Income Statement'!CK4</f>
        <v>2024</v>
      </c>
      <c r="AC2" s="1096" t="str">
        <f>'Income Statement'!CL4</f>
        <v>1Q25</v>
      </c>
      <c r="AD2" s="1093" t="str">
        <f>'Income Statement'!CM4</f>
        <v>2Q25</v>
      </c>
      <c r="AE2" s="1093" t="str">
        <f>'Income Statement'!CN4</f>
        <v>3Q25</v>
      </c>
      <c r="AF2" s="1097" t="str">
        <f>'Income Statement'!CO4</f>
        <v>4Q25</v>
      </c>
      <c r="AG2" s="1095">
        <f>'Income Statement'!CP4</f>
        <v>2025</v>
      </c>
      <c r="AH2" s="1096" t="str">
        <f>'Income Statement'!CQ4</f>
        <v>1Q26E</v>
      </c>
      <c r="AI2" s="1093" t="str">
        <f>'Income Statement'!CR4</f>
        <v>2Q26E</v>
      </c>
      <c r="AJ2" s="1093" t="str">
        <f>'Income Statement'!CS4</f>
        <v>3Q26E</v>
      </c>
      <c r="AK2" s="1097" t="str">
        <f>'Income Statement'!CT4</f>
        <v>4Q26E</v>
      </c>
      <c r="AL2" s="1095" t="str">
        <f>'Income Statement'!CU4</f>
        <v>2026E</v>
      </c>
    </row>
    <row r="3" spans="2:39">
      <c r="B3" s="156" t="s">
        <v>933</v>
      </c>
      <c r="H3" s="157"/>
      <c r="I3" s="230">
        <v>75384</v>
      </c>
      <c r="J3" s="230">
        <v>85136</v>
      </c>
      <c r="K3" s="230">
        <v>89077</v>
      </c>
      <c r="L3" s="230">
        <v>95198</v>
      </c>
      <c r="M3" s="1014">
        <f>SUM(I3:L3)</f>
        <v>344795</v>
      </c>
      <c r="N3" s="230">
        <f>N17+N41</f>
        <v>97838</v>
      </c>
      <c r="O3" s="230">
        <v>104984</v>
      </c>
      <c r="P3" s="230">
        <f>P17+P41</f>
        <v>109912</v>
      </c>
      <c r="Q3" s="230">
        <f>Q17+Q41</f>
        <v>115792</v>
      </c>
      <c r="R3" s="1033">
        <f>SUM(N3:Q3)</f>
        <v>428526</v>
      </c>
      <c r="S3" s="230">
        <f>S17+S41</f>
        <v>121915</v>
      </c>
      <c r="T3" s="230">
        <f>T17+T41</f>
        <v>126599</v>
      </c>
      <c r="U3" s="230">
        <f>U17+U41</f>
        <v>138509</v>
      </c>
      <c r="V3" s="230">
        <f>V17+V41</f>
        <v>140954</v>
      </c>
      <c r="W3" s="1014">
        <f>SUM(S3:V3)</f>
        <v>527977</v>
      </c>
      <c r="X3" s="230">
        <f>X17+X41</f>
        <v>148784</v>
      </c>
      <c r="Y3" s="230">
        <v>155978</v>
      </c>
      <c r="Z3" s="230">
        <v>166624</v>
      </c>
      <c r="AA3" s="230">
        <v>173394</v>
      </c>
      <c r="AB3" s="1014">
        <f>SUM(X3:AA3)</f>
        <v>644780</v>
      </c>
      <c r="AC3" s="230">
        <v>180080</v>
      </c>
      <c r="AD3" s="230">
        <v>189571</v>
      </c>
      <c r="AE3" s="230">
        <v>199786</v>
      </c>
      <c r="AF3" s="230">
        <v>208332</v>
      </c>
      <c r="AG3" s="1014">
        <f>SUM(AC3:AF3)</f>
        <v>777769</v>
      </c>
      <c r="AH3" s="230">
        <f>AH17+AH41</f>
        <v>218297.55</v>
      </c>
      <c r="AI3" s="230">
        <f>AI17+AI41</f>
        <v>229945.53</v>
      </c>
      <c r="AJ3" s="230">
        <f>AJ17+AJ41</f>
        <v>242526.33</v>
      </c>
      <c r="AK3" s="230">
        <f>AK17+AK41</f>
        <v>253921.13099999999</v>
      </c>
      <c r="AL3" s="1014">
        <f>SUM(AH3:AK3)</f>
        <v>944690.54099999997</v>
      </c>
    </row>
    <row r="4" spans="2:39" s="278" customFormat="1">
      <c r="B4" s="1040"/>
      <c r="C4" s="278" t="s">
        <v>21</v>
      </c>
      <c r="H4" s="1041"/>
      <c r="I4" s="1043"/>
      <c r="J4" s="1043"/>
      <c r="K4" s="1043"/>
      <c r="L4" s="1043"/>
      <c r="M4" s="1054"/>
      <c r="N4" s="1043">
        <f t="shared" ref="N4:AG4" si="0">N3/I3-1</f>
        <v>0.29786161519685872</v>
      </c>
      <c r="O4" s="1043">
        <f t="shared" si="0"/>
        <v>0.23313286976132308</v>
      </c>
      <c r="P4" s="1043">
        <f t="shared" si="0"/>
        <v>0.23389876174545621</v>
      </c>
      <c r="Q4" s="1043">
        <f t="shared" si="0"/>
        <v>0.21632807411920418</v>
      </c>
      <c r="R4" s="1065">
        <f t="shared" si="0"/>
        <v>0.24284284864919736</v>
      </c>
      <c r="S4" s="1052">
        <f t="shared" si="0"/>
        <v>0.2460904760931335</v>
      </c>
      <c r="T4" s="1052">
        <f t="shared" si="0"/>
        <v>0.20588851634534788</v>
      </c>
      <c r="U4" s="1052">
        <f t="shared" si="0"/>
        <v>0.2601808719703036</v>
      </c>
      <c r="V4" s="1052">
        <f t="shared" si="0"/>
        <v>0.21730344065220386</v>
      </c>
      <c r="W4" s="1065">
        <f t="shared" si="0"/>
        <v>0.23207693348828307</v>
      </c>
      <c r="X4" s="1052">
        <f t="shared" si="0"/>
        <v>0.2203912562030923</v>
      </c>
      <c r="Y4" s="1052">
        <f t="shared" si="0"/>
        <v>0.23206344441899218</v>
      </c>
      <c r="Z4" s="1052">
        <f t="shared" si="0"/>
        <v>0.2029831996476763</v>
      </c>
      <c r="AA4" s="1052">
        <f t="shared" si="0"/>
        <v>0.23014600507967131</v>
      </c>
      <c r="AB4" s="1065">
        <f t="shared" si="0"/>
        <v>0.22122743983165938</v>
      </c>
      <c r="AC4" s="1052">
        <f t="shared" si="0"/>
        <v>0.21034519840843102</v>
      </c>
      <c r="AD4" s="1052">
        <f t="shared" si="0"/>
        <v>0.21537011629845226</v>
      </c>
      <c r="AE4" s="1052">
        <f t="shared" si="0"/>
        <v>0.19902294987516811</v>
      </c>
      <c r="AF4" s="1052">
        <f t="shared" si="0"/>
        <v>0.20149486141388984</v>
      </c>
      <c r="AG4" s="1065">
        <f t="shared" si="0"/>
        <v>0.20625484661434901</v>
      </c>
      <c r="AH4" s="1052">
        <f t="shared" ref="AH4" si="1">AH3/AC3-1</f>
        <v>0.21222539982230115</v>
      </c>
      <c r="AI4" s="1052">
        <f t="shared" ref="AI4" si="2">AI3/AD3-1</f>
        <v>0.21297840914485855</v>
      </c>
      <c r="AJ4" s="1052">
        <f t="shared" ref="AJ4" si="3">AJ3/AE3-1</f>
        <v>0.21393055569459318</v>
      </c>
      <c r="AK4" s="1052">
        <f t="shared" ref="AK4" si="4">AK3/AF3-1</f>
        <v>0.2188292293070675</v>
      </c>
      <c r="AL4" s="1065">
        <f t="shared" ref="AL4" si="5">AL3/AG3-1</f>
        <v>0.21461583195010348</v>
      </c>
    </row>
    <row r="5" spans="2:39">
      <c r="B5" s="156" t="s">
        <v>934</v>
      </c>
      <c r="H5" s="157"/>
      <c r="I5" s="230">
        <v>27095</v>
      </c>
      <c r="J5" s="230">
        <v>115710</v>
      </c>
      <c r="K5" s="230">
        <v>164616</v>
      </c>
      <c r="L5" s="230">
        <v>134897</v>
      </c>
      <c r="M5" s="1014">
        <f>SUM(I5:L5)</f>
        <v>442318</v>
      </c>
      <c r="N5" s="230">
        <v>147605</v>
      </c>
      <c r="O5" s="230">
        <v>150832</v>
      </c>
      <c r="P5" s="230">
        <f>P19+P43</f>
        <v>144434</v>
      </c>
      <c r="Q5" s="230">
        <f>Q19+Q43</f>
        <v>140907</v>
      </c>
      <c r="R5" s="1014">
        <f>SUM(N5:Q5)</f>
        <v>583778</v>
      </c>
      <c r="S5" s="230">
        <f>S19+S43</f>
        <v>158550</v>
      </c>
      <c r="T5" s="230">
        <f>T19+T43</f>
        <v>171190</v>
      </c>
      <c r="U5" s="230">
        <f>U19+U43</f>
        <v>156681</v>
      </c>
      <c r="V5" s="230">
        <f>V19+V43</f>
        <v>145114</v>
      </c>
      <c r="W5" s="1014">
        <f>SUM(S5:V5)</f>
        <v>631535</v>
      </c>
      <c r="X5" s="230">
        <f>X19+X43</f>
        <v>164459</v>
      </c>
      <c r="Y5" s="230">
        <v>177704</v>
      </c>
      <c r="Z5" s="230">
        <v>180546</v>
      </c>
      <c r="AA5" s="230">
        <v>175442</v>
      </c>
      <c r="AB5" s="1014">
        <f>SUM(X5:AA5)</f>
        <v>698151</v>
      </c>
      <c r="AC5" s="230">
        <f>AC99</f>
        <v>194909</v>
      </c>
      <c r="AD5" s="230">
        <v>215504</v>
      </c>
      <c r="AE5" s="230">
        <v>201308</v>
      </c>
      <c r="AF5" s="230">
        <v>196713</v>
      </c>
      <c r="AG5" s="1014">
        <f>SUM(AC5:AF5)</f>
        <v>808434</v>
      </c>
      <c r="AH5" s="230">
        <f>AH19+AH43</f>
        <v>206229.32</v>
      </c>
      <c r="AI5" s="230">
        <f>AI19+AI43</f>
        <v>228508.3</v>
      </c>
      <c r="AJ5" s="230">
        <f>AJ19+AJ43</f>
        <v>214177.81</v>
      </c>
      <c r="AK5" s="230">
        <f>AK19+AK43</f>
        <v>207967.87823999999</v>
      </c>
      <c r="AL5" s="1014">
        <f>SUM(AH5:AK5)</f>
        <v>856883.30823999993</v>
      </c>
    </row>
    <row r="6" spans="2:39" s="278" customFormat="1">
      <c r="B6" s="1040"/>
      <c r="C6" s="278" t="s">
        <v>21</v>
      </c>
      <c r="H6" s="1041"/>
      <c r="I6" s="1043"/>
      <c r="J6" s="1043"/>
      <c r="K6" s="1043"/>
      <c r="L6" s="1043"/>
      <c r="M6" s="1041"/>
      <c r="N6" s="1043">
        <f t="shared" ref="N6:AG6" si="6">N5/I5-1</f>
        <v>4.4476840745525008</v>
      </c>
      <c r="O6" s="1043">
        <f t="shared" si="6"/>
        <v>0.30353469881600548</v>
      </c>
      <c r="P6" s="1043">
        <f t="shared" si="6"/>
        <v>-0.12260047625990178</v>
      </c>
      <c r="Q6" s="1043">
        <f t="shared" si="6"/>
        <v>4.4552510433886638E-2</v>
      </c>
      <c r="R6" s="1065">
        <f t="shared" si="6"/>
        <v>0.31981515561202567</v>
      </c>
      <c r="S6" s="1052">
        <f t="shared" si="6"/>
        <v>7.415060465431389E-2</v>
      </c>
      <c r="T6" s="1052">
        <f t="shared" si="6"/>
        <v>0.13497135886284073</v>
      </c>
      <c r="U6" s="1052">
        <f t="shared" si="6"/>
        <v>8.4793054267000789E-2</v>
      </c>
      <c r="V6" s="1052">
        <f t="shared" si="6"/>
        <v>2.9856572065262821E-2</v>
      </c>
      <c r="W6" s="1065">
        <f t="shared" si="6"/>
        <v>8.1806782715347248E-2</v>
      </c>
      <c r="X6" s="1052">
        <f t="shared" si="6"/>
        <v>3.7269000315357959E-2</v>
      </c>
      <c r="Y6" s="1052">
        <f t="shared" si="6"/>
        <v>3.8051288042525888E-2</v>
      </c>
      <c r="Z6" s="1052">
        <f t="shared" si="6"/>
        <v>0.15231585195397024</v>
      </c>
      <c r="AA6" s="1052">
        <f t="shared" si="6"/>
        <v>0.20899430792342577</v>
      </c>
      <c r="AB6" s="1065">
        <f t="shared" si="6"/>
        <v>0.10548267316934146</v>
      </c>
      <c r="AC6" s="1052">
        <f>AC5/X5-1</f>
        <v>0.18515253041791579</v>
      </c>
      <c r="AD6" s="1052">
        <f t="shared" si="6"/>
        <v>0.21271327600954404</v>
      </c>
      <c r="AE6" s="1052">
        <f t="shared" si="6"/>
        <v>0.1149956243838135</v>
      </c>
      <c r="AF6" s="1052">
        <f t="shared" si="6"/>
        <v>0.12124234789845079</v>
      </c>
      <c r="AG6" s="1065">
        <f t="shared" si="6"/>
        <v>0.15796439452210187</v>
      </c>
      <c r="AH6" s="1052">
        <f>AH5/AC5-1</f>
        <v>5.8080027089564945E-2</v>
      </c>
      <c r="AI6" s="1052">
        <f t="shared" ref="AI6" si="7">AI5/AD5-1</f>
        <v>6.0343659514440429E-2</v>
      </c>
      <c r="AJ6" s="1052">
        <f t="shared" ref="AJ6" si="8">AJ5/AE5-1</f>
        <v>6.3930941641663575E-2</v>
      </c>
      <c r="AK6" s="1052">
        <f t="shared" ref="AK6" si="9">AK5/AF5-1</f>
        <v>5.7214715041710384E-2</v>
      </c>
      <c r="AL6" s="1065">
        <f t="shared" ref="AL6" si="10">AL5/AG5-1</f>
        <v>5.9929825118686164E-2</v>
      </c>
      <c r="AM6" s="278" t="s">
        <v>999</v>
      </c>
    </row>
    <row r="7" spans="2:39">
      <c r="B7" s="156" t="s">
        <v>935</v>
      </c>
      <c r="H7" s="157"/>
      <c r="I7" s="230">
        <f>I3*4</f>
        <v>301536</v>
      </c>
      <c r="J7" s="230">
        <f>J3*4</f>
        <v>340544</v>
      </c>
      <c r="K7" s="230">
        <f>K3*4</f>
        <v>356308</v>
      </c>
      <c r="L7" s="230">
        <f>L3*4</f>
        <v>380792</v>
      </c>
      <c r="M7" s="1014">
        <f>SUM(I7:L7)</f>
        <v>1379180</v>
      </c>
      <c r="N7" s="230">
        <f>N3*4</f>
        <v>391352</v>
      </c>
      <c r="O7" s="230">
        <f>O3*4</f>
        <v>419936</v>
      </c>
      <c r="P7" s="230">
        <f>P3*4</f>
        <v>439648</v>
      </c>
      <c r="Q7" s="230">
        <f>Q3*4</f>
        <v>463168</v>
      </c>
      <c r="R7" s="1014">
        <f>SUM(N7:Q7)</f>
        <v>1714104</v>
      </c>
      <c r="S7" s="230">
        <f>S3*4</f>
        <v>487660</v>
      </c>
      <c r="T7" s="230">
        <f t="shared" ref="S7:T9" si="11">T3*4</f>
        <v>506396</v>
      </c>
      <c r="U7" s="230">
        <f>U3*4</f>
        <v>554036</v>
      </c>
      <c r="V7" s="230">
        <f>V3*4</f>
        <v>563816</v>
      </c>
      <c r="W7" s="1014">
        <f>SUM(S7:V7)</f>
        <v>2111908</v>
      </c>
      <c r="X7" s="230">
        <f>X3*4</f>
        <v>595136</v>
      </c>
      <c r="Y7" s="230">
        <f>Y3*4</f>
        <v>623912</v>
      </c>
      <c r="Z7" s="230">
        <f>Z3*4</f>
        <v>666496</v>
      </c>
      <c r="AA7" s="230">
        <f>AA3*4</f>
        <v>693576</v>
      </c>
      <c r="AB7" s="1014">
        <f>SUM(X7:AA7)</f>
        <v>2579120</v>
      </c>
      <c r="AC7" s="230">
        <v>720320</v>
      </c>
      <c r="AD7" s="230">
        <f>AD3*4</f>
        <v>758284</v>
      </c>
      <c r="AE7" s="230">
        <f>AE3*4</f>
        <v>799144</v>
      </c>
      <c r="AF7" s="230">
        <f>AF3*4</f>
        <v>833328</v>
      </c>
      <c r="AG7" s="1014">
        <f>SUM(AC7:AF7)</f>
        <v>3111076</v>
      </c>
      <c r="AH7" s="230">
        <f>AH3*4</f>
        <v>873190.2</v>
      </c>
      <c r="AI7" s="230">
        <f>AI3*4</f>
        <v>919782.12</v>
      </c>
      <c r="AJ7" s="230">
        <f>AJ3*4</f>
        <v>970105.32</v>
      </c>
      <c r="AK7" s="230">
        <f>AK3*4</f>
        <v>1015684.524</v>
      </c>
      <c r="AL7" s="1014">
        <f>SUM(AH7:AK7)</f>
        <v>3778762.1639999999</v>
      </c>
    </row>
    <row r="8" spans="2:39" s="278" customFormat="1">
      <c r="B8" s="1040"/>
      <c r="C8" s="278" t="s">
        <v>21</v>
      </c>
      <c r="H8" s="1041"/>
      <c r="I8" s="1052"/>
      <c r="J8" s="1052"/>
      <c r="K8" s="1052"/>
      <c r="L8" s="1052"/>
      <c r="M8" s="1041"/>
      <c r="N8" s="1052">
        <f t="shared" ref="N8:AG8" si="12">N7/I7-1</f>
        <v>0.29786161519685872</v>
      </c>
      <c r="O8" s="1052">
        <f t="shared" si="12"/>
        <v>0.23313286976132308</v>
      </c>
      <c r="P8" s="1052">
        <f t="shared" si="12"/>
        <v>0.23389876174545621</v>
      </c>
      <c r="Q8" s="1052">
        <f t="shared" si="12"/>
        <v>0.21632807411920418</v>
      </c>
      <c r="R8" s="1065">
        <f t="shared" si="12"/>
        <v>0.24284284864919736</v>
      </c>
      <c r="S8" s="1052">
        <f t="shared" si="12"/>
        <v>0.2460904760931335</v>
      </c>
      <c r="T8" s="1052">
        <f t="shared" si="12"/>
        <v>0.20588851634534788</v>
      </c>
      <c r="U8" s="1052">
        <f t="shared" si="12"/>
        <v>0.2601808719703036</v>
      </c>
      <c r="V8" s="1053">
        <f t="shared" si="12"/>
        <v>0.21730344065220386</v>
      </c>
      <c r="W8" s="1065">
        <f t="shared" si="12"/>
        <v>0.23207693348828307</v>
      </c>
      <c r="X8" s="1053">
        <f t="shared" si="12"/>
        <v>0.2203912562030923</v>
      </c>
      <c r="Y8" s="1052">
        <f t="shared" si="12"/>
        <v>0.23206344441899218</v>
      </c>
      <c r="Z8" s="1077">
        <f t="shared" si="12"/>
        <v>0.2029831996476763</v>
      </c>
      <c r="AA8" s="1053">
        <f t="shared" si="12"/>
        <v>0.23014600507967131</v>
      </c>
      <c r="AB8" s="1065">
        <f t="shared" si="12"/>
        <v>0.22122743983165938</v>
      </c>
      <c r="AC8" s="1077">
        <f t="shared" si="12"/>
        <v>0.21034519840843102</v>
      </c>
      <c r="AD8" s="1077">
        <f t="shared" si="12"/>
        <v>0.21537011629845226</v>
      </c>
      <c r="AE8" s="1077">
        <f t="shared" si="12"/>
        <v>0.19902294987516811</v>
      </c>
      <c r="AF8" s="1077">
        <f t="shared" si="12"/>
        <v>0.20149486141388984</v>
      </c>
      <c r="AG8" s="1065">
        <f t="shared" si="12"/>
        <v>0.20625484661434901</v>
      </c>
      <c r="AH8" s="1077">
        <f t="shared" ref="AH8" si="13">AH7/AC7-1</f>
        <v>0.21222539982230115</v>
      </c>
      <c r="AI8" s="1077">
        <f t="shared" ref="AI8" si="14">AI7/AD7-1</f>
        <v>0.21297840914485855</v>
      </c>
      <c r="AJ8" s="1077">
        <f t="shared" ref="AJ8" si="15">AJ7/AE7-1</f>
        <v>0.21393055569459318</v>
      </c>
      <c r="AK8" s="1077">
        <f t="shared" ref="AK8" si="16">AK7/AF7-1</f>
        <v>0.2188292293070675</v>
      </c>
      <c r="AL8" s="1065">
        <f t="shared" ref="AL8" si="17">AL7/AG7-1</f>
        <v>0.21461583195010348</v>
      </c>
    </row>
    <row r="9" spans="2:39">
      <c r="B9" s="156" t="s">
        <v>936</v>
      </c>
      <c r="H9" s="157"/>
      <c r="I9" s="230">
        <f>I5*4</f>
        <v>108380</v>
      </c>
      <c r="J9" s="230">
        <f>J5*4</f>
        <v>462840</v>
      </c>
      <c r="K9" s="230">
        <f>K5*4</f>
        <v>658464</v>
      </c>
      <c r="L9" s="230">
        <f>L5*4</f>
        <v>539588</v>
      </c>
      <c r="M9" s="1014">
        <f>SUM(I9:L9)</f>
        <v>1769272</v>
      </c>
      <c r="N9" s="230">
        <f>N5*4</f>
        <v>590420</v>
      </c>
      <c r="O9" s="230">
        <f>O5*4</f>
        <v>603328</v>
      </c>
      <c r="P9" s="230">
        <f>P5*4</f>
        <v>577736</v>
      </c>
      <c r="Q9" s="230">
        <f>Q5*4</f>
        <v>563628</v>
      </c>
      <c r="R9" s="1014">
        <f>SUM(N9:Q9)</f>
        <v>2335112</v>
      </c>
      <c r="S9" s="230">
        <f t="shared" si="11"/>
        <v>634200</v>
      </c>
      <c r="T9" s="230">
        <f t="shared" si="11"/>
        <v>684760</v>
      </c>
      <c r="U9" s="230">
        <f>U5*4</f>
        <v>626724</v>
      </c>
      <c r="V9" s="230">
        <f>V5*4</f>
        <v>580456</v>
      </c>
      <c r="W9" s="1014">
        <f>SUM(S9:V9)</f>
        <v>2526140</v>
      </c>
      <c r="X9" s="230">
        <f>X5*4</f>
        <v>657836</v>
      </c>
      <c r="Y9" s="230">
        <f>Y5*4</f>
        <v>710816</v>
      </c>
      <c r="Z9" s="230">
        <f>Z5*4</f>
        <v>722184</v>
      </c>
      <c r="AA9" s="230">
        <f>AA5*4</f>
        <v>701768</v>
      </c>
      <c r="AB9" s="1014">
        <f>SUM(X9:AA9)</f>
        <v>2792604</v>
      </c>
      <c r="AC9" s="230">
        <v>779636</v>
      </c>
      <c r="AD9" s="230">
        <v>862016</v>
      </c>
      <c r="AE9" s="230">
        <f>AE5*4</f>
        <v>805232</v>
      </c>
      <c r="AF9" s="230">
        <f>AF5*4</f>
        <v>786852</v>
      </c>
      <c r="AG9" s="1014">
        <f>SUM(AC9:AF9)</f>
        <v>3233736</v>
      </c>
      <c r="AH9" s="230">
        <f>AH5*4</f>
        <v>824917.28</v>
      </c>
      <c r="AI9" s="230">
        <f>AI5*4</f>
        <v>914033.2</v>
      </c>
      <c r="AJ9" s="230">
        <f>AJ5*4</f>
        <v>856711.24</v>
      </c>
      <c r="AK9" s="230">
        <f>AK5*4</f>
        <v>831871.51295999996</v>
      </c>
      <c r="AL9" s="1014">
        <f>SUM(AH9:AK9)</f>
        <v>3427533.2329599997</v>
      </c>
    </row>
    <row r="10" spans="2:39" s="278" customFormat="1">
      <c r="B10" s="1048"/>
      <c r="C10" s="1049" t="s">
        <v>21</v>
      </c>
      <c r="D10" s="1049"/>
      <c r="E10" s="1049"/>
      <c r="F10" s="1049"/>
      <c r="G10" s="1049"/>
      <c r="H10" s="1050"/>
      <c r="I10" s="1051"/>
      <c r="J10" s="1051"/>
      <c r="K10" s="1051"/>
      <c r="L10" s="1051"/>
      <c r="M10" s="1050"/>
      <c r="N10" s="1051">
        <f t="shared" ref="N10:AG10" si="18">N9/I9-1</f>
        <v>4.4476840745525008</v>
      </c>
      <c r="O10" s="1051">
        <f t="shared" si="18"/>
        <v>0.30353469881600548</v>
      </c>
      <c r="P10" s="1051">
        <f t="shared" si="18"/>
        <v>-0.12260047625990178</v>
      </c>
      <c r="Q10" s="1051">
        <f t="shared" si="18"/>
        <v>4.4552510433886638E-2</v>
      </c>
      <c r="R10" s="1068">
        <f t="shared" si="18"/>
        <v>0.31981515561202567</v>
      </c>
      <c r="S10" s="1051">
        <f t="shared" si="18"/>
        <v>7.415060465431389E-2</v>
      </c>
      <c r="T10" s="1051">
        <f t="shared" si="18"/>
        <v>0.13497135886284073</v>
      </c>
      <c r="U10" s="1051">
        <f t="shared" si="18"/>
        <v>8.4793054267000789E-2</v>
      </c>
      <c r="V10" s="1051">
        <f t="shared" si="18"/>
        <v>2.9856572065262821E-2</v>
      </c>
      <c r="W10" s="1068">
        <f t="shared" si="18"/>
        <v>8.1806782715347248E-2</v>
      </c>
      <c r="X10" s="1051">
        <f t="shared" si="18"/>
        <v>3.7269000315357959E-2</v>
      </c>
      <c r="Y10" s="1051">
        <f t="shared" si="18"/>
        <v>3.8051288042525888E-2</v>
      </c>
      <c r="Z10" s="1051">
        <f t="shared" si="18"/>
        <v>0.15231585195397024</v>
      </c>
      <c r="AA10" s="1051">
        <f t="shared" si="18"/>
        <v>0.20899430792342577</v>
      </c>
      <c r="AB10" s="1068">
        <f t="shared" si="18"/>
        <v>0.10548267316934146</v>
      </c>
      <c r="AC10" s="1051">
        <f t="shared" si="18"/>
        <v>0.18515253041791579</v>
      </c>
      <c r="AD10" s="1051">
        <f t="shared" si="18"/>
        <v>0.21271327600954404</v>
      </c>
      <c r="AE10" s="1051">
        <f t="shared" si="18"/>
        <v>0.1149956243838135</v>
      </c>
      <c r="AF10" s="1051">
        <f t="shared" si="18"/>
        <v>0.12124234789845079</v>
      </c>
      <c r="AG10" s="1068">
        <f t="shared" si="18"/>
        <v>0.15796439452210187</v>
      </c>
      <c r="AH10" s="1051">
        <f t="shared" ref="AH10" si="19">AH9/AC9-1</f>
        <v>5.8080027089564945E-2</v>
      </c>
      <c r="AI10" s="1051">
        <f t="shared" ref="AI10" si="20">AI9/AD9-1</f>
        <v>6.0343659514440429E-2</v>
      </c>
      <c r="AJ10" s="1051">
        <f t="shared" ref="AJ10" si="21">AJ9/AE9-1</f>
        <v>6.3930941641663575E-2</v>
      </c>
      <c r="AK10" s="1051">
        <f t="shared" ref="AK10" si="22">AK9/AF9-1</f>
        <v>5.7214715041710384E-2</v>
      </c>
      <c r="AL10" s="1068">
        <f t="shared" ref="AL10" si="23">AL9/AG9-1</f>
        <v>5.9929825118686164E-2</v>
      </c>
    </row>
    <row r="11" spans="2:39">
      <c r="I11" s="1035"/>
      <c r="J11" s="1035"/>
      <c r="K11" s="1035"/>
      <c r="L11" s="1035"/>
      <c r="N11" s="1035"/>
      <c r="O11" s="1035"/>
      <c r="P11" s="1035"/>
      <c r="Q11" s="1035"/>
      <c r="S11" s="1035"/>
      <c r="T11" s="1035"/>
      <c r="U11" s="1035"/>
      <c r="V11" s="1035"/>
      <c r="X11" s="1035"/>
      <c r="Y11" s="1035"/>
      <c r="Z11" s="1035"/>
      <c r="AA11" s="1035"/>
      <c r="AC11" s="1035"/>
      <c r="AD11" s="1035"/>
      <c r="AE11" s="1035"/>
      <c r="AF11" s="1035"/>
      <c r="AH11" s="1035"/>
      <c r="AI11" s="1035"/>
      <c r="AJ11" s="1035"/>
      <c r="AK11" s="1035"/>
    </row>
    <row r="12" spans="2:39" ht="14.65" thickBot="1">
      <c r="B12" s="1092" t="s">
        <v>971</v>
      </c>
      <c r="C12" s="1093"/>
      <c r="D12" s="1094" t="s">
        <v>685</v>
      </c>
      <c r="E12" s="1093" t="s">
        <v>687</v>
      </c>
      <c r="F12" s="1093" t="s">
        <v>688</v>
      </c>
      <c r="G12" s="1093" t="s">
        <v>689</v>
      </c>
      <c r="H12" s="1095">
        <v>2020</v>
      </c>
      <c r="I12" s="1093" t="s">
        <v>738</v>
      </c>
      <c r="J12" s="1093" t="s">
        <v>761</v>
      </c>
      <c r="K12" s="1093" t="s">
        <v>777</v>
      </c>
      <c r="L12" s="1093" t="s">
        <v>781</v>
      </c>
      <c r="M12" s="1095">
        <v>2021</v>
      </c>
      <c r="N12" s="1093" t="s">
        <v>888</v>
      </c>
      <c r="O12" s="1093" t="s">
        <v>899</v>
      </c>
      <c r="P12" s="1093" t="s">
        <v>905</v>
      </c>
      <c r="Q12" s="1093" t="s">
        <v>916</v>
      </c>
      <c r="R12" s="1095">
        <v>2022</v>
      </c>
      <c r="S12" s="1093" t="s">
        <v>927</v>
      </c>
      <c r="T12" s="1093" t="s">
        <v>928</v>
      </c>
      <c r="U12" s="1093" t="s">
        <v>929</v>
      </c>
      <c r="V12" s="1093" t="s">
        <v>964</v>
      </c>
      <c r="W12" s="1095">
        <v>2023</v>
      </c>
      <c r="X12" s="1093" t="s">
        <v>969</v>
      </c>
      <c r="Y12" s="1093" t="s">
        <v>975</v>
      </c>
      <c r="Z12" s="1093" t="str">
        <f>Z2</f>
        <v>3Q24</v>
      </c>
      <c r="AA12" s="1093" t="str">
        <f t="shared" ref="AA12:AG12" si="24">AA2</f>
        <v>4Q24</v>
      </c>
      <c r="AB12" s="1095">
        <f t="shared" si="24"/>
        <v>2024</v>
      </c>
      <c r="AC12" s="1096" t="str">
        <f t="shared" si="24"/>
        <v>1Q25</v>
      </c>
      <c r="AD12" s="1093" t="str">
        <f t="shared" si="24"/>
        <v>2Q25</v>
      </c>
      <c r="AE12" s="1093" t="str">
        <f t="shared" si="24"/>
        <v>3Q25</v>
      </c>
      <c r="AF12" s="1097" t="str">
        <f t="shared" si="24"/>
        <v>4Q25</v>
      </c>
      <c r="AG12" s="1105">
        <f t="shared" si="24"/>
        <v>2025</v>
      </c>
      <c r="AH12" s="1096" t="str">
        <f t="shared" ref="AH12:AL12" si="25">AH2</f>
        <v>1Q26E</v>
      </c>
      <c r="AI12" s="1093" t="str">
        <f t="shared" si="25"/>
        <v>2Q26E</v>
      </c>
      <c r="AJ12" s="1093" t="str">
        <f t="shared" si="25"/>
        <v>3Q26E</v>
      </c>
      <c r="AK12" s="1097" t="str">
        <f t="shared" si="25"/>
        <v>4Q26E</v>
      </c>
      <c r="AL12" s="1105" t="str">
        <f t="shared" si="25"/>
        <v>2026E</v>
      </c>
    </row>
    <row r="13" spans="2:39">
      <c r="B13" s="156"/>
      <c r="H13" s="157"/>
      <c r="M13" s="157"/>
      <c r="R13" s="157"/>
      <c r="W13" s="157"/>
      <c r="AB13" s="157"/>
      <c r="AG13" s="157"/>
      <c r="AL13" s="157"/>
    </row>
    <row r="14" spans="2:39">
      <c r="B14" s="1098" t="s">
        <v>889</v>
      </c>
      <c r="H14" s="157"/>
      <c r="M14" s="157"/>
      <c r="R14" s="157"/>
      <c r="W14" s="157"/>
      <c r="AB14" s="157"/>
      <c r="AG14" s="157"/>
      <c r="AL14" s="157"/>
    </row>
    <row r="15" spans="2:39">
      <c r="B15" s="156" t="s">
        <v>890</v>
      </c>
      <c r="H15" s="157"/>
      <c r="I15" s="166">
        <v>14372</v>
      </c>
      <c r="J15">
        <v>16239</v>
      </c>
      <c r="K15">
        <v>22673</v>
      </c>
      <c r="M15" s="157"/>
      <c r="N15" s="166">
        <v>16105</v>
      </c>
      <c r="O15" s="166">
        <v>14623</v>
      </c>
      <c r="P15" s="166">
        <v>17165</v>
      </c>
      <c r="Q15" s="166">
        <f>55158-P15-O15-N15</f>
        <v>7265</v>
      </c>
      <c r="R15" s="1013">
        <f>SUM(N15:Q15)</f>
        <v>55158</v>
      </c>
      <c r="S15" s="166">
        <v>8068</v>
      </c>
      <c r="T15" s="166">
        <v>9479</v>
      </c>
      <c r="U15" s="166">
        <v>7531</v>
      </c>
      <c r="V15" s="166">
        <f>32709-U15-T15-S15</f>
        <v>7631</v>
      </c>
      <c r="W15" s="1013">
        <f>SUM(S15:V15)</f>
        <v>32709</v>
      </c>
      <c r="X15" s="166">
        <v>8571</v>
      </c>
      <c r="Y15" s="166">
        <v>5319</v>
      </c>
      <c r="Z15" s="166">
        <v>5424</v>
      </c>
      <c r="AA15" s="166">
        <f>25292-SUM(X15:Z15)</f>
        <v>5978</v>
      </c>
      <c r="AB15" s="1013">
        <f>SUM(X15:AA15)</f>
        <v>25292</v>
      </c>
      <c r="AC15" s="166">
        <v>6994</v>
      </c>
      <c r="AD15" s="1114">
        <v>3846</v>
      </c>
      <c r="AE15" s="1114">
        <v>5137</v>
      </c>
      <c r="AF15" s="1111">
        <v>5300</v>
      </c>
      <c r="AG15" s="1013">
        <f>SUM(AC15:AF15)</f>
        <v>21277</v>
      </c>
      <c r="AH15" s="1111">
        <v>5000</v>
      </c>
      <c r="AI15" s="1111">
        <v>5000</v>
      </c>
      <c r="AJ15" s="1111">
        <v>6000</v>
      </c>
      <c r="AK15" s="1111">
        <v>6000</v>
      </c>
      <c r="AL15" s="1013">
        <f>SUM(AH15:AK15)</f>
        <v>22000</v>
      </c>
    </row>
    <row r="16" spans="2:39" s="278" customFormat="1">
      <c r="B16" s="1040"/>
      <c r="C16" s="278" t="s">
        <v>21</v>
      </c>
      <c r="H16" s="1041"/>
      <c r="I16" s="1042"/>
      <c r="M16" s="1041"/>
      <c r="N16" s="1052">
        <f>N15/I15-1</f>
        <v>0.1205816866128584</v>
      </c>
      <c r="O16" s="1052">
        <f>O15/J15-1</f>
        <v>-9.9513516842170135E-2</v>
      </c>
      <c r="P16" s="1052">
        <f>P15/K15-1</f>
        <v>-0.24293212190711422</v>
      </c>
      <c r="Q16" s="1052"/>
      <c r="R16" s="1045"/>
      <c r="S16" s="1043">
        <f t="shared" ref="S16:AG16" si="26">S15/N15-1</f>
        <v>-0.49903756597330018</v>
      </c>
      <c r="T16" s="1043">
        <f t="shared" si="26"/>
        <v>-0.35177460165492713</v>
      </c>
      <c r="U16" s="1043">
        <f t="shared" si="26"/>
        <v>-0.5612583745994757</v>
      </c>
      <c r="V16" s="1043">
        <f t="shared" si="26"/>
        <v>5.0378527185134248E-2</v>
      </c>
      <c r="W16" s="1045">
        <f t="shared" si="26"/>
        <v>-0.40699445230066356</v>
      </c>
      <c r="X16" s="1043">
        <f t="shared" si="26"/>
        <v>6.234506693108588E-2</v>
      </c>
      <c r="Y16" s="1043">
        <f t="shared" si="26"/>
        <v>-0.43886485916235884</v>
      </c>
      <c r="Z16" s="1043">
        <f t="shared" si="26"/>
        <v>-0.27977692205550386</v>
      </c>
      <c r="AA16" s="1043">
        <f t="shared" si="26"/>
        <v>-0.21661643297077704</v>
      </c>
      <c r="AB16" s="1045">
        <f t="shared" si="26"/>
        <v>-0.22675716163746984</v>
      </c>
      <c r="AC16" s="1043">
        <f t="shared" si="26"/>
        <v>-0.1839925329599813</v>
      </c>
      <c r="AD16" s="1043">
        <f t="shared" si="26"/>
        <v>-0.27693175408911452</v>
      </c>
      <c r="AE16" s="1043">
        <f t="shared" si="26"/>
        <v>-5.2912979351032452E-2</v>
      </c>
      <c r="AF16" s="1043">
        <f t="shared" si="26"/>
        <v>-0.11341585814653732</v>
      </c>
      <c r="AG16" s="1045">
        <f t="shared" si="26"/>
        <v>-0.15874584848964102</v>
      </c>
      <c r="AH16" s="1043">
        <f t="shared" ref="AH16" si="27">AH15/AC15-1</f>
        <v>-0.28510151558478691</v>
      </c>
      <c r="AI16" s="1043">
        <f t="shared" ref="AI16" si="28">AI15/AD15-1</f>
        <v>0.3000520020800832</v>
      </c>
      <c r="AJ16" s="1043">
        <f t="shared" ref="AJ16" si="29">AJ15/AE15-1</f>
        <v>0.16799688534163915</v>
      </c>
      <c r="AK16" s="1043">
        <f t="shared" ref="AK16" si="30">AK15/AF15-1</f>
        <v>0.13207547169811318</v>
      </c>
      <c r="AL16" s="1045">
        <f t="shared" ref="AL16" si="31">AL15/AG15-1</f>
        <v>3.3980354373266852E-2</v>
      </c>
    </row>
    <row r="17" spans="2:38">
      <c r="B17" s="156" t="s">
        <v>931</v>
      </c>
      <c r="H17" s="157"/>
      <c r="I17" s="166">
        <f>I21-I19</f>
        <v>72234</v>
      </c>
      <c r="J17" s="166">
        <f>J21-J19</f>
        <v>76057</v>
      </c>
      <c r="K17" s="166">
        <f>K21-K19</f>
        <v>73478</v>
      </c>
      <c r="L17" s="166">
        <f>L87+L90</f>
        <v>32200</v>
      </c>
      <c r="M17" s="1014"/>
      <c r="N17" s="166">
        <f>N21-N19</f>
        <v>86715</v>
      </c>
      <c r="O17" s="166">
        <f>O21-O19</f>
        <v>93334</v>
      </c>
      <c r="P17" s="166">
        <v>97279</v>
      </c>
      <c r="Q17" s="166">
        <f>Q21-Q19</f>
        <v>101625</v>
      </c>
      <c r="R17" s="1013">
        <f>SUM(N17:Q17)</f>
        <v>378953</v>
      </c>
      <c r="S17" s="166">
        <f>S21-S19</f>
        <v>106362</v>
      </c>
      <c r="T17" s="166">
        <f>T21-T19</f>
        <v>111021</v>
      </c>
      <c r="U17" s="166">
        <v>120747</v>
      </c>
      <c r="V17" s="166">
        <f>459544-U17-T17-S17</f>
        <v>121414</v>
      </c>
      <c r="W17" s="1014">
        <f>SUM(S17:V17)</f>
        <v>459544</v>
      </c>
      <c r="X17" s="166">
        <v>128142</v>
      </c>
      <c r="Y17" s="166">
        <v>136045</v>
      </c>
      <c r="Z17" s="166">
        <v>144445</v>
      </c>
      <c r="AA17" s="166">
        <f>559842-SUM(X17:Z17)</f>
        <v>151210</v>
      </c>
      <c r="AB17" s="1014">
        <f>SUM(X17:AA17)</f>
        <v>559842</v>
      </c>
      <c r="AC17" s="166">
        <v>158741</v>
      </c>
      <c r="AD17" s="166">
        <v>168059</v>
      </c>
      <c r="AE17" s="166">
        <v>178383</v>
      </c>
      <c r="AF17" s="166">
        <f>AA17*(1+AF18)</f>
        <v>185988.3</v>
      </c>
      <c r="AG17" s="1014">
        <f>SUM(AC17:AF17)</f>
        <v>691171.3</v>
      </c>
      <c r="AH17" s="166">
        <f>AC17*(1+AH18)</f>
        <v>195251.43</v>
      </c>
      <c r="AI17" s="166">
        <f>AD17*(1+AI18)</f>
        <v>206712.57</v>
      </c>
      <c r="AJ17" s="166">
        <f>AE17*(1+AJ18)</f>
        <v>219411.09</v>
      </c>
      <c r="AK17" s="166">
        <f>AF17*(1+AK18)</f>
        <v>228765.609</v>
      </c>
      <c r="AL17" s="1014">
        <f>SUM(AH17:AK17)</f>
        <v>850140.69900000002</v>
      </c>
    </row>
    <row r="18" spans="2:38" s="278" customFormat="1">
      <c r="B18" s="1040"/>
      <c r="C18" s="278" t="s">
        <v>21</v>
      </c>
      <c r="H18" s="1041"/>
      <c r="I18" s="1042"/>
      <c r="M18" s="1041"/>
      <c r="N18" s="1052">
        <f>N17/I17-1</f>
        <v>0.20047346125093446</v>
      </c>
      <c r="O18" s="1052">
        <f>O17/J17-1</f>
        <v>0.22715857843459508</v>
      </c>
      <c r="P18" s="1052">
        <f>P17/K17-1</f>
        <v>0.32392008492337832</v>
      </c>
      <c r="Q18" s="1052">
        <f>Q17/L17-1</f>
        <v>2.156055900621118</v>
      </c>
      <c r="R18" s="1045"/>
      <c r="S18" s="1043">
        <f t="shared" ref="S18:AE18" si="32">S17/N17-1</f>
        <v>0.22656979761286977</v>
      </c>
      <c r="T18" s="1043">
        <f t="shared" si="32"/>
        <v>0.18950221784130106</v>
      </c>
      <c r="U18" s="1043">
        <f t="shared" si="32"/>
        <v>0.24124425621151535</v>
      </c>
      <c r="V18" s="1043">
        <f t="shared" si="32"/>
        <v>0.1947257072570725</v>
      </c>
      <c r="W18" s="1045">
        <f t="shared" si="32"/>
        <v>0.21266753396859239</v>
      </c>
      <c r="X18" s="1043">
        <f t="shared" si="32"/>
        <v>0.20477238111355556</v>
      </c>
      <c r="Y18" s="1043">
        <f t="shared" si="32"/>
        <v>0.22539879842552302</v>
      </c>
      <c r="Z18" s="1043">
        <f t="shared" si="32"/>
        <v>0.19626160484318445</v>
      </c>
      <c r="AA18" s="1043">
        <f t="shared" si="32"/>
        <v>0.2454082725221145</v>
      </c>
      <c r="AB18" s="1045">
        <f>AB17/W17-1</f>
        <v>0.21825548804902262</v>
      </c>
      <c r="AC18" s="1043">
        <f t="shared" si="32"/>
        <v>0.23878978008771523</v>
      </c>
      <c r="AD18" s="1043">
        <f t="shared" si="32"/>
        <v>0.23531919585431282</v>
      </c>
      <c r="AE18" s="1043">
        <f t="shared" si="32"/>
        <v>0.23495448094430404</v>
      </c>
      <c r="AF18" s="1066">
        <v>0.23</v>
      </c>
      <c r="AG18" s="1045">
        <f>AG17/AB17-1</f>
        <v>0.23458279300231144</v>
      </c>
      <c r="AH18" s="1066">
        <v>0.23</v>
      </c>
      <c r="AI18" s="1066">
        <v>0.23</v>
      </c>
      <c r="AJ18" s="1066">
        <v>0.23</v>
      </c>
      <c r="AK18" s="1066">
        <v>0.23</v>
      </c>
      <c r="AL18" s="1045">
        <f>AL17/AG17-1</f>
        <v>0.22999999999999998</v>
      </c>
    </row>
    <row r="19" spans="2:38">
      <c r="B19" s="156" t="s">
        <v>932</v>
      </c>
      <c r="H19" s="157"/>
      <c r="I19" s="166">
        <f>I87+I90</f>
        <v>27095</v>
      </c>
      <c r="J19" s="166">
        <f>J87+J90</f>
        <v>26560</v>
      </c>
      <c r="K19" s="166">
        <f>K87+K90</f>
        <v>28807</v>
      </c>
      <c r="L19" s="166">
        <f>L87+L90</f>
        <v>32200</v>
      </c>
      <c r="M19" s="1014"/>
      <c r="N19" s="166">
        <f>N87+N90</f>
        <v>33601</v>
      </c>
      <c r="O19" s="166">
        <f>O87+O90</f>
        <v>35360</v>
      </c>
      <c r="P19" s="166">
        <v>38057</v>
      </c>
      <c r="Q19" s="166">
        <f>Q87+Q90</f>
        <v>40351</v>
      </c>
      <c r="R19" s="1013">
        <f>SUM(N19:Q19)</f>
        <v>147369</v>
      </c>
      <c r="S19" s="166">
        <f>S87+S90</f>
        <v>42052</v>
      </c>
      <c r="T19" s="166">
        <f>T87+T90</f>
        <v>43533</v>
      </c>
      <c r="U19" s="166">
        <v>45176</v>
      </c>
      <c r="V19" s="166">
        <f>174718-U19-T19-S19</f>
        <v>43957</v>
      </c>
      <c r="W19" s="1014">
        <f>SUM(S19:V19)</f>
        <v>174718</v>
      </c>
      <c r="X19" s="166">
        <v>51884</v>
      </c>
      <c r="Y19" s="166">
        <v>55701</v>
      </c>
      <c r="Z19" s="166">
        <v>61561</v>
      </c>
      <c r="AA19" s="166">
        <f>234633-SUM(X19:Z19)</f>
        <v>65487</v>
      </c>
      <c r="AB19" s="1014">
        <f>SUM(X19:AA19)</f>
        <v>234633</v>
      </c>
      <c r="AC19" s="166">
        <v>69839</v>
      </c>
      <c r="AD19" s="166">
        <v>79786</v>
      </c>
      <c r="AE19" s="166">
        <v>78331</v>
      </c>
      <c r="AF19" s="166">
        <f>AA19*(1+AF20)</f>
        <v>78584.399999999994</v>
      </c>
      <c r="AG19" s="1014">
        <f>SUM(AC19:AF19)</f>
        <v>306540.40000000002</v>
      </c>
      <c r="AH19" s="166">
        <f>AC19*(1+AH20)</f>
        <v>82410.01999999999</v>
      </c>
      <c r="AI19" s="166">
        <f>AD19*(1+AI20)</f>
        <v>94147.48</v>
      </c>
      <c r="AJ19" s="166">
        <f>AE19*(1+AJ20)</f>
        <v>92430.58</v>
      </c>
      <c r="AK19" s="166">
        <f>AF19*(1+AK20)</f>
        <v>92729.59199999999</v>
      </c>
      <c r="AL19" s="1014">
        <f>SUM(AH19:AK19)</f>
        <v>361717.67200000002</v>
      </c>
    </row>
    <row r="20" spans="2:38" s="278" customFormat="1">
      <c r="B20" s="1040"/>
      <c r="C20" s="278" t="s">
        <v>21</v>
      </c>
      <c r="H20" s="1041"/>
      <c r="I20" s="1042"/>
      <c r="M20" s="1041"/>
      <c r="N20" s="1052">
        <f>N19/I19-1</f>
        <v>0.24011810297102776</v>
      </c>
      <c r="O20" s="1052">
        <f>O19/J19-1</f>
        <v>0.33132530120481918</v>
      </c>
      <c r="P20" s="1052">
        <f>P19/K19-1</f>
        <v>0.32110250980664423</v>
      </c>
      <c r="Q20" s="1052">
        <f>Q19/L19-1</f>
        <v>0.25313664596273289</v>
      </c>
      <c r="R20" s="1045"/>
      <c r="S20" s="1043">
        <f t="shared" ref="S20:AE20" si="33">S19/N19-1</f>
        <v>0.25151037171512747</v>
      </c>
      <c r="T20" s="1043">
        <f t="shared" si="33"/>
        <v>0.23113687782805425</v>
      </c>
      <c r="U20" s="1043">
        <f t="shared" si="33"/>
        <v>0.18706151299366747</v>
      </c>
      <c r="V20" s="1043">
        <f t="shared" si="33"/>
        <v>8.9365814973606517E-2</v>
      </c>
      <c r="W20" s="1045">
        <f t="shared" si="33"/>
        <v>0.18558177092875705</v>
      </c>
      <c r="X20" s="1043">
        <f t="shared" si="33"/>
        <v>0.2338057642918292</v>
      </c>
      <c r="Y20" s="1043">
        <f t="shared" si="33"/>
        <v>0.27951209427330981</v>
      </c>
      <c r="Z20" s="1043">
        <f t="shared" si="33"/>
        <v>0.362692580131043</v>
      </c>
      <c r="AA20" s="1043">
        <f t="shared" si="33"/>
        <v>0.48979684691857961</v>
      </c>
      <c r="AB20" s="1045">
        <f>AB19/W19-1</f>
        <v>0.34292402614498796</v>
      </c>
      <c r="AC20" s="1043">
        <f t="shared" si="33"/>
        <v>0.34606044252563417</v>
      </c>
      <c r="AD20" s="1043">
        <f t="shared" si="33"/>
        <v>0.43239798208290692</v>
      </c>
      <c r="AE20" s="1043">
        <f t="shared" si="33"/>
        <v>0.27241272883806311</v>
      </c>
      <c r="AF20" s="1066">
        <v>0.2</v>
      </c>
      <c r="AG20" s="1045">
        <f>AG19/AB19-1</f>
        <v>0.30646754719071923</v>
      </c>
      <c r="AH20" s="1066">
        <v>0.18</v>
      </c>
      <c r="AI20" s="1066">
        <v>0.18</v>
      </c>
      <c r="AJ20" s="1066">
        <v>0.18</v>
      </c>
      <c r="AK20" s="1066">
        <v>0.18</v>
      </c>
      <c r="AL20" s="1045">
        <f>AL19/AG19-1</f>
        <v>0.17999999999999994</v>
      </c>
    </row>
    <row r="21" spans="2:38">
      <c r="B21" s="156" t="s">
        <v>891</v>
      </c>
      <c r="H21" s="157"/>
      <c r="I21" s="1046">
        <v>99329</v>
      </c>
      <c r="J21">
        <v>102617</v>
      </c>
      <c r="K21">
        <f>102285</f>
        <v>102285</v>
      </c>
      <c r="M21" s="157"/>
      <c r="N21" s="1046">
        <v>120316</v>
      </c>
      <c r="O21" s="1046">
        <v>128694</v>
      </c>
      <c r="P21" s="1046">
        <v>135337</v>
      </c>
      <c r="Q21" s="1046">
        <f>526323-P21-O21-N21</f>
        <v>141976</v>
      </c>
      <c r="R21" s="1047">
        <f>SUM(N21:Q21)</f>
        <v>526323</v>
      </c>
      <c r="S21" s="1046">
        <f>111042+37372</f>
        <v>148414</v>
      </c>
      <c r="T21" s="1046">
        <f>115877+38677</f>
        <v>154554</v>
      </c>
      <c r="U21" s="1046">
        <f>U19+U17</f>
        <v>165923</v>
      </c>
      <c r="V21" s="1046">
        <f>V19+V17</f>
        <v>165371</v>
      </c>
      <c r="W21" s="1047">
        <f>SUM(S21:V21)</f>
        <v>634262</v>
      </c>
      <c r="X21" s="230">
        <f>X17+X19</f>
        <v>180026</v>
      </c>
      <c r="Y21" s="230">
        <f>Y17+Y19</f>
        <v>191746</v>
      </c>
      <c r="Z21" s="230">
        <f>Z17+Z19</f>
        <v>206006</v>
      </c>
      <c r="AA21" s="230">
        <f>AA17+AA19</f>
        <v>216697</v>
      </c>
      <c r="AB21" s="1047">
        <f>SUM(X21:AA21)</f>
        <v>794475</v>
      </c>
      <c r="AC21" s="230">
        <f>AC17+AC19</f>
        <v>228580</v>
      </c>
      <c r="AD21" s="230">
        <f>AD17+AD19</f>
        <v>247845</v>
      </c>
      <c r="AE21" s="230">
        <f>AE17+AE19</f>
        <v>256714</v>
      </c>
      <c r="AF21" s="230">
        <f>AF17+AF19</f>
        <v>264572.69999999995</v>
      </c>
      <c r="AG21" s="1047">
        <f>SUM(AC21:AF21)</f>
        <v>997711.7</v>
      </c>
      <c r="AH21" s="230">
        <f>AH17+AH19</f>
        <v>277661.44999999995</v>
      </c>
      <c r="AI21" s="230">
        <f>AI17+AI19</f>
        <v>300860.05</v>
      </c>
      <c r="AJ21" s="230">
        <f>AJ17+AJ19</f>
        <v>311841.67</v>
      </c>
      <c r="AK21" s="230">
        <f>AK17+AK19</f>
        <v>321495.201</v>
      </c>
      <c r="AL21" s="1047">
        <f>SUM(AH21:AK21)</f>
        <v>1211858.3709999998</v>
      </c>
    </row>
    <row r="22" spans="2:38" s="278" customFormat="1">
      <c r="B22" s="1040"/>
      <c r="C22" s="278" t="s">
        <v>21</v>
      </c>
      <c r="H22" s="1041"/>
      <c r="I22" s="1042"/>
      <c r="M22" s="1041"/>
      <c r="N22" s="1052">
        <f>N21/I21-1</f>
        <v>0.21128774074036794</v>
      </c>
      <c r="O22" s="1052">
        <f>O21/J21-1</f>
        <v>0.25411968777103211</v>
      </c>
      <c r="P22" s="1052">
        <f>P21/K21-1</f>
        <v>0.32313633475094106</v>
      </c>
      <c r="Q22" s="1052"/>
      <c r="R22" s="1045"/>
      <c r="S22" s="1043">
        <f t="shared" ref="S22:AG22" si="34">S21/N21-1</f>
        <v>0.23353502443565288</v>
      </c>
      <c r="T22" s="1043">
        <f t="shared" si="34"/>
        <v>0.20094176884703252</v>
      </c>
      <c r="U22" s="1043">
        <f t="shared" si="34"/>
        <v>0.22599880298809638</v>
      </c>
      <c r="V22" s="1043">
        <f t="shared" si="34"/>
        <v>0.16478137149940841</v>
      </c>
      <c r="W22" s="1045">
        <f t="shared" si="34"/>
        <v>0.20508129038632172</v>
      </c>
      <c r="X22" s="1043">
        <f t="shared" si="34"/>
        <v>0.21299877370059428</v>
      </c>
      <c r="Y22" s="1043">
        <f t="shared" si="34"/>
        <v>0.24064081162571016</v>
      </c>
      <c r="Z22" s="1043">
        <f t="shared" si="34"/>
        <v>0.24157591171808601</v>
      </c>
      <c r="AA22" s="1043">
        <f t="shared" si="34"/>
        <v>0.31036880710644543</v>
      </c>
      <c r="AB22" s="1045">
        <f t="shared" si="34"/>
        <v>0.25259750702391126</v>
      </c>
      <c r="AC22" s="1043">
        <f t="shared" si="34"/>
        <v>0.26970548698521335</v>
      </c>
      <c r="AD22" s="1043">
        <f t="shared" si="34"/>
        <v>0.29256933651810213</v>
      </c>
      <c r="AE22" s="1043">
        <f t="shared" si="34"/>
        <v>0.24614817044163773</v>
      </c>
      <c r="AF22" s="1043">
        <f t="shared" si="34"/>
        <v>0.22093383849337989</v>
      </c>
      <c r="AG22" s="1045">
        <f t="shared" si="34"/>
        <v>0.25581258063501044</v>
      </c>
      <c r="AH22" s="1043">
        <f t="shared" ref="AH22" si="35">AH21/AC21-1</f>
        <v>0.21472329162656378</v>
      </c>
      <c r="AI22" s="1043">
        <f t="shared" ref="AI22" si="36">AI21/AD21-1</f>
        <v>0.21390405293631098</v>
      </c>
      <c r="AJ22" s="1043">
        <f t="shared" ref="AJ22" si="37">AJ21/AE21-1</f>
        <v>0.21474352781694805</v>
      </c>
      <c r="AK22" s="1043">
        <f t="shared" ref="AK22" si="38">AK21/AF21-1</f>
        <v>0.21514880787019997</v>
      </c>
      <c r="AL22" s="1045">
        <f t="shared" ref="AL22" si="39">AL21/AG21-1</f>
        <v>0.21463782673892662</v>
      </c>
    </row>
    <row r="23" spans="2:38">
      <c r="B23" s="156" t="s">
        <v>666</v>
      </c>
      <c r="H23" s="157"/>
      <c r="I23" s="166">
        <v>42417</v>
      </c>
      <c r="J23">
        <v>42478</v>
      </c>
      <c r="K23">
        <f>41985+4603</f>
        <v>46588</v>
      </c>
      <c r="M23" s="157"/>
      <c r="N23" s="166">
        <v>42649</v>
      </c>
      <c r="O23" s="166">
        <v>41841</v>
      </c>
      <c r="P23" s="166">
        <v>42441</v>
      </c>
      <c r="Q23" s="166">
        <f>170462-P23-O23-N23</f>
        <v>43531</v>
      </c>
      <c r="R23" s="1013">
        <f>SUM(N23:Q23)</f>
        <v>170462</v>
      </c>
      <c r="S23" s="166">
        <v>51499</v>
      </c>
      <c r="T23" s="166">
        <v>55256</v>
      </c>
      <c r="U23" s="166">
        <v>52413</v>
      </c>
      <c r="V23" s="166">
        <f>209727-U23-T23-S23</f>
        <v>50559</v>
      </c>
      <c r="W23" s="1013">
        <f>SUM(S23:V23)</f>
        <v>209727</v>
      </c>
      <c r="X23" s="166">
        <v>54893</v>
      </c>
      <c r="Y23" s="166">
        <v>58731</v>
      </c>
      <c r="Z23" s="166">
        <v>53947</v>
      </c>
      <c r="AA23" s="166">
        <f>219933-SUM(X23:Z23)</f>
        <v>52362</v>
      </c>
      <c r="AB23" s="1013">
        <f>SUM(X23:AA23)</f>
        <v>219933</v>
      </c>
      <c r="AC23" s="166">
        <v>54593</v>
      </c>
      <c r="AD23" s="166">
        <v>56862</v>
      </c>
      <c r="AE23" s="166">
        <v>55769</v>
      </c>
      <c r="AF23" s="166">
        <v>54000</v>
      </c>
      <c r="AG23" s="1013">
        <f>SUM(AC23:AF23)</f>
        <v>221224</v>
      </c>
      <c r="AH23" s="166">
        <v>59000</v>
      </c>
      <c r="AI23" s="166">
        <v>59000</v>
      </c>
      <c r="AJ23" s="166">
        <v>58000</v>
      </c>
      <c r="AK23" s="166">
        <v>57000</v>
      </c>
      <c r="AL23" s="1013">
        <f>SUM(AH23:AK23)</f>
        <v>233000</v>
      </c>
    </row>
    <row r="24" spans="2:38" s="278" customFormat="1">
      <c r="B24" s="1040"/>
      <c r="C24" s="278" t="s">
        <v>21</v>
      </c>
      <c r="H24" s="1041"/>
      <c r="I24" s="1042"/>
      <c r="M24" s="1041"/>
      <c r="N24" s="1052">
        <f>N23/I23-1</f>
        <v>5.4695051512365644E-3</v>
      </c>
      <c r="O24" s="1052">
        <f>O23/J23-1</f>
        <v>-1.4995997928339388E-2</v>
      </c>
      <c r="P24" s="1052">
        <f>P23/K23-1</f>
        <v>-8.9014338456254838E-2</v>
      </c>
      <c r="Q24" s="1052"/>
      <c r="R24" s="1045"/>
      <c r="S24" s="1043">
        <f t="shared" ref="S24:AG24" si="40">S23/N23-1</f>
        <v>0.20750779619686277</v>
      </c>
      <c r="T24" s="1043">
        <f t="shared" si="40"/>
        <v>0.32061853206185331</v>
      </c>
      <c r="U24" s="1043">
        <f t="shared" si="40"/>
        <v>0.2349614759312928</v>
      </c>
      <c r="V24" s="1043">
        <f t="shared" si="40"/>
        <v>0.16144816337782264</v>
      </c>
      <c r="W24" s="1045">
        <f t="shared" si="40"/>
        <v>0.23034459292980247</v>
      </c>
      <c r="X24" s="1043">
        <f t="shared" si="40"/>
        <v>6.5904192314413912E-2</v>
      </c>
      <c r="Y24" s="1043">
        <f t="shared" si="40"/>
        <v>6.2889098016504885E-2</v>
      </c>
      <c r="Z24" s="1043">
        <f t="shared" si="40"/>
        <v>2.9267548127372978E-2</v>
      </c>
      <c r="AA24" s="1043">
        <f t="shared" si="40"/>
        <v>3.5661306592298159E-2</v>
      </c>
      <c r="AB24" s="1045">
        <f t="shared" si="40"/>
        <v>4.8663262240913108E-2</v>
      </c>
      <c r="AC24" s="1043">
        <f t="shared" si="40"/>
        <v>-5.4651777093618348E-3</v>
      </c>
      <c r="AD24" s="1043">
        <f t="shared" si="40"/>
        <v>-3.1823057669714494E-2</v>
      </c>
      <c r="AE24" s="1043">
        <f t="shared" si="40"/>
        <v>3.3773889187535877E-2</v>
      </c>
      <c r="AF24" s="1043">
        <f t="shared" si="40"/>
        <v>3.1282227569611631E-2</v>
      </c>
      <c r="AG24" s="1045">
        <f t="shared" si="40"/>
        <v>5.8699694907085043E-3</v>
      </c>
      <c r="AH24" s="1043">
        <f t="shared" ref="AH24" si="41">AH23/AC23-1</f>
        <v>8.0724635026468539E-2</v>
      </c>
      <c r="AI24" s="1043">
        <f t="shared" ref="AI24" si="42">AI23/AD23-1</f>
        <v>3.7599803031901802E-2</v>
      </c>
      <c r="AJ24" s="1043">
        <f t="shared" ref="AJ24" si="43">AJ23/AE23-1</f>
        <v>4.0004303466083302E-2</v>
      </c>
      <c r="AK24" s="1043">
        <f t="shared" ref="AK24" si="44">AK23/AF23-1</f>
        <v>5.555555555555558E-2</v>
      </c>
      <c r="AL24" s="1045">
        <f t="shared" ref="AL24" si="45">AL23/AG23-1</f>
        <v>5.3231114164828508E-2</v>
      </c>
    </row>
    <row r="25" spans="2:38">
      <c r="B25" s="156" t="s">
        <v>893</v>
      </c>
      <c r="H25" s="157"/>
      <c r="I25" s="166">
        <v>109469</v>
      </c>
      <c r="J25">
        <v>109815</v>
      </c>
      <c r="K25">
        <f>110231+7399</f>
        <v>117630</v>
      </c>
      <c r="M25" s="157"/>
      <c r="N25" s="166">
        <v>110695</v>
      </c>
      <c r="O25" s="166">
        <v>110760</v>
      </c>
      <c r="P25" s="166">
        <v>111486</v>
      </c>
      <c r="Q25" s="166">
        <f>444143-P25-O25-N25</f>
        <v>111202</v>
      </c>
      <c r="R25" s="1013">
        <f>SUM(N25:Q25)</f>
        <v>444143</v>
      </c>
      <c r="S25" s="166">
        <v>110081</v>
      </c>
      <c r="T25" s="166">
        <v>109953</v>
      </c>
      <c r="U25" s="166">
        <v>111574</v>
      </c>
      <c r="V25" s="166">
        <f>442781-U25-T25-S25</f>
        <v>111173</v>
      </c>
      <c r="W25" s="1013">
        <f>SUM(S25:V25)</f>
        <v>442781</v>
      </c>
      <c r="X25" s="166">
        <v>111182</v>
      </c>
      <c r="Y25" s="166">
        <v>109196</v>
      </c>
      <c r="Z25" s="166">
        <v>109346</v>
      </c>
      <c r="AA25" s="166">
        <f>438455-SUM(X25:Z25)</f>
        <v>108731</v>
      </c>
      <c r="AB25" s="1013">
        <f>SUM(X25:AA25)</f>
        <v>438455</v>
      </c>
      <c r="AC25" s="166">
        <v>106979</v>
      </c>
      <c r="AD25" s="166">
        <v>106779</v>
      </c>
      <c r="AE25" s="166">
        <v>105450</v>
      </c>
      <c r="AF25" s="166">
        <v>104500</v>
      </c>
      <c r="AG25" s="1013">
        <f>SUM(AC25:AF25)</f>
        <v>423708</v>
      </c>
      <c r="AH25" s="166">
        <v>108000</v>
      </c>
      <c r="AI25" s="166">
        <v>108000</v>
      </c>
      <c r="AJ25" s="166">
        <v>105500</v>
      </c>
      <c r="AK25" s="166">
        <v>105500</v>
      </c>
      <c r="AL25" s="1013">
        <f>SUM(AH25:AK25)</f>
        <v>427000</v>
      </c>
    </row>
    <row r="26" spans="2:38" s="278" customFormat="1">
      <c r="B26" s="1040"/>
      <c r="C26" s="278" t="s">
        <v>21</v>
      </c>
      <c r="H26" s="1041"/>
      <c r="I26" s="1042"/>
      <c r="M26" s="1041"/>
      <c r="N26" s="1052">
        <f>N25/I25-1</f>
        <v>1.1199517671669712E-2</v>
      </c>
      <c r="O26" s="1052">
        <f>O25/J25-1</f>
        <v>8.6053817784454978E-3</v>
      </c>
      <c r="P26" s="1052">
        <f>P25/K25-1</f>
        <v>-5.2231573578168877E-2</v>
      </c>
      <c r="Q26" s="1052"/>
      <c r="R26" s="1045"/>
      <c r="S26" s="1043">
        <f>S25/N25-1</f>
        <v>-5.5467726636252435E-3</v>
      </c>
      <c r="T26" s="1043">
        <f>T25/O25-1</f>
        <v>-7.2860238353196216E-3</v>
      </c>
      <c r="U26" s="1043">
        <f>U25/P25-1</f>
        <v>7.8933677771209076E-4</v>
      </c>
      <c r="V26" s="1043">
        <f>V25/Q25-1</f>
        <v>-2.6078667649864773E-4</v>
      </c>
      <c r="W26" s="1045">
        <f>W25/R25-1</f>
        <v>-3.0665799078224421E-3</v>
      </c>
      <c r="X26" s="1043">
        <f t="shared" ref="X26:AG26" si="46">X25/S25-1</f>
        <v>1.0001726001762412E-2</v>
      </c>
      <c r="Y26" s="1043">
        <f t="shared" si="46"/>
        <v>-6.8847598519367059E-3</v>
      </c>
      <c r="Z26" s="1043">
        <f t="shared" si="46"/>
        <v>-1.9968809937799148E-2</v>
      </c>
      <c r="AA26" s="1043">
        <f t="shared" si="46"/>
        <v>-2.1965765068856613E-2</v>
      </c>
      <c r="AB26" s="1045">
        <f t="shared" si="46"/>
        <v>-9.7700669179572319E-3</v>
      </c>
      <c r="AC26" s="1043">
        <f t="shared" si="46"/>
        <v>-3.7802881761436202E-2</v>
      </c>
      <c r="AD26" s="1043">
        <f t="shared" si="46"/>
        <v>-2.2134510421627174E-2</v>
      </c>
      <c r="AE26" s="1043">
        <f t="shared" si="46"/>
        <v>-3.5630018473469582E-2</v>
      </c>
      <c r="AF26" s="1043">
        <f t="shared" si="46"/>
        <v>-3.8912545640157781E-2</v>
      </c>
      <c r="AG26" s="1045">
        <f t="shared" si="46"/>
        <v>-3.3634010331732966E-2</v>
      </c>
      <c r="AH26" s="1043">
        <f t="shared" ref="AH26" si="47">AH25/AC25-1</f>
        <v>9.5439291823629091E-3</v>
      </c>
      <c r="AI26" s="1043">
        <f t="shared" ref="AI26" si="48">AI25/AD25-1</f>
        <v>1.1434832691821439E-2</v>
      </c>
      <c r="AJ26" s="1043">
        <f t="shared" ref="AJ26" si="49">AJ25/AE25-1</f>
        <v>4.7415836889519447E-4</v>
      </c>
      <c r="AK26" s="1043">
        <f t="shared" ref="AK26" si="50">AK25/AF25-1</f>
        <v>9.5693779904306719E-3</v>
      </c>
      <c r="AL26" s="1045">
        <f t="shared" ref="AL26" si="51">AL25/AG25-1</f>
        <v>7.7695016379204507E-3</v>
      </c>
    </row>
    <row r="27" spans="2:38">
      <c r="B27" s="156" t="s">
        <v>55</v>
      </c>
      <c r="H27" s="157"/>
      <c r="I27" s="166">
        <v>6465</v>
      </c>
      <c r="J27">
        <v>6265</v>
      </c>
      <c r="K27">
        <v>0</v>
      </c>
      <c r="M27" s="157"/>
      <c r="N27" s="166">
        <v>8518</v>
      </c>
      <c r="O27" s="166">
        <v>8812</v>
      </c>
      <c r="P27" s="166">
        <v>8638</v>
      </c>
      <c r="Q27" s="166">
        <f>34508-P27-O27-N27</f>
        <v>8540</v>
      </c>
      <c r="R27" s="1013">
        <f>SUM(N27:Q27)</f>
        <v>34508</v>
      </c>
      <c r="S27" s="166"/>
      <c r="T27" s="166"/>
      <c r="U27" s="166"/>
      <c r="V27" s="166"/>
      <c r="W27" s="1013"/>
      <c r="X27" s="166"/>
      <c r="Y27" s="166"/>
      <c r="Z27" s="166"/>
      <c r="AA27" s="166"/>
      <c r="AB27" s="1013">
        <f>SUM(X27:AA27)</f>
        <v>0</v>
      </c>
      <c r="AC27" s="166"/>
      <c r="AD27" s="166"/>
      <c r="AE27" s="166"/>
      <c r="AF27" s="166"/>
      <c r="AG27" s="1013">
        <f>SUM(AC27:AF27)</f>
        <v>0</v>
      </c>
      <c r="AH27" s="166"/>
      <c r="AI27" s="166"/>
      <c r="AJ27" s="166"/>
      <c r="AK27" s="166"/>
      <c r="AL27" s="1013">
        <f>SUM(AH27:AK27)</f>
        <v>0</v>
      </c>
    </row>
    <row r="28" spans="2:38" s="278" customFormat="1">
      <c r="B28" s="1040"/>
      <c r="C28" s="278" t="s">
        <v>21</v>
      </c>
      <c r="H28" s="1041"/>
      <c r="I28" s="1042"/>
      <c r="M28" s="1041"/>
      <c r="N28" s="1052">
        <f>N27/I27-1</f>
        <v>0.31755607115235884</v>
      </c>
      <c r="O28" s="1052">
        <f>O27/J27-1</f>
        <v>0.40654429369513179</v>
      </c>
      <c r="P28" s="1052"/>
      <c r="Q28" s="1052"/>
      <c r="R28" s="1045"/>
      <c r="S28" s="1042"/>
      <c r="T28" s="1042"/>
      <c r="U28" s="1042"/>
      <c r="V28" s="1042"/>
      <c r="W28" s="1041"/>
      <c r="X28" s="1042"/>
      <c r="Y28" s="1042"/>
      <c r="Z28" s="1042"/>
      <c r="AA28" s="1042"/>
      <c r="AB28" s="1041"/>
      <c r="AC28" s="1042"/>
      <c r="AD28" s="1042"/>
      <c r="AE28" s="1042"/>
      <c r="AF28" s="1042"/>
      <c r="AG28" s="1041"/>
      <c r="AH28" s="1042"/>
      <c r="AI28" s="1042"/>
      <c r="AJ28" s="1042"/>
      <c r="AK28" s="1042"/>
      <c r="AL28" s="1041"/>
    </row>
    <row r="29" spans="2:38">
      <c r="B29" s="156" t="s">
        <v>56</v>
      </c>
      <c r="H29" s="157"/>
      <c r="I29" s="166">
        <v>4158</v>
      </c>
      <c r="J29">
        <v>4748</v>
      </c>
      <c r="K29">
        <f>4558+9</f>
        <v>4567</v>
      </c>
      <c r="M29" s="157"/>
      <c r="N29" s="166">
        <v>7115</v>
      </c>
      <c r="O29" s="166">
        <v>5498</v>
      </c>
      <c r="P29" s="166">
        <v>7271</v>
      </c>
      <c r="Q29" s="166">
        <v>6771</v>
      </c>
      <c r="R29" s="1013">
        <f>SUM(N29:Q29)</f>
        <v>26655</v>
      </c>
      <c r="S29" s="166">
        <v>5199</v>
      </c>
      <c r="T29" s="166">
        <v>6381</v>
      </c>
      <c r="U29" s="166">
        <v>10371</v>
      </c>
      <c r="V29" s="166">
        <f>30176-U29-T29-S29</f>
        <v>8225</v>
      </c>
      <c r="W29" s="1013">
        <f>SUM(S29:V29)</f>
        <v>30176</v>
      </c>
      <c r="X29" s="166">
        <v>8358</v>
      </c>
      <c r="Y29" s="166">
        <v>7815</v>
      </c>
      <c r="Z29" s="166">
        <v>9025</v>
      </c>
      <c r="AA29" s="166">
        <f>33447-SUM(X29:Z29)</f>
        <v>8249</v>
      </c>
      <c r="AB29" s="1013">
        <f>SUM(X29:AA29)</f>
        <v>33447</v>
      </c>
      <c r="AC29" s="166">
        <v>5600</v>
      </c>
      <c r="AD29" s="166">
        <v>8950</v>
      </c>
      <c r="AE29" s="166">
        <v>13036</v>
      </c>
      <c r="AF29" s="166">
        <v>6500</v>
      </c>
      <c r="AG29" s="1013">
        <f>SUM(AC29:AF29)</f>
        <v>34086</v>
      </c>
      <c r="AH29" s="166">
        <v>9000</v>
      </c>
      <c r="AI29" s="166">
        <v>15000</v>
      </c>
      <c r="AJ29" s="166">
        <v>9000</v>
      </c>
      <c r="AK29" s="166">
        <v>8500</v>
      </c>
      <c r="AL29" s="1013">
        <f>SUM(AH29:AK29)</f>
        <v>41500</v>
      </c>
    </row>
    <row r="30" spans="2:38" s="278" customFormat="1">
      <c r="B30" s="1040"/>
      <c r="C30" s="278" t="s">
        <v>21</v>
      </c>
      <c r="H30" s="1041"/>
      <c r="I30" s="1042"/>
      <c r="M30" s="1041"/>
      <c r="N30" s="1052">
        <f>N29/I29-1</f>
        <v>0.7111592111592111</v>
      </c>
      <c r="O30" s="1052">
        <f>O29/J29-1</f>
        <v>0.15796124684077517</v>
      </c>
      <c r="P30" s="1052">
        <f>P29/K29-1</f>
        <v>0.59207357127216986</v>
      </c>
      <c r="Q30" s="1052" t="e">
        <f>Q29/L29-1</f>
        <v>#DIV/0!</v>
      </c>
      <c r="R30" s="1045"/>
      <c r="S30" s="1043">
        <f t="shared" ref="S30:AG30" si="52">S29/N29-1</f>
        <v>-0.26929023190442725</v>
      </c>
      <c r="T30" s="1043">
        <f t="shared" si="52"/>
        <v>0.16060385594761728</v>
      </c>
      <c r="U30" s="1043">
        <f t="shared" si="52"/>
        <v>0.42635125842387578</v>
      </c>
      <c r="V30" s="1043">
        <f t="shared" si="52"/>
        <v>0.21473932949342789</v>
      </c>
      <c r="W30" s="1045">
        <f t="shared" si="52"/>
        <v>0.13209529169011436</v>
      </c>
      <c r="X30" s="1043">
        <f t="shared" si="52"/>
        <v>0.60761684939411431</v>
      </c>
      <c r="Y30" s="1043">
        <f t="shared" si="52"/>
        <v>0.22472966619652102</v>
      </c>
      <c r="Z30" s="1043">
        <f t="shared" si="52"/>
        <v>-0.12978497734066141</v>
      </c>
      <c r="AA30" s="1043">
        <f t="shared" si="52"/>
        <v>2.9179331306989909E-3</v>
      </c>
      <c r="AB30" s="1045">
        <f t="shared" si="52"/>
        <v>0.10839740190880165</v>
      </c>
      <c r="AC30" s="1043">
        <f t="shared" si="52"/>
        <v>-0.32998324958123948</v>
      </c>
      <c r="AD30" s="1043">
        <f t="shared" si="52"/>
        <v>0.14523352527191302</v>
      </c>
      <c r="AE30" s="1043">
        <f t="shared" si="52"/>
        <v>0.44443213296398887</v>
      </c>
      <c r="AF30" s="1043">
        <f t="shared" si="52"/>
        <v>-0.21202570008485877</v>
      </c>
      <c r="AG30" s="1045">
        <f t="shared" si="52"/>
        <v>1.9104852453134757E-2</v>
      </c>
      <c r="AH30" s="1043">
        <f t="shared" ref="AH30" si="53">AH29/AC29-1</f>
        <v>0.60714285714285721</v>
      </c>
      <c r="AI30" s="1043">
        <f t="shared" ref="AI30" si="54">AI29/AD29-1</f>
        <v>0.67597765363128492</v>
      </c>
      <c r="AJ30" s="1043">
        <f t="shared" ref="AJ30" si="55">AJ29/AE29-1</f>
        <v>-0.30960417305922061</v>
      </c>
      <c r="AK30" s="1043">
        <f t="shared" ref="AK30" si="56">AK29/AF29-1</f>
        <v>0.30769230769230771</v>
      </c>
      <c r="AL30" s="1045">
        <f t="shared" ref="AL30" si="57">AL29/AG29-1</f>
        <v>0.21750865457959279</v>
      </c>
    </row>
    <row r="31" spans="2:38">
      <c r="B31" s="156" t="s">
        <v>894</v>
      </c>
      <c r="H31" s="157"/>
      <c r="J31">
        <v>5621</v>
      </c>
      <c r="K31">
        <f>5123+20</f>
        <v>5143</v>
      </c>
      <c r="M31" s="157"/>
      <c r="N31" s="166">
        <v>5589</v>
      </c>
      <c r="O31" s="166">
        <v>5342</v>
      </c>
      <c r="P31" s="166">
        <v>5541</v>
      </c>
      <c r="Q31" s="166">
        <f>21636-P31-O31-N31</f>
        <v>5164</v>
      </c>
      <c r="R31" s="1013">
        <f>SUM(N31:Q31)</f>
        <v>21636</v>
      </c>
      <c r="S31" s="166">
        <v>5083</v>
      </c>
      <c r="T31" s="166">
        <v>6852</v>
      </c>
      <c r="U31" s="166">
        <v>5943</v>
      </c>
      <c r="V31" s="166">
        <f>23566-U31-T31-S31</f>
        <v>5688</v>
      </c>
      <c r="W31" s="1013">
        <f>SUM(S31:V31)</f>
        <v>23566</v>
      </c>
      <c r="X31" s="166">
        <v>6171</v>
      </c>
      <c r="Y31" s="166">
        <v>6511</v>
      </c>
      <c r="Z31" s="166">
        <v>6983</v>
      </c>
      <c r="AA31" s="166">
        <f>-SUM(X31:Z31)</f>
        <v>-19665</v>
      </c>
      <c r="AB31" s="1013">
        <f>SUM(X31:AA31)</f>
        <v>0</v>
      </c>
      <c r="AC31" s="166"/>
      <c r="AD31" s="166"/>
      <c r="AE31" s="166"/>
      <c r="AF31" s="166"/>
      <c r="AG31" s="1013"/>
      <c r="AH31" s="166"/>
      <c r="AI31" s="166"/>
      <c r="AJ31" s="166"/>
      <c r="AK31" s="166"/>
      <c r="AL31" s="1013"/>
    </row>
    <row r="32" spans="2:38" s="278" customFormat="1">
      <c r="B32" s="1040"/>
      <c r="C32" s="278" t="s">
        <v>21</v>
      </c>
      <c r="H32" s="1041"/>
      <c r="M32" s="1041"/>
      <c r="N32" s="1052"/>
      <c r="O32" s="1052">
        <f>O31/J31-1</f>
        <v>-4.9635296210638669E-2</v>
      </c>
      <c r="P32" s="1052">
        <f>P31/K31-1</f>
        <v>7.7386739257242931E-2</v>
      </c>
      <c r="Q32" s="1052"/>
      <c r="R32" s="1045"/>
      <c r="S32" s="1043">
        <f t="shared" ref="S32:AG32" si="58">S31/N31-1</f>
        <v>-9.0534979423868345E-2</v>
      </c>
      <c r="T32" s="1043">
        <f t="shared" si="58"/>
        <v>0.28266566828903028</v>
      </c>
      <c r="U32" s="1043">
        <f t="shared" si="58"/>
        <v>7.2550081212777506E-2</v>
      </c>
      <c r="V32" s="1043">
        <f t="shared" si="58"/>
        <v>0.10147172734314491</v>
      </c>
      <c r="W32" s="1045">
        <f t="shared" si="58"/>
        <v>8.9203179885376294E-2</v>
      </c>
      <c r="X32" s="1043">
        <f t="shared" si="58"/>
        <v>0.214046822742475</v>
      </c>
      <c r="Y32" s="1043">
        <f t="shared" si="58"/>
        <v>-4.9766491535318202E-2</v>
      </c>
      <c r="Z32" s="1043">
        <f t="shared" si="58"/>
        <v>0.17499579337035165</v>
      </c>
      <c r="AA32" s="1043">
        <f t="shared" si="58"/>
        <v>-4.4572784810126578</v>
      </c>
      <c r="AB32" s="1045">
        <f t="shared" si="58"/>
        <v>-1</v>
      </c>
      <c r="AC32" s="1043">
        <f t="shared" si="58"/>
        <v>-1</v>
      </c>
      <c r="AD32" s="1043">
        <f t="shared" si="58"/>
        <v>-1</v>
      </c>
      <c r="AE32" s="1043">
        <f t="shared" si="58"/>
        <v>-1</v>
      </c>
      <c r="AF32" s="1043">
        <f t="shared" si="58"/>
        <v>-1</v>
      </c>
      <c r="AG32" s="1045" t="e">
        <f t="shared" si="58"/>
        <v>#DIV/0!</v>
      </c>
      <c r="AH32" s="1043" t="e">
        <f t="shared" ref="AH32" si="59">AH31/AC31-1</f>
        <v>#DIV/0!</v>
      </c>
      <c r="AI32" s="1043" t="e">
        <f t="shared" ref="AI32" si="60">AI31/AD31-1</f>
        <v>#DIV/0!</v>
      </c>
      <c r="AJ32" s="1043" t="e">
        <f t="shared" ref="AJ32" si="61">AJ31/AE31-1</f>
        <v>#DIV/0!</v>
      </c>
      <c r="AK32" s="1043" t="e">
        <f t="shared" ref="AK32" si="62">AK31/AF31-1</f>
        <v>#DIV/0!</v>
      </c>
      <c r="AL32" s="1045" t="e">
        <f t="shared" ref="AL32" si="63">AL31/AG31-1</f>
        <v>#DIV/0!</v>
      </c>
    </row>
    <row r="33" spans="2:38" s="1011" customFormat="1">
      <c r="B33" s="1032" t="s">
        <v>897</v>
      </c>
      <c r="H33" s="1015"/>
      <c r="I33" s="1056">
        <f>SUM(I31,I29,I27,I25,I23,I21,I15)</f>
        <v>276210</v>
      </c>
      <c r="J33" s="1056">
        <f>SUM(J31,J29,J27,J25,J23,J21,J15)</f>
        <v>287783</v>
      </c>
      <c r="K33" s="1056"/>
      <c r="M33" s="1015"/>
      <c r="N33" s="1056">
        <f t="shared" ref="N33:AG33" si="64">SUM(N31,N29,N27,N25,N23,N21,N15)</f>
        <v>310987</v>
      </c>
      <c r="O33" s="1056">
        <f t="shared" si="64"/>
        <v>315570</v>
      </c>
      <c r="P33" s="1056">
        <f t="shared" si="64"/>
        <v>327879</v>
      </c>
      <c r="Q33" s="1056">
        <f t="shared" si="64"/>
        <v>324449</v>
      </c>
      <c r="R33" s="1017">
        <f t="shared" si="64"/>
        <v>1278885</v>
      </c>
      <c r="S33" s="1056">
        <f t="shared" si="64"/>
        <v>328344</v>
      </c>
      <c r="T33" s="1056">
        <f t="shared" si="64"/>
        <v>342475</v>
      </c>
      <c r="U33" s="1056">
        <f t="shared" si="64"/>
        <v>353755</v>
      </c>
      <c r="V33" s="1056">
        <f t="shared" si="64"/>
        <v>348647</v>
      </c>
      <c r="W33" s="1017">
        <f t="shared" si="64"/>
        <v>1373221</v>
      </c>
      <c r="X33" s="1056">
        <f t="shared" si="64"/>
        <v>369201</v>
      </c>
      <c r="Y33" s="1056">
        <f t="shared" si="64"/>
        <v>379318</v>
      </c>
      <c r="Z33" s="1056">
        <f t="shared" si="64"/>
        <v>390731</v>
      </c>
      <c r="AA33" s="1056">
        <f t="shared" si="64"/>
        <v>372352</v>
      </c>
      <c r="AB33" s="1017">
        <f>SUM(AB31,AB29,AB27,AB25,AB23,AB21,AB15)</f>
        <v>1511602</v>
      </c>
      <c r="AC33" s="1056">
        <f t="shared" si="64"/>
        <v>402746</v>
      </c>
      <c r="AD33" s="1056">
        <f t="shared" si="64"/>
        <v>424282</v>
      </c>
      <c r="AE33" s="1056">
        <f t="shared" si="64"/>
        <v>436106</v>
      </c>
      <c r="AF33" s="1056">
        <f t="shared" si="64"/>
        <v>434872.69999999995</v>
      </c>
      <c r="AG33" s="1017">
        <f t="shared" si="64"/>
        <v>1698006.7</v>
      </c>
      <c r="AH33" s="1056">
        <f t="shared" ref="AH33:AL33" si="65">SUM(AH31,AH29,AH27,AH25,AH23,AH21,AH15)</f>
        <v>458661.44999999995</v>
      </c>
      <c r="AI33" s="1056">
        <f t="shared" si="65"/>
        <v>487860.05</v>
      </c>
      <c r="AJ33" s="1056">
        <f t="shared" si="65"/>
        <v>490341.67</v>
      </c>
      <c r="AK33" s="1056">
        <f t="shared" si="65"/>
        <v>498495.201</v>
      </c>
      <c r="AL33" s="1017">
        <f t="shared" si="65"/>
        <v>1935358.3709999998</v>
      </c>
    </row>
    <row r="34" spans="2:38" s="1059" customFormat="1">
      <c r="B34" s="1058"/>
      <c r="C34" s="1059" t="s">
        <v>21</v>
      </c>
      <c r="H34" s="1060"/>
      <c r="M34" s="1060"/>
      <c r="N34" s="1061">
        <f>N33/I33-1</f>
        <v>0.12590782375728615</v>
      </c>
      <c r="O34" s="1061">
        <f>O33/J33-1</f>
        <v>9.6555390693682464E-2</v>
      </c>
      <c r="P34" s="1061"/>
      <c r="Q34" s="1061"/>
      <c r="R34" s="1057"/>
      <c r="S34" s="1062">
        <f t="shared" ref="S34:AG34" si="66">S33/N33-1</f>
        <v>5.5812622392575895E-2</v>
      </c>
      <c r="T34" s="1062">
        <f t="shared" si="66"/>
        <v>8.5258421269448936E-2</v>
      </c>
      <c r="U34" s="1062">
        <f t="shared" si="66"/>
        <v>7.8919357445887073E-2</v>
      </c>
      <c r="V34" s="1062">
        <f t="shared" si="66"/>
        <v>7.4581829501709107E-2</v>
      </c>
      <c r="W34" s="1057">
        <f t="shared" si="66"/>
        <v>7.3764255582010829E-2</v>
      </c>
      <c r="X34" s="1062">
        <f t="shared" si="66"/>
        <v>0.12443352094145155</v>
      </c>
      <c r="Y34" s="1062">
        <f t="shared" si="66"/>
        <v>0.10757865537630473</v>
      </c>
      <c r="Z34" s="1062">
        <f t="shared" si="66"/>
        <v>0.1045243176774886</v>
      </c>
      <c r="AA34" s="1062">
        <f t="shared" si="66"/>
        <v>6.799140678107074E-2</v>
      </c>
      <c r="AB34" s="1057">
        <f t="shared" si="66"/>
        <v>0.10077110676285894</v>
      </c>
      <c r="AC34" s="1062">
        <f t="shared" si="66"/>
        <v>9.0858367122515826E-2</v>
      </c>
      <c r="AD34" s="1062">
        <f t="shared" si="66"/>
        <v>0.11853906221165356</v>
      </c>
      <c r="AE34" s="1062">
        <f t="shared" si="66"/>
        <v>0.11612848737366632</v>
      </c>
      <c r="AF34" s="1062">
        <f t="shared" si="66"/>
        <v>0.16790751761773803</v>
      </c>
      <c r="AG34" s="1057">
        <f t="shared" si="66"/>
        <v>0.12331599190792275</v>
      </c>
      <c r="AH34" s="1062">
        <f t="shared" ref="AH34" si="67">AH33/AC33-1</f>
        <v>0.13883551916095982</v>
      </c>
      <c r="AI34" s="1062">
        <f t="shared" ref="AI34" si="68">AI33/AD33-1</f>
        <v>0.14984856769789912</v>
      </c>
      <c r="AJ34" s="1062">
        <f t="shared" ref="AJ34" si="69">AJ33/AE33-1</f>
        <v>0.12436350336844715</v>
      </c>
      <c r="AK34" s="1062">
        <f t="shared" ref="AK34" si="70">AK33/AF33-1</f>
        <v>0.14630143717920219</v>
      </c>
      <c r="AL34" s="1057">
        <f t="shared" ref="AL34" si="71">AL33/AG33-1</f>
        <v>0.13978252912665168</v>
      </c>
    </row>
    <row r="35" spans="2:38">
      <c r="B35" s="156"/>
      <c r="H35" s="157"/>
      <c r="M35" s="157"/>
      <c r="R35" s="157"/>
      <c r="W35" s="157"/>
      <c r="AB35" s="157"/>
      <c r="AG35" s="157"/>
      <c r="AL35" s="157"/>
    </row>
    <row r="36" spans="2:38">
      <c r="B36" s="156"/>
      <c r="H36" s="157"/>
      <c r="M36" s="157"/>
      <c r="R36" s="157"/>
      <c r="W36" s="157"/>
      <c r="AB36" s="157"/>
      <c r="AC36" s="230">
        <f>AC43+AC19</f>
        <v>194909</v>
      </c>
      <c r="AD36" s="230">
        <f>AD43+AD19</f>
        <v>215504</v>
      </c>
      <c r="AE36" s="230">
        <f t="shared" ref="AE36:AF36" si="72">AE43+AE19</f>
        <v>201308</v>
      </c>
      <c r="AF36" s="230">
        <f t="shared" si="72"/>
        <v>195577.584</v>
      </c>
      <c r="AG36" s="157"/>
      <c r="AH36" s="230">
        <f>AH43+AH19</f>
        <v>206229.32</v>
      </c>
      <c r="AI36" s="230">
        <f>AI43+AI19</f>
        <v>228508.3</v>
      </c>
      <c r="AJ36" s="230">
        <f t="shared" ref="AJ36:AK36" si="73">AJ43+AJ19</f>
        <v>214177.81</v>
      </c>
      <c r="AK36" s="230">
        <f t="shared" si="73"/>
        <v>207967.87823999999</v>
      </c>
      <c r="AL36" s="157"/>
    </row>
    <row r="37" spans="2:38">
      <c r="B37" s="156"/>
      <c r="H37" s="157"/>
      <c r="M37" s="157"/>
      <c r="R37" s="157"/>
      <c r="W37" s="157"/>
      <c r="AB37" s="157"/>
      <c r="AE37" s="230"/>
      <c r="AF37" s="230"/>
      <c r="AG37" s="157"/>
      <c r="AL37" s="157"/>
    </row>
    <row r="38" spans="2:38">
      <c r="B38" s="1098" t="s">
        <v>895</v>
      </c>
      <c r="H38" s="157"/>
      <c r="M38" s="157"/>
      <c r="N38" s="166"/>
      <c r="R38" s="157"/>
      <c r="W38" s="157"/>
      <c r="AB38" s="157"/>
      <c r="AG38" s="157"/>
      <c r="AL38" s="157"/>
    </row>
    <row r="39" spans="2:38">
      <c r="B39" s="156" t="s">
        <v>890</v>
      </c>
      <c r="H39" s="157"/>
      <c r="I39" s="166">
        <v>561</v>
      </c>
      <c r="J39">
        <v>1365</v>
      </c>
      <c r="M39" s="157"/>
      <c r="N39" s="166">
        <v>401</v>
      </c>
      <c r="O39" s="166">
        <v>386</v>
      </c>
      <c r="P39" s="166">
        <v>3104</v>
      </c>
      <c r="Q39" s="166">
        <f>4248-P39-O39-N39</f>
        <v>357</v>
      </c>
      <c r="R39" s="1013">
        <f>SUM(N39:Q39)</f>
        <v>4248</v>
      </c>
      <c r="S39" s="166">
        <v>2062</v>
      </c>
      <c r="T39" s="166">
        <v>300</v>
      </c>
      <c r="U39" s="166">
        <v>3023</v>
      </c>
      <c r="V39" s="166">
        <f>5387-U39-T39-S39</f>
        <v>2</v>
      </c>
      <c r="W39" s="1013">
        <f>SUM(S39:V39)</f>
        <v>5387</v>
      </c>
      <c r="X39" s="166">
        <v>163</v>
      </c>
      <c r="Y39" s="166">
        <v>10</v>
      </c>
      <c r="Z39" s="166">
        <v>764</v>
      </c>
      <c r="AA39" s="166">
        <f>1065-SUM(X39:Z39)</f>
        <v>128</v>
      </c>
      <c r="AB39" s="1013">
        <f>SUM(X39:AA39)</f>
        <v>1065</v>
      </c>
      <c r="AC39" s="166">
        <v>0</v>
      </c>
      <c r="AD39" s="166">
        <v>-183</v>
      </c>
      <c r="AE39" s="166">
        <v>-37</v>
      </c>
      <c r="AF39" s="166">
        <v>0</v>
      </c>
      <c r="AG39" s="1013">
        <f>SUM(AC39:AF39)</f>
        <v>-220</v>
      </c>
      <c r="AH39" s="166">
        <v>750</v>
      </c>
      <c r="AI39" s="166">
        <v>750</v>
      </c>
      <c r="AJ39" s="166">
        <v>750</v>
      </c>
      <c r="AK39" s="166">
        <v>750</v>
      </c>
      <c r="AL39" s="1013">
        <f>SUM(AH39:AK39)</f>
        <v>3000</v>
      </c>
    </row>
    <row r="40" spans="2:38" s="278" customFormat="1">
      <c r="B40" s="1040"/>
      <c r="C40" s="278" t="s">
        <v>21</v>
      </c>
      <c r="H40" s="1041"/>
      <c r="I40" s="1042"/>
      <c r="M40" s="1041"/>
      <c r="N40" s="1043">
        <f>N39/I39-1</f>
        <v>-0.28520499108734398</v>
      </c>
      <c r="O40" s="1042"/>
      <c r="P40" s="1042"/>
      <c r="Q40" s="1042"/>
      <c r="R40" s="1044"/>
      <c r="S40" s="1043">
        <f t="shared" ref="S40:AG40" si="74">S39/N39-1</f>
        <v>4.1421446384039902</v>
      </c>
      <c r="T40" s="1043">
        <f t="shared" si="74"/>
        <v>-0.22279792746113991</v>
      </c>
      <c r="U40" s="1043">
        <f t="shared" si="74"/>
        <v>-2.6095360824742286E-2</v>
      </c>
      <c r="V40" s="1043">
        <f t="shared" si="74"/>
        <v>-0.99439775910364148</v>
      </c>
      <c r="W40" s="1045">
        <f t="shared" si="74"/>
        <v>0.26812617702448205</v>
      </c>
      <c r="X40" s="1043">
        <f t="shared" si="74"/>
        <v>-0.92095053346265765</v>
      </c>
      <c r="Y40" s="1043">
        <f t="shared" si="74"/>
        <v>-0.96666666666666667</v>
      </c>
      <c r="Z40" s="1043">
        <f t="shared" si="74"/>
        <v>-0.74727092292424746</v>
      </c>
      <c r="AA40" s="1043">
        <f t="shared" si="74"/>
        <v>63</v>
      </c>
      <c r="AB40" s="1045">
        <f t="shared" si="74"/>
        <v>-0.80230183775756447</v>
      </c>
      <c r="AC40" s="1043">
        <f t="shared" si="74"/>
        <v>-1</v>
      </c>
      <c r="AD40" s="1043">
        <f t="shared" si="74"/>
        <v>-19.3</v>
      </c>
      <c r="AE40" s="1043">
        <f t="shared" si="74"/>
        <v>-1.0484293193717278</v>
      </c>
      <c r="AF40" s="1043">
        <f t="shared" si="74"/>
        <v>-1</v>
      </c>
      <c r="AG40" s="1045">
        <f t="shared" si="74"/>
        <v>-1.2065727699530517</v>
      </c>
      <c r="AH40" s="1043" t="e">
        <f t="shared" ref="AH40" si="75">AH39/AC39-1</f>
        <v>#DIV/0!</v>
      </c>
      <c r="AI40" s="1043">
        <f t="shared" ref="AI40" si="76">AI39/AD39-1</f>
        <v>-5.0983606557377046</v>
      </c>
      <c r="AJ40" s="1043">
        <f t="shared" ref="AJ40" si="77">AJ39/AE39-1</f>
        <v>-21.27027027027027</v>
      </c>
      <c r="AK40" s="1043" t="e">
        <f t="shared" ref="AK40" si="78">AK39/AF39-1</f>
        <v>#DIV/0!</v>
      </c>
      <c r="AL40" s="1045">
        <f t="shared" ref="AL40" si="79">AL39/AG39-1</f>
        <v>-14.636363636363637</v>
      </c>
    </row>
    <row r="41" spans="2:38" ht="15.75" customHeight="1">
      <c r="B41" s="156" t="s">
        <v>931</v>
      </c>
      <c r="H41" s="157"/>
      <c r="I41" s="166"/>
      <c r="M41" s="157"/>
      <c r="N41" s="166">
        <f>97838-N17</f>
        <v>11123</v>
      </c>
      <c r="O41" s="166">
        <f>O45-O43</f>
        <v>13728</v>
      </c>
      <c r="P41" s="166">
        <v>12633</v>
      </c>
      <c r="Q41" s="166">
        <f>Q45-Q43</f>
        <v>14167</v>
      </c>
      <c r="R41" s="1014">
        <f>SUM(N41:Q41)</f>
        <v>51651</v>
      </c>
      <c r="S41" s="166">
        <f>S45-S43</f>
        <v>15553</v>
      </c>
      <c r="T41" s="166">
        <f>T45-T43</f>
        <v>15578</v>
      </c>
      <c r="U41" s="166">
        <v>17762</v>
      </c>
      <c r="V41" s="166">
        <f>68433-U41-T41-S41</f>
        <v>19540</v>
      </c>
      <c r="W41" s="1014">
        <f>SUM(S41:V41)</f>
        <v>68433</v>
      </c>
      <c r="X41" s="166">
        <v>20642</v>
      </c>
      <c r="Y41" s="166">
        <v>19933</v>
      </c>
      <c r="Z41" s="166">
        <v>22179</v>
      </c>
      <c r="AA41" s="166">
        <f>84937-SUM(X41:Z41)</f>
        <v>22183</v>
      </c>
      <c r="AB41" s="1014">
        <f>SUM(X41:AA41)</f>
        <v>84937</v>
      </c>
      <c r="AC41" s="166">
        <v>21339</v>
      </c>
      <c r="AD41" s="166">
        <v>21512</v>
      </c>
      <c r="AE41" s="166">
        <v>21403</v>
      </c>
      <c r="AF41" s="166">
        <f>AA41*(1+AF42)</f>
        <v>23292.15</v>
      </c>
      <c r="AG41" s="1014">
        <f>SUM(AC41:AF41)</f>
        <v>87546.15</v>
      </c>
      <c r="AH41" s="166">
        <f>AC41*(1+AH42)</f>
        <v>23046.120000000003</v>
      </c>
      <c r="AI41" s="166">
        <f>AD41*(1+AI42)</f>
        <v>23232.960000000003</v>
      </c>
      <c r="AJ41" s="166">
        <f>AE41*(1+AJ42)</f>
        <v>23115.24</v>
      </c>
      <c r="AK41" s="166">
        <f>AF41*(1+AK42)</f>
        <v>25155.522000000004</v>
      </c>
      <c r="AL41" s="1014">
        <f>SUM(AH41:AK41)</f>
        <v>94549.842000000004</v>
      </c>
    </row>
    <row r="42" spans="2:38" s="278" customFormat="1">
      <c r="B42" s="1040"/>
      <c r="C42" s="278" t="s">
        <v>21</v>
      </c>
      <c r="H42" s="1041"/>
      <c r="I42" s="1042"/>
      <c r="M42" s="1041"/>
      <c r="N42" s="1043"/>
      <c r="O42" s="1042"/>
      <c r="P42" s="1042"/>
      <c r="Q42" s="1042"/>
      <c r="R42" s="1045"/>
      <c r="S42" s="1043">
        <f t="shared" ref="S42:AE42" si="80">S41/N41-1</f>
        <v>0.39827384698372748</v>
      </c>
      <c r="T42" s="1043">
        <f t="shared" si="80"/>
        <v>0.13476107226107237</v>
      </c>
      <c r="U42" s="1043">
        <f t="shared" si="80"/>
        <v>0.40600015831552283</v>
      </c>
      <c r="V42" s="1043">
        <f t="shared" si="80"/>
        <v>0.37926166443142506</v>
      </c>
      <c r="W42" s="1045">
        <f t="shared" si="80"/>
        <v>0.324911424754603</v>
      </c>
      <c r="X42" s="1043">
        <f t="shared" si="80"/>
        <v>0.32720375490259124</v>
      </c>
      <c r="Y42" s="1043">
        <f t="shared" si="80"/>
        <v>0.27956091924508919</v>
      </c>
      <c r="Z42" s="1043">
        <f t="shared" si="80"/>
        <v>0.24867695079382957</v>
      </c>
      <c r="AA42" s="1043">
        <f t="shared" si="80"/>
        <v>0.13526100307062427</v>
      </c>
      <c r="AB42" s="1045">
        <f>AB41/W41-1</f>
        <v>0.24117019566583364</v>
      </c>
      <c r="AC42" s="1043">
        <f t="shared" si="80"/>
        <v>3.3766107935277567E-2</v>
      </c>
      <c r="AD42" s="1043">
        <f t="shared" si="80"/>
        <v>7.9215371494506526E-2</v>
      </c>
      <c r="AE42" s="1043">
        <f t="shared" si="80"/>
        <v>-3.4988051760674543E-2</v>
      </c>
      <c r="AF42" s="1066">
        <v>0.05</v>
      </c>
      <c r="AG42" s="1045">
        <f>AG41/AB41-1</f>
        <v>3.0718650293747096E-2</v>
      </c>
      <c r="AH42" s="1066">
        <v>0.08</v>
      </c>
      <c r="AI42" s="1066">
        <v>0.08</v>
      </c>
      <c r="AJ42" s="1066">
        <v>0.08</v>
      </c>
      <c r="AK42" s="1066">
        <v>0.08</v>
      </c>
      <c r="AL42" s="1045">
        <f>AL41/AG41-1</f>
        <v>8.0000000000000071E-2</v>
      </c>
    </row>
    <row r="43" spans="2:38">
      <c r="B43" s="156" t="s">
        <v>932</v>
      </c>
      <c r="H43" s="157"/>
      <c r="I43" s="166"/>
      <c r="M43" s="157"/>
      <c r="N43" s="1038">
        <f>N92</f>
        <v>105277</v>
      </c>
      <c r="O43" s="166">
        <f>O92</f>
        <v>113394</v>
      </c>
      <c r="P43" s="166">
        <v>106377</v>
      </c>
      <c r="Q43" s="166">
        <f>Q92</f>
        <v>100556</v>
      </c>
      <c r="R43" s="1014">
        <f>SUM(N43:Q43)</f>
        <v>425604</v>
      </c>
      <c r="S43" s="166">
        <f>S92</f>
        <v>116498</v>
      </c>
      <c r="T43" s="166">
        <f>T92</f>
        <v>127657</v>
      </c>
      <c r="U43" s="166">
        <v>111505</v>
      </c>
      <c r="V43" s="166">
        <f>456817-U43-T43-S43</f>
        <v>101157</v>
      </c>
      <c r="W43" s="1014">
        <f>SUM(S43:V43)</f>
        <v>456817</v>
      </c>
      <c r="X43" s="166">
        <v>112575</v>
      </c>
      <c r="Y43" s="166">
        <v>122003</v>
      </c>
      <c r="Z43" s="166">
        <v>118985</v>
      </c>
      <c r="AA43" s="166">
        <f>463519-SUM(X43:Z43)</f>
        <v>109956</v>
      </c>
      <c r="AB43" s="1014">
        <f>SUM(X43:AA43)</f>
        <v>463519</v>
      </c>
      <c r="AC43" s="166">
        <v>125070</v>
      </c>
      <c r="AD43" s="166">
        <v>135718</v>
      </c>
      <c r="AE43" s="166">
        <v>122977</v>
      </c>
      <c r="AF43" s="166">
        <f>AA43*(1+AF44)</f>
        <v>116993.18400000001</v>
      </c>
      <c r="AG43" s="1014">
        <f>SUM(AC43:AF43)</f>
        <v>500758.18400000001</v>
      </c>
      <c r="AH43" s="166">
        <f>AC43*(1+AH44)</f>
        <v>123819.3</v>
      </c>
      <c r="AI43" s="166">
        <f>AD43*(1+AI44)</f>
        <v>134360.82</v>
      </c>
      <c r="AJ43" s="166">
        <f>AE43*(1+AJ44)</f>
        <v>121747.23</v>
      </c>
      <c r="AK43" s="166">
        <f>AF43*(1+AK44)</f>
        <v>115238.28624</v>
      </c>
      <c r="AL43" s="1014">
        <f>SUM(AH43:AK43)</f>
        <v>495165.63623999996</v>
      </c>
    </row>
    <row r="44" spans="2:38" s="278" customFormat="1">
      <c r="B44" s="1040"/>
      <c r="C44" s="278" t="s">
        <v>21</v>
      </c>
      <c r="H44" s="1041"/>
      <c r="I44" s="1042"/>
      <c r="M44" s="1041"/>
      <c r="N44" s="1043"/>
      <c r="O44" s="1042"/>
      <c r="P44" s="1042"/>
      <c r="Q44" s="1042"/>
      <c r="R44" s="1044"/>
      <c r="S44" s="1043">
        <f t="shared" ref="S44:AE44" si="81">S43/N43-1</f>
        <v>0.10658548400885293</v>
      </c>
      <c r="T44" s="1043">
        <f t="shared" si="81"/>
        <v>0.12578266927703408</v>
      </c>
      <c r="U44" s="1043">
        <f t="shared" si="81"/>
        <v>4.820590917209544E-2</v>
      </c>
      <c r="V44" s="1043">
        <f t="shared" si="81"/>
        <v>5.9767691634511344E-3</v>
      </c>
      <c r="W44" s="1045">
        <f t="shared" si="81"/>
        <v>7.3338126521367286E-2</v>
      </c>
      <c r="X44" s="1043">
        <f t="shared" si="81"/>
        <v>-3.3674397843739823E-2</v>
      </c>
      <c r="Y44" s="1043">
        <f t="shared" si="81"/>
        <v>-4.4290559859623824E-2</v>
      </c>
      <c r="Z44" s="1043">
        <f t="shared" si="81"/>
        <v>6.7082193623604347E-2</v>
      </c>
      <c r="AA44" s="1043">
        <f t="shared" si="81"/>
        <v>8.6983599750882323E-2</v>
      </c>
      <c r="AB44" s="1045">
        <f>AB43/W43-1</f>
        <v>1.4671082731159357E-2</v>
      </c>
      <c r="AC44" s="1043">
        <f t="shared" si="81"/>
        <v>0.11099267155229842</v>
      </c>
      <c r="AD44" s="1043">
        <f t="shared" si="81"/>
        <v>0.11241526847700456</v>
      </c>
      <c r="AE44" s="1043">
        <f t="shared" si="81"/>
        <v>3.3550447535403594E-2</v>
      </c>
      <c r="AF44" s="1066">
        <v>6.4000000000000001E-2</v>
      </c>
      <c r="AG44" s="1045">
        <f>AG43/AB43-1</f>
        <v>8.0340145711394806E-2</v>
      </c>
      <c r="AH44" s="1066">
        <v>-0.01</v>
      </c>
      <c r="AI44" s="1066">
        <v>-0.01</v>
      </c>
      <c r="AJ44" s="1066">
        <v>-0.01</v>
      </c>
      <c r="AK44" s="1066">
        <v>-1.4999999999999999E-2</v>
      </c>
      <c r="AL44" s="1045">
        <f>AL43/AG43-1</f>
        <v>-1.1168160478831179E-2</v>
      </c>
    </row>
    <row r="45" spans="2:38">
      <c r="B45" s="156" t="s">
        <v>891</v>
      </c>
      <c r="H45" s="157"/>
      <c r="I45" s="166">
        <v>3150</v>
      </c>
      <c r="J45">
        <v>96941</v>
      </c>
      <c r="M45" s="157"/>
      <c r="N45" s="166">
        <v>125127</v>
      </c>
      <c r="O45" s="166">
        <v>127122</v>
      </c>
      <c r="P45" s="166">
        <v>119009</v>
      </c>
      <c r="Q45" s="166">
        <f>485981-P45-O45-N45</f>
        <v>114723</v>
      </c>
      <c r="R45" s="1013">
        <f>SUM(N45:Q45)</f>
        <v>485981</v>
      </c>
      <c r="S45" s="166">
        <f>15553+116498</f>
        <v>132051</v>
      </c>
      <c r="T45" s="166">
        <f>15579+127656</f>
        <v>143235</v>
      </c>
      <c r="U45" s="166">
        <f>U43+U41</f>
        <v>129267</v>
      </c>
      <c r="V45" s="166">
        <f>V43+V41</f>
        <v>120697</v>
      </c>
      <c r="W45" s="1013">
        <f>SUM(S45:V45)</f>
        <v>525250</v>
      </c>
      <c r="X45" s="166">
        <f>X43+X41</f>
        <v>133217</v>
      </c>
      <c r="Y45" s="166">
        <f>Y43+Y41</f>
        <v>141936</v>
      </c>
      <c r="Z45" s="166">
        <f>Z43+Z41</f>
        <v>141164</v>
      </c>
      <c r="AA45" s="166">
        <f>AA43+AA41</f>
        <v>132139</v>
      </c>
      <c r="AB45" s="1013">
        <f>SUM(X45:AA45)</f>
        <v>548456</v>
      </c>
      <c r="AC45" s="166">
        <f>AC43+AC41</f>
        <v>146409</v>
      </c>
      <c r="AD45" s="166">
        <f>AD43+AD41</f>
        <v>157230</v>
      </c>
      <c r="AE45" s="166">
        <f>AE43+AE41</f>
        <v>144380</v>
      </c>
      <c r="AF45" s="166">
        <f>AF43+AF41</f>
        <v>140285.334</v>
      </c>
      <c r="AG45" s="1013">
        <f>SUM(AC45:AF45)</f>
        <v>588304.33400000003</v>
      </c>
      <c r="AH45" s="166">
        <f>AH43+AH41</f>
        <v>146865.42000000001</v>
      </c>
      <c r="AI45" s="166">
        <f>AI43+AI41</f>
        <v>157593.78</v>
      </c>
      <c r="AJ45" s="166">
        <f>AJ43+AJ41</f>
        <v>144862.47</v>
      </c>
      <c r="AK45" s="166">
        <f>AK43+AK41</f>
        <v>140393.80824000001</v>
      </c>
      <c r="AL45" s="1013">
        <f>SUM(AH45:AK45)</f>
        <v>589715.47824000008</v>
      </c>
    </row>
    <row r="46" spans="2:38" s="278" customFormat="1">
      <c r="B46" s="1040"/>
      <c r="C46" s="278" t="s">
        <v>21</v>
      </c>
      <c r="H46" s="1041"/>
      <c r="I46" s="1042"/>
      <c r="M46" s="1041"/>
      <c r="N46" s="1043">
        <f>N45/I45-1</f>
        <v>38.722857142857144</v>
      </c>
      <c r="O46" s="1042"/>
      <c r="P46" s="1042"/>
      <c r="Q46" s="1042"/>
      <c r="R46" s="1044"/>
      <c r="S46" s="1043">
        <f t="shared" ref="S46:AG46" si="82">S45/N45-1</f>
        <v>5.5335778848689676E-2</v>
      </c>
      <c r="T46" s="1043">
        <f t="shared" si="82"/>
        <v>0.12675225374050125</v>
      </c>
      <c r="U46" s="1043">
        <f t="shared" si="82"/>
        <v>8.6195161710458823E-2</v>
      </c>
      <c r="V46" s="1043">
        <f t="shared" si="82"/>
        <v>5.2073254709169126E-2</v>
      </c>
      <c r="W46" s="1045">
        <f t="shared" si="82"/>
        <v>8.0803570509958123E-2</v>
      </c>
      <c r="X46" s="1043">
        <f t="shared" si="82"/>
        <v>8.8299217726484081E-3</v>
      </c>
      <c r="Y46" s="1043">
        <f t="shared" si="82"/>
        <v>-9.0690124620379509E-3</v>
      </c>
      <c r="Z46" s="1043">
        <f t="shared" si="82"/>
        <v>9.2034316569580721E-2</v>
      </c>
      <c r="AA46" s="1043">
        <f t="shared" si="82"/>
        <v>9.4799373638118523E-2</v>
      </c>
      <c r="AB46" s="1045">
        <f t="shared" si="82"/>
        <v>4.418086625416473E-2</v>
      </c>
      <c r="AC46" s="1043">
        <f t="shared" si="82"/>
        <v>9.9026400534466319E-2</v>
      </c>
      <c r="AD46" s="1043">
        <f t="shared" si="82"/>
        <v>0.10775278998985449</v>
      </c>
      <c r="AE46" s="1043">
        <f t="shared" si="82"/>
        <v>2.2782012411096231E-2</v>
      </c>
      <c r="AF46" s="1043">
        <f t="shared" si="82"/>
        <v>6.1649732478677777E-2</v>
      </c>
      <c r="AG46" s="1045">
        <f t="shared" si="82"/>
        <v>7.2655480111440074E-2</v>
      </c>
      <c r="AH46" s="1043">
        <f t="shared" ref="AH46" si="83">AH45/AC45-1</f>
        <v>3.1174313054527225E-3</v>
      </c>
      <c r="AI46" s="1043">
        <f t="shared" ref="AI46" si="84">AI45/AD45-1</f>
        <v>2.3136805953061224E-3</v>
      </c>
      <c r="AJ46" s="1043">
        <f t="shared" ref="AJ46" si="85">AJ45/AE45-1</f>
        <v>3.3416678210278494E-3</v>
      </c>
      <c r="AK46" s="1043">
        <f t="shared" ref="AK46" si="86">AK45/AF45-1</f>
        <v>7.7324005943490981E-4</v>
      </c>
      <c r="AL46" s="1045">
        <f t="shared" ref="AL46" si="87">AL45/AG45-1</f>
        <v>2.3986636821207163E-3</v>
      </c>
    </row>
    <row r="47" spans="2:38">
      <c r="B47" s="156" t="s">
        <v>666</v>
      </c>
      <c r="H47" s="157"/>
      <c r="I47" s="166">
        <v>5223</v>
      </c>
      <c r="J47">
        <v>10859</v>
      </c>
      <c r="M47" s="157"/>
      <c r="N47" s="166">
        <v>18848</v>
      </c>
      <c r="O47" s="166">
        <v>21284</v>
      </c>
      <c r="P47" s="166">
        <v>20739</v>
      </c>
      <c r="Q47" s="166">
        <f>72655-P47-O47-N47</f>
        <v>11784</v>
      </c>
      <c r="R47" s="1013">
        <f>SUM(N47:Q47)</f>
        <v>72655</v>
      </c>
      <c r="S47" s="166">
        <v>9430</v>
      </c>
      <c r="T47" s="166">
        <v>11164</v>
      </c>
      <c r="U47" s="166">
        <v>8713</v>
      </c>
      <c r="V47" s="166">
        <f>40249-U47-T47-S47</f>
        <v>10942</v>
      </c>
      <c r="W47" s="1013">
        <f>SUM(S47:V47)</f>
        <v>40249</v>
      </c>
      <c r="X47" s="166">
        <v>9913</v>
      </c>
      <c r="Y47" s="166">
        <v>13197</v>
      </c>
      <c r="Z47" s="166">
        <v>10515</v>
      </c>
      <c r="AA47" s="166">
        <f>44058-SUM(X47:Z47)</f>
        <v>10433</v>
      </c>
      <c r="AB47" s="1013">
        <f>SUM(X47:AA47)</f>
        <v>44058</v>
      </c>
      <c r="AC47" s="166">
        <v>9457</v>
      </c>
      <c r="AD47" s="166">
        <v>1750</v>
      </c>
      <c r="AE47" s="166">
        <v>8959</v>
      </c>
      <c r="AF47" s="166">
        <v>10000</v>
      </c>
      <c r="AG47" s="1013">
        <f>SUM(AC47:AF47)</f>
        <v>30166</v>
      </c>
      <c r="AH47" s="166">
        <v>8500</v>
      </c>
      <c r="AI47" s="166">
        <v>8500</v>
      </c>
      <c r="AJ47" s="166">
        <v>10000</v>
      </c>
      <c r="AK47" s="166">
        <v>9000</v>
      </c>
      <c r="AL47" s="1013">
        <f>SUM(AH47:AK47)</f>
        <v>36000</v>
      </c>
    </row>
    <row r="48" spans="2:38" s="278" customFormat="1">
      <c r="B48" s="1040"/>
      <c r="C48" s="278" t="s">
        <v>21</v>
      </c>
      <c r="H48" s="1041"/>
      <c r="I48" s="1042"/>
      <c r="M48" s="1041"/>
      <c r="N48" s="1043">
        <f>N47/I47-1</f>
        <v>2.6086540302508139</v>
      </c>
      <c r="R48" s="1041"/>
      <c r="S48" s="1043">
        <f t="shared" ref="S48:AG48" si="88">S47/N47-1</f>
        <v>-0.49968166383701185</v>
      </c>
      <c r="T48" s="1043">
        <f t="shared" si="88"/>
        <v>-0.47547453486186808</v>
      </c>
      <c r="U48" s="1043">
        <f t="shared" si="88"/>
        <v>-0.57987366796856166</v>
      </c>
      <c r="V48" s="1043">
        <f t="shared" si="88"/>
        <v>-7.1452817379497602E-2</v>
      </c>
      <c r="W48" s="1045">
        <f t="shared" si="88"/>
        <v>-0.44602573807721424</v>
      </c>
      <c r="X48" s="1043">
        <f t="shared" si="88"/>
        <v>5.1219512195121997E-2</v>
      </c>
      <c r="Y48" s="1043">
        <f t="shared" si="88"/>
        <v>0.18210318882121102</v>
      </c>
      <c r="Z48" s="1043">
        <f t="shared" si="88"/>
        <v>0.20681739928841969</v>
      </c>
      <c r="AA48" s="1043">
        <f t="shared" si="88"/>
        <v>-4.6518004021202652E-2</v>
      </c>
      <c r="AB48" s="1045">
        <f t="shared" si="88"/>
        <v>9.4635891574945896E-2</v>
      </c>
      <c r="AC48" s="1043">
        <f t="shared" si="88"/>
        <v>-4.6000201755270864E-2</v>
      </c>
      <c r="AD48" s="1043">
        <f t="shared" si="88"/>
        <v>-0.86739410472076983</v>
      </c>
      <c r="AE48" s="1043">
        <f t="shared" si="88"/>
        <v>-0.1479790775083214</v>
      </c>
      <c r="AF48" s="1043">
        <f t="shared" si="88"/>
        <v>-4.1502923416083526E-2</v>
      </c>
      <c r="AG48" s="1045">
        <f t="shared" si="88"/>
        <v>-0.31531163466339829</v>
      </c>
      <c r="AH48" s="1043">
        <f t="shared" ref="AH48" si="89">AH47/AC47-1</f>
        <v>-0.10119488209791694</v>
      </c>
      <c r="AI48" s="1043">
        <f t="shared" ref="AI48" si="90">AI47/AD47-1</f>
        <v>3.8571428571428568</v>
      </c>
      <c r="AJ48" s="1043">
        <f t="shared" ref="AJ48" si="91">AJ47/AE47-1</f>
        <v>0.11619600401830565</v>
      </c>
      <c r="AK48" s="1043">
        <f t="shared" ref="AK48" si="92">AK47/AF47-1</f>
        <v>-9.9999999999999978E-2</v>
      </c>
      <c r="AL48" s="1045">
        <f t="shared" ref="AL48" si="93">AL47/AG47-1</f>
        <v>0.19339653915003652</v>
      </c>
    </row>
    <row r="49" spans="2:38">
      <c r="B49" s="156" t="s">
        <v>893</v>
      </c>
      <c r="H49" s="157"/>
      <c r="I49" s="166">
        <v>9643</v>
      </c>
      <c r="J49">
        <v>9806</v>
      </c>
      <c r="M49" s="157"/>
      <c r="N49" s="166">
        <v>6334</v>
      </c>
      <c r="O49" s="166">
        <v>6055</v>
      </c>
      <c r="P49" s="166">
        <v>5852</v>
      </c>
      <c r="Q49" s="166">
        <f>24312-P49-O49-N49</f>
        <v>6071</v>
      </c>
      <c r="R49" s="1013">
        <f>SUM(N49:Q49)</f>
        <v>24312</v>
      </c>
      <c r="S49" s="166">
        <v>5049</v>
      </c>
      <c r="T49" s="166">
        <v>6586</v>
      </c>
      <c r="U49" s="166">
        <v>5910</v>
      </c>
      <c r="V49" s="166">
        <f>23880-U49-T49-S49</f>
        <v>6335</v>
      </c>
      <c r="W49" s="1013">
        <f>SUM(S49:V49)</f>
        <v>23880</v>
      </c>
      <c r="X49" s="166">
        <v>6036</v>
      </c>
      <c r="Y49" s="166">
        <v>6113</v>
      </c>
      <c r="Z49" s="166">
        <v>6241</v>
      </c>
      <c r="AA49" s="166">
        <f>24677-SUM(X49:Z49)</f>
        <v>6287</v>
      </c>
      <c r="AB49" s="1013">
        <f>SUM(X49:AA49)</f>
        <v>24677</v>
      </c>
      <c r="AC49" s="166">
        <v>5822</v>
      </c>
      <c r="AD49" s="166">
        <v>5344</v>
      </c>
      <c r="AE49" s="166">
        <v>5862</v>
      </c>
      <c r="AF49" s="166">
        <v>5000</v>
      </c>
      <c r="AG49" s="1013">
        <f>SUM(AC49:AF49)</f>
        <v>22028</v>
      </c>
      <c r="AH49" s="166">
        <v>5800</v>
      </c>
      <c r="AI49" s="166">
        <v>5800</v>
      </c>
      <c r="AJ49" s="166">
        <v>5700</v>
      </c>
      <c r="AK49" s="166">
        <v>5600</v>
      </c>
      <c r="AL49" s="1013">
        <f>SUM(AH49:AK49)</f>
        <v>22900</v>
      </c>
    </row>
    <row r="50" spans="2:38" s="278" customFormat="1">
      <c r="B50" s="1040"/>
      <c r="C50" s="278" t="s">
        <v>21</v>
      </c>
      <c r="H50" s="1041"/>
      <c r="I50" s="1042"/>
      <c r="M50" s="1041"/>
      <c r="N50" s="1043">
        <f>N49/I49-1</f>
        <v>-0.34315047184486158</v>
      </c>
      <c r="R50" s="1041"/>
      <c r="S50" s="1043">
        <f>S49/N49-1</f>
        <v>-0.20287338174928959</v>
      </c>
      <c r="T50" s="1043">
        <f>T49/O49-1</f>
        <v>8.7696118909991849E-2</v>
      </c>
      <c r="U50" s="1043">
        <f>U49/P49-1</f>
        <v>9.9111414900887596E-3</v>
      </c>
      <c r="V50" s="1043">
        <f>V49/Q49-1</f>
        <v>4.3485422500411763E-2</v>
      </c>
      <c r="W50" s="1045">
        <f>W49/R49-1</f>
        <v>-1.7769002961500524E-2</v>
      </c>
      <c r="X50" s="1043">
        <f t="shared" ref="X50:AG50" si="94">X49/S49-1</f>
        <v>0.19548425430778371</v>
      </c>
      <c r="Y50" s="1043">
        <f t="shared" si="94"/>
        <v>-7.1819010021257235E-2</v>
      </c>
      <c r="Z50" s="1043">
        <f t="shared" si="94"/>
        <v>5.6006768189509337E-2</v>
      </c>
      <c r="AA50" s="1043">
        <f t="shared" si="94"/>
        <v>-7.5769534333069988E-3</v>
      </c>
      <c r="AB50" s="1045">
        <f t="shared" si="94"/>
        <v>3.3375209380234416E-2</v>
      </c>
      <c r="AC50" s="1043">
        <f t="shared" si="94"/>
        <v>-3.545394300861493E-2</v>
      </c>
      <c r="AD50" s="1043">
        <f t="shared" si="94"/>
        <v>-0.12579748077866837</v>
      </c>
      <c r="AE50" s="1043">
        <f t="shared" si="94"/>
        <v>-6.0727447524435152E-2</v>
      </c>
      <c r="AF50" s="1043">
        <f t="shared" si="94"/>
        <v>-0.20470812788293302</v>
      </c>
      <c r="AG50" s="1045">
        <f t="shared" si="94"/>
        <v>-0.10734692223527986</v>
      </c>
      <c r="AH50" s="1043">
        <f t="shared" ref="AH50" si="95">AH49/AC49-1</f>
        <v>-3.7787701820680697E-3</v>
      </c>
      <c r="AI50" s="1043">
        <f t="shared" ref="AI50" si="96">AI49/AD49-1</f>
        <v>8.5329341317365248E-2</v>
      </c>
      <c r="AJ50" s="1043">
        <f t="shared" ref="AJ50" si="97">AJ49/AE49-1</f>
        <v>-2.763561924257929E-2</v>
      </c>
      <c r="AK50" s="1043">
        <f t="shared" ref="AK50" si="98">AK49/AF49-1</f>
        <v>0.12000000000000011</v>
      </c>
      <c r="AL50" s="1045">
        <f t="shared" ref="AL50" si="99">AL49/AG49-1</f>
        <v>3.9585981478118759E-2</v>
      </c>
    </row>
    <row r="51" spans="2:38" outlineLevel="1">
      <c r="B51" s="156" t="s">
        <v>55</v>
      </c>
      <c r="H51" s="157"/>
      <c r="I51" s="166">
        <v>0</v>
      </c>
      <c r="M51" s="157"/>
      <c r="N51" s="166"/>
      <c r="R51" s="1013"/>
      <c r="W51" s="157"/>
      <c r="AB51" s="157"/>
      <c r="AG51" s="157"/>
      <c r="AL51" s="157"/>
    </row>
    <row r="52" spans="2:38" s="278" customFormat="1" outlineLevel="1">
      <c r="B52" s="1040"/>
      <c r="C52" s="278" t="s">
        <v>21</v>
      </c>
      <c r="H52" s="1041"/>
      <c r="I52" s="1042"/>
      <c r="M52" s="1041"/>
      <c r="N52" s="1042"/>
      <c r="R52" s="1041"/>
      <c r="W52" s="1041"/>
      <c r="AB52" s="1041"/>
      <c r="AG52" s="1041"/>
      <c r="AL52" s="1041"/>
    </row>
    <row r="53" spans="2:38">
      <c r="B53" s="156" t="s">
        <v>56</v>
      </c>
      <c r="H53" s="157"/>
      <c r="I53" s="166">
        <v>15</v>
      </c>
      <c r="J53" s="166">
        <v>3</v>
      </c>
      <c r="M53" s="157"/>
      <c r="N53" s="166"/>
      <c r="O53" s="166"/>
      <c r="P53" s="166"/>
      <c r="Q53" s="166"/>
      <c r="R53" s="1014"/>
      <c r="S53" s="166"/>
      <c r="T53" s="166"/>
      <c r="U53" s="166"/>
      <c r="V53" s="166"/>
      <c r="W53" s="1014"/>
      <c r="X53" s="166"/>
      <c r="Y53" s="166"/>
      <c r="Z53" s="166">
        <v>905</v>
      </c>
      <c r="AA53" s="166">
        <f>992-SUM(X53:Z53)</f>
        <v>87</v>
      </c>
      <c r="AB53" s="1014">
        <f>SUM(X53:AA53)</f>
        <v>992</v>
      </c>
      <c r="AC53" s="166">
        <v>41</v>
      </c>
      <c r="AD53" s="166">
        <v>128</v>
      </c>
      <c r="AE53" s="166">
        <v>128</v>
      </c>
      <c r="AF53" s="166"/>
      <c r="AG53" s="1014"/>
      <c r="AH53" s="166"/>
      <c r="AI53" s="166"/>
      <c r="AJ53" s="166"/>
      <c r="AK53" s="166"/>
      <c r="AL53" s="1014"/>
    </row>
    <row r="54" spans="2:38" s="278" customFormat="1" outlineLevel="1">
      <c r="B54" s="1040"/>
      <c r="C54" s="278" t="s">
        <v>21</v>
      </c>
      <c r="H54" s="1041"/>
      <c r="I54" s="1042"/>
      <c r="M54" s="1041"/>
      <c r="N54" s="1043"/>
      <c r="R54" s="1041"/>
      <c r="W54" s="1041"/>
      <c r="AB54" s="1041"/>
      <c r="AG54" s="1041"/>
      <c r="AL54" s="1041"/>
    </row>
    <row r="55" spans="2:38">
      <c r="B55" s="156" t="s">
        <v>894</v>
      </c>
      <c r="H55" s="157"/>
      <c r="I55" s="166"/>
      <c r="J55" s="166"/>
      <c r="M55" s="157"/>
      <c r="N55" s="166"/>
      <c r="O55" s="166"/>
      <c r="P55" s="166"/>
      <c r="Q55" s="166"/>
      <c r="R55" s="1014"/>
      <c r="S55" s="166"/>
      <c r="T55" s="166"/>
      <c r="U55" s="166"/>
      <c r="V55" s="166"/>
      <c r="W55" s="1014"/>
      <c r="X55" s="166"/>
      <c r="Y55" s="166">
        <v>464</v>
      </c>
      <c r="Z55" s="166">
        <v>4765</v>
      </c>
      <c r="AA55" s="166">
        <f>-SUM(X55:Z55)</f>
        <v>-5229</v>
      </c>
      <c r="AB55" s="1014">
        <f>SUM(X55:AA55)</f>
        <v>0</v>
      </c>
      <c r="AC55" s="166"/>
      <c r="AD55" s="166"/>
      <c r="AE55" s="166"/>
      <c r="AF55" s="166"/>
      <c r="AG55" s="1014"/>
      <c r="AH55" s="166"/>
      <c r="AI55" s="166"/>
      <c r="AJ55" s="166"/>
      <c r="AK55" s="166"/>
      <c r="AL55" s="1014"/>
    </row>
    <row r="56" spans="2:38" s="278" customFormat="1">
      <c r="B56" s="1040"/>
      <c r="C56" s="278" t="s">
        <v>21</v>
      </c>
      <c r="H56" s="1041"/>
      <c r="I56" s="1042"/>
      <c r="M56" s="1041"/>
      <c r="N56" s="1042"/>
      <c r="R56" s="1041"/>
      <c r="W56" s="1041"/>
      <c r="AB56" s="1041"/>
      <c r="AG56" s="1041"/>
      <c r="AL56" s="1041"/>
    </row>
    <row r="57" spans="2:38" s="1011" customFormat="1">
      <c r="B57" s="1032" t="s">
        <v>898</v>
      </c>
      <c r="H57" s="1015"/>
      <c r="I57" s="1056">
        <f>SUM(I55,I53,I51,I49,I47,I45,I39)</f>
        <v>18592</v>
      </c>
      <c r="J57" s="1056">
        <f>SUM(J55,J53,J51,J49,J47,J45,J39)</f>
        <v>118974</v>
      </c>
      <c r="M57" s="1015"/>
      <c r="N57" s="1056">
        <f t="shared" ref="N57:AG57" si="100">SUM(N55,N53,N51,N49,N47,N45,N39)</f>
        <v>150710</v>
      </c>
      <c r="O57" s="1056">
        <f t="shared" si="100"/>
        <v>154847</v>
      </c>
      <c r="P57" s="1056">
        <f t="shared" si="100"/>
        <v>148704</v>
      </c>
      <c r="Q57" s="1056">
        <f t="shared" si="100"/>
        <v>132935</v>
      </c>
      <c r="R57" s="1017">
        <f t="shared" si="100"/>
        <v>587196</v>
      </c>
      <c r="S57" s="1056">
        <f t="shared" si="100"/>
        <v>148592</v>
      </c>
      <c r="T57" s="1056">
        <f t="shared" si="100"/>
        <v>161285</v>
      </c>
      <c r="U57" s="1056">
        <f t="shared" si="100"/>
        <v>146913</v>
      </c>
      <c r="V57" s="1056">
        <f t="shared" si="100"/>
        <v>137976</v>
      </c>
      <c r="W57" s="1017">
        <f t="shared" si="100"/>
        <v>594766</v>
      </c>
      <c r="X57" s="1056">
        <f t="shared" si="100"/>
        <v>149329</v>
      </c>
      <c r="Y57" s="1056">
        <f t="shared" si="100"/>
        <v>161720</v>
      </c>
      <c r="Z57" s="1056">
        <f>SUM(Z55,Z53,Z51,Z49,Z47,Z45,Z39)</f>
        <v>164354</v>
      </c>
      <c r="AA57" s="1056">
        <f t="shared" si="100"/>
        <v>143845</v>
      </c>
      <c r="AB57" s="1017">
        <f t="shared" si="100"/>
        <v>619248</v>
      </c>
      <c r="AC57" s="1056">
        <f t="shared" si="100"/>
        <v>161729</v>
      </c>
      <c r="AD57" s="1056">
        <f t="shared" si="100"/>
        <v>164269</v>
      </c>
      <c r="AE57" s="1056">
        <f t="shared" si="100"/>
        <v>159292</v>
      </c>
      <c r="AF57" s="1056">
        <f t="shared" si="100"/>
        <v>155285.334</v>
      </c>
      <c r="AG57" s="1017">
        <f t="shared" si="100"/>
        <v>640278.33400000003</v>
      </c>
      <c r="AH57" s="1056">
        <f t="shared" ref="AH57:AL57" si="101">SUM(AH55,AH53,AH51,AH49,AH47,AH45,AH39)</f>
        <v>161915.42000000001</v>
      </c>
      <c r="AI57" s="1056">
        <f t="shared" si="101"/>
        <v>172643.78</v>
      </c>
      <c r="AJ57" s="1056">
        <f t="shared" si="101"/>
        <v>161312.47</v>
      </c>
      <c r="AK57" s="1056">
        <f t="shared" si="101"/>
        <v>155743.80824000001</v>
      </c>
      <c r="AL57" s="1017">
        <f t="shared" si="101"/>
        <v>651615.47824000008</v>
      </c>
    </row>
    <row r="58" spans="2:38" s="1059" customFormat="1">
      <c r="B58" s="1058"/>
      <c r="C58" s="1059" t="s">
        <v>21</v>
      </c>
      <c r="H58" s="1060"/>
      <c r="M58" s="1060"/>
      <c r="N58" s="1062">
        <f>N57/I57-1</f>
        <v>7.106174698795181</v>
      </c>
      <c r="O58" s="1062">
        <f>O57/J57-1</f>
        <v>0.30151965975759421</v>
      </c>
      <c r="P58" s="1062" t="e">
        <f>P57/K57-1</f>
        <v>#DIV/0!</v>
      </c>
      <c r="Q58" s="1062" t="e">
        <f>Q57/L57-1</f>
        <v>#DIV/0!</v>
      </c>
      <c r="R58" s="1060"/>
      <c r="S58" s="1062">
        <f t="shared" ref="S58:AG58" si="102">S57/N57-1</f>
        <v>-1.4053480193749635E-2</v>
      </c>
      <c r="T58" s="1062">
        <f t="shared" si="102"/>
        <v>4.1576523923614994E-2</v>
      </c>
      <c r="U58" s="1062">
        <f t="shared" si="102"/>
        <v>-1.2044060684312408E-2</v>
      </c>
      <c r="V58" s="1062">
        <f t="shared" si="102"/>
        <v>3.7920788355211288E-2</v>
      </c>
      <c r="W58" s="1057">
        <f t="shared" si="102"/>
        <v>1.2891777191942788E-2</v>
      </c>
      <c r="X58" s="1062">
        <f t="shared" si="102"/>
        <v>4.9598901690535158E-3</v>
      </c>
      <c r="Y58" s="1062">
        <f t="shared" si="102"/>
        <v>2.6970890039370587E-3</v>
      </c>
      <c r="Z58" s="1062">
        <f t="shared" si="102"/>
        <v>0.11871651930053839</v>
      </c>
      <c r="AA58" s="1062">
        <f t="shared" si="102"/>
        <v>4.2536383139096579E-2</v>
      </c>
      <c r="AB58" s="1057">
        <f t="shared" si="102"/>
        <v>4.116240672802407E-2</v>
      </c>
      <c r="AC58" s="1062">
        <f t="shared" si="102"/>
        <v>8.3038123874130232E-2</v>
      </c>
      <c r="AD58" s="1062">
        <f t="shared" si="102"/>
        <v>1.5761810536730092E-2</v>
      </c>
      <c r="AE58" s="1062">
        <f t="shared" si="102"/>
        <v>-3.0799372087080279E-2</v>
      </c>
      <c r="AF58" s="1062">
        <f t="shared" si="102"/>
        <v>7.9532371650040012E-2</v>
      </c>
      <c r="AG58" s="1057">
        <f t="shared" si="102"/>
        <v>3.396108505800588E-2</v>
      </c>
      <c r="AH58" s="1062">
        <f t="shared" ref="AH58" si="103">AH57/AC57-1</f>
        <v>1.152668970932913E-3</v>
      </c>
      <c r="AI58" s="1062">
        <f t="shared" ref="AI58" si="104">AI57/AD57-1</f>
        <v>5.0982108614528565E-2</v>
      </c>
      <c r="AJ58" s="1062">
        <f t="shared" ref="AJ58" si="105">AJ57/AE57-1</f>
        <v>1.2684064485347646E-2</v>
      </c>
      <c r="AK58" s="1062">
        <f t="shared" ref="AK58" si="106">AK57/AF57-1</f>
        <v>2.9524632377710969E-3</v>
      </c>
      <c r="AL58" s="1057">
        <f t="shared" ref="AL58" si="107">AL57/AG57-1</f>
        <v>1.7706587335500901E-2</v>
      </c>
    </row>
    <row r="59" spans="2:38">
      <c r="B59" s="156"/>
      <c r="H59" s="157"/>
      <c r="M59" s="157"/>
      <c r="N59" s="166"/>
      <c r="R59" s="157"/>
      <c r="W59" s="157"/>
      <c r="AB59" s="157"/>
      <c r="AG59" s="157"/>
      <c r="AL59" s="157"/>
    </row>
    <row r="60" spans="2:38">
      <c r="B60" s="156"/>
      <c r="H60" s="157"/>
      <c r="M60" s="157"/>
      <c r="R60" s="157"/>
      <c r="W60" s="157"/>
      <c r="AB60" s="157"/>
      <c r="AG60" s="157"/>
      <c r="AL60" s="157"/>
    </row>
    <row r="61" spans="2:38">
      <c r="B61" s="156"/>
      <c r="H61" s="157"/>
      <c r="M61" s="157"/>
      <c r="R61" s="157"/>
      <c r="W61" s="157"/>
      <c r="AB61" s="157"/>
      <c r="AG61" s="157"/>
      <c r="AL61" s="157"/>
    </row>
    <row r="62" spans="2:38">
      <c r="B62" s="1098" t="s">
        <v>358</v>
      </c>
      <c r="H62" s="157"/>
      <c r="M62" s="157"/>
      <c r="N62" s="166"/>
      <c r="R62" s="157"/>
      <c r="W62" s="157"/>
      <c r="AB62" s="157"/>
      <c r="AG62" s="157"/>
      <c r="AL62" s="157"/>
    </row>
    <row r="63" spans="2:38">
      <c r="B63" s="156" t="s">
        <v>890</v>
      </c>
      <c r="H63" s="157"/>
      <c r="I63" s="166">
        <f>I15+I39</f>
        <v>14933</v>
      </c>
      <c r="J63" s="166">
        <f>J39+J15</f>
        <v>17604</v>
      </c>
      <c r="M63" s="157"/>
      <c r="N63" s="166">
        <f>N15+N39</f>
        <v>16506</v>
      </c>
      <c r="O63" s="166">
        <f>O39+O15</f>
        <v>15009</v>
      </c>
      <c r="P63" s="166">
        <f>P39+P15</f>
        <v>20269</v>
      </c>
      <c r="Q63" s="166">
        <f>Q39+Q15</f>
        <v>7622</v>
      </c>
      <c r="R63" s="1014">
        <f>SUM(N63:Q63)</f>
        <v>59406</v>
      </c>
      <c r="S63" s="166">
        <f>S39+S15</f>
        <v>10130</v>
      </c>
      <c r="T63" s="166">
        <f>T39+T15</f>
        <v>9779</v>
      </c>
      <c r="U63" s="166">
        <f>U39+U15</f>
        <v>10554</v>
      </c>
      <c r="V63" s="166">
        <f>V39+V15</f>
        <v>7633</v>
      </c>
      <c r="W63" s="1014">
        <f>SUM(S63:V63)</f>
        <v>38096</v>
      </c>
      <c r="X63" s="166">
        <f>X39+X15</f>
        <v>8734</v>
      </c>
      <c r="Y63" s="166">
        <f>Y39+Y15</f>
        <v>5329</v>
      </c>
      <c r="Z63" s="166">
        <f>Z39+Z15</f>
        <v>6188</v>
      </c>
      <c r="AA63" s="166">
        <f>AA39+AA15</f>
        <v>6106</v>
      </c>
      <c r="AB63" s="1014">
        <f>SUM(X63:AA63)</f>
        <v>26357</v>
      </c>
      <c r="AC63" s="166">
        <f>AC15+AC39</f>
        <v>6994</v>
      </c>
      <c r="AD63" s="166">
        <f>AD15+AD39</f>
        <v>3663</v>
      </c>
      <c r="AE63" s="166">
        <f>AE15+AE39</f>
        <v>5100</v>
      </c>
      <c r="AF63" s="166">
        <v>5300</v>
      </c>
      <c r="AG63" s="1014">
        <f>SUM(AC63:AF63)</f>
        <v>21057</v>
      </c>
      <c r="AH63" s="166">
        <v>3000</v>
      </c>
      <c r="AI63" s="166">
        <v>3000</v>
      </c>
      <c r="AJ63" s="166">
        <v>4000</v>
      </c>
      <c r="AK63" s="166">
        <v>4500</v>
      </c>
      <c r="AL63" s="1014">
        <f>SUM(AH63:AK63)</f>
        <v>14500</v>
      </c>
    </row>
    <row r="64" spans="2:38" s="278" customFormat="1">
      <c r="B64" s="1040"/>
      <c r="C64" s="278" t="s">
        <v>21</v>
      </c>
      <c r="H64" s="1041"/>
      <c r="I64" s="1042"/>
      <c r="M64" s="1041"/>
      <c r="N64" s="1043">
        <f>N63/I63-1</f>
        <v>0.10533717270474785</v>
      </c>
      <c r="R64" s="1041"/>
      <c r="S64" s="1043">
        <f t="shared" ref="S64:AG64" si="108">S63/N63-1</f>
        <v>-0.38628377559675264</v>
      </c>
      <c r="T64" s="1043">
        <f t="shared" si="108"/>
        <v>-0.34845759211139982</v>
      </c>
      <c r="U64" s="1043">
        <f t="shared" si="108"/>
        <v>-0.47930336967783316</v>
      </c>
      <c r="V64" s="1043">
        <f t="shared" si="108"/>
        <v>1.4431907635790164E-3</v>
      </c>
      <c r="W64" s="1045">
        <f t="shared" si="108"/>
        <v>-0.3587179746153587</v>
      </c>
      <c r="X64" s="1043">
        <f t="shared" si="108"/>
        <v>-0.13780848963474823</v>
      </c>
      <c r="Y64" s="1043">
        <f t="shared" si="108"/>
        <v>-0.45505675426935266</v>
      </c>
      <c r="Z64" s="1043">
        <f t="shared" si="108"/>
        <v>-0.41368201629713852</v>
      </c>
      <c r="AA64" s="1043">
        <f t="shared" si="108"/>
        <v>-0.20005240403511071</v>
      </c>
      <c r="AB64" s="1045">
        <f t="shared" si="108"/>
        <v>-0.30814258714825704</v>
      </c>
      <c r="AC64" s="1043">
        <f t="shared" si="108"/>
        <v>-0.19922143347836041</v>
      </c>
      <c r="AD64" s="1043">
        <f t="shared" si="108"/>
        <v>-0.31262901107149554</v>
      </c>
      <c r="AE64" s="1043">
        <f t="shared" si="108"/>
        <v>-0.17582417582417587</v>
      </c>
      <c r="AF64" s="1043">
        <f t="shared" si="108"/>
        <v>-0.13200131018670158</v>
      </c>
      <c r="AG64" s="1045">
        <f t="shared" si="108"/>
        <v>-0.20108510073225327</v>
      </c>
      <c r="AH64" s="1043">
        <f t="shared" ref="AH64" si="109">AH63/AC63-1</f>
        <v>-0.57106090935087217</v>
      </c>
      <c r="AI64" s="1043">
        <f t="shared" ref="AI64" si="110">AI63/AD63-1</f>
        <v>-0.180999180999181</v>
      </c>
      <c r="AJ64" s="1043">
        <f t="shared" ref="AJ64" si="111">AJ63/AE63-1</f>
        <v>-0.21568627450980393</v>
      </c>
      <c r="AK64" s="1043">
        <f t="shared" ref="AK64" si="112">AK63/AF63-1</f>
        <v>-0.15094339622641506</v>
      </c>
      <c r="AL64" s="1045">
        <f t="shared" ref="AL64" si="113">AL63/AG63-1</f>
        <v>-0.31139288597615999</v>
      </c>
    </row>
    <row r="65" spans="2:38">
      <c r="B65" s="156" t="s">
        <v>891</v>
      </c>
      <c r="H65" s="157"/>
      <c r="I65" s="166">
        <f>I21+I45</f>
        <v>102479</v>
      </c>
      <c r="J65" s="166">
        <f>J45+J21</f>
        <v>199558</v>
      </c>
      <c r="M65" s="157"/>
      <c r="N65" s="166">
        <f>N21+N45</f>
        <v>245443</v>
      </c>
      <c r="O65" s="166">
        <f>O45+O21</f>
        <v>255816</v>
      </c>
      <c r="P65" s="166">
        <f>P45+P21</f>
        <v>254346</v>
      </c>
      <c r="Q65" s="166">
        <f>Q45+Q21</f>
        <v>256699</v>
      </c>
      <c r="R65" s="1014">
        <f>SUM(N65:Q65)</f>
        <v>1012304</v>
      </c>
      <c r="S65" s="166">
        <f>S45+S21</f>
        <v>280465</v>
      </c>
      <c r="T65" s="166">
        <f>T45+T21</f>
        <v>297789</v>
      </c>
      <c r="U65" s="166">
        <f>U45+U21</f>
        <v>295190</v>
      </c>
      <c r="V65" s="166">
        <f>V45+V21</f>
        <v>286068</v>
      </c>
      <c r="W65" s="1014">
        <f>SUM(S65:V65)</f>
        <v>1159512</v>
      </c>
      <c r="X65" s="166">
        <f>X45+X21</f>
        <v>313243</v>
      </c>
      <c r="Y65" s="166">
        <f>Y45+Y21</f>
        <v>333682</v>
      </c>
      <c r="Z65" s="166">
        <f>Z45+Z21</f>
        <v>347170</v>
      </c>
      <c r="AA65" s="166">
        <v>348836</v>
      </c>
      <c r="AB65" s="1014">
        <f>SUM(X65:AA65)</f>
        <v>1342931</v>
      </c>
      <c r="AC65" s="166">
        <f>'Income Statement'!CL8</f>
        <v>374989</v>
      </c>
      <c r="AD65" s="166">
        <f>'Income Statement'!CM8</f>
        <v>405075</v>
      </c>
      <c r="AE65" s="166">
        <f>AE45+AE21</f>
        <v>401094</v>
      </c>
      <c r="AF65" s="166">
        <f>AF45+AF21</f>
        <v>404858.03399999999</v>
      </c>
      <c r="AG65" s="1014">
        <f>SUM(AC65:AF65)</f>
        <v>1586016.034</v>
      </c>
      <c r="AH65" s="166">
        <f>AH45+AH21</f>
        <v>424526.87</v>
      </c>
      <c r="AI65" s="166">
        <f t="shared" ref="AI65" si="114">AI45+AI21</f>
        <v>458453.82999999996</v>
      </c>
      <c r="AJ65" s="166">
        <f>AJ45+AJ21</f>
        <v>456704.14</v>
      </c>
      <c r="AK65" s="166">
        <f>AK45+AK21</f>
        <v>461889.00924000004</v>
      </c>
      <c r="AL65" s="1014">
        <f>SUM(AH65:AK65)</f>
        <v>1801573.8492399999</v>
      </c>
    </row>
    <row r="66" spans="2:38" s="278" customFormat="1">
      <c r="B66" s="1040"/>
      <c r="C66" s="278" t="s">
        <v>21</v>
      </c>
      <c r="H66" s="1041"/>
      <c r="I66" s="1042"/>
      <c r="M66" s="1041"/>
      <c r="N66" s="1043">
        <f>N65/I65-1</f>
        <v>1.3950565481708446</v>
      </c>
      <c r="R66" s="1041"/>
      <c r="S66" s="1043">
        <f t="shared" ref="S66:AG66" si="115">S65/N65-1</f>
        <v>0.14268893388689019</v>
      </c>
      <c r="T66" s="1043">
        <f t="shared" si="115"/>
        <v>0.16407496012759171</v>
      </c>
      <c r="U66" s="1043">
        <f t="shared" si="115"/>
        <v>0.1605844007768944</v>
      </c>
      <c r="V66" s="1043">
        <f t="shared" si="115"/>
        <v>0.11441026260328235</v>
      </c>
      <c r="W66" s="1045">
        <f t="shared" si="115"/>
        <v>0.14541876748486615</v>
      </c>
      <c r="X66" s="1043">
        <f t="shared" si="115"/>
        <v>0.11687019770737872</v>
      </c>
      <c r="Y66" s="1043">
        <f t="shared" si="115"/>
        <v>0.12053165160566714</v>
      </c>
      <c r="Z66" s="1043">
        <f t="shared" si="115"/>
        <v>0.1760899759476946</v>
      </c>
      <c r="AA66" s="1043">
        <f t="shared" si="115"/>
        <v>0.21941636254317154</v>
      </c>
      <c r="AB66" s="1045">
        <f t="shared" si="115"/>
        <v>0.15818637495774079</v>
      </c>
      <c r="AC66" s="1043">
        <f t="shared" si="115"/>
        <v>0.19711853098074017</v>
      </c>
      <c r="AD66" s="1043">
        <f t="shared" si="115"/>
        <v>0.21395520285781067</v>
      </c>
      <c r="AE66" s="1043">
        <f>AE65/Z65-1</f>
        <v>0.15532448080191252</v>
      </c>
      <c r="AF66" s="1043">
        <f t="shared" si="115"/>
        <v>0.1605970542031212</v>
      </c>
      <c r="AG66" s="1065">
        <f t="shared" si="115"/>
        <v>0.18101081440520761</v>
      </c>
      <c r="AH66" s="1043">
        <f t="shared" ref="AH66" si="116">AH65/AC65-1</f>
        <v>0.13210486174261105</v>
      </c>
      <c r="AI66" s="1043">
        <f t="shared" ref="AI66" si="117">AI65/AD65-1</f>
        <v>0.1317751774362772</v>
      </c>
      <c r="AJ66" s="1043">
        <f t="shared" ref="AJ66" si="118">AJ65/AE65-1</f>
        <v>0.13864615277216807</v>
      </c>
      <c r="AK66" s="1043">
        <f t="shared" ref="AK66" si="119">AK65/AF65-1</f>
        <v>0.14086660125410799</v>
      </c>
      <c r="AL66" s="1065">
        <f t="shared" ref="AL66" si="120">AL65/AG65-1</f>
        <v>0.1359114981305416</v>
      </c>
    </row>
    <row r="67" spans="2:38">
      <c r="B67" s="156" t="s">
        <v>666</v>
      </c>
      <c r="H67" s="157"/>
      <c r="I67" s="166">
        <f>I23+I47</f>
        <v>47640</v>
      </c>
      <c r="J67" s="166">
        <f>J47+J23</f>
        <v>53337</v>
      </c>
      <c r="M67" s="157"/>
      <c r="N67" s="166">
        <f>N23+N47</f>
        <v>61497</v>
      </c>
      <c r="O67" s="166">
        <f>O47+O23</f>
        <v>63125</v>
      </c>
      <c r="P67" s="166">
        <f>P47+P23</f>
        <v>63180</v>
      </c>
      <c r="Q67" s="166">
        <f>Q47+Q23</f>
        <v>55315</v>
      </c>
      <c r="R67" s="1014">
        <f>SUM(N67:Q67)</f>
        <v>243117</v>
      </c>
      <c r="S67" s="166">
        <f>S47+S23</f>
        <v>60929</v>
      </c>
      <c r="T67" s="166">
        <f>T47+T23</f>
        <v>66420</v>
      </c>
      <c r="U67" s="166">
        <f>U47+U23</f>
        <v>61126</v>
      </c>
      <c r="V67" s="166">
        <f>V47+V23</f>
        <v>61501</v>
      </c>
      <c r="W67" s="1014">
        <f>SUM(S67:V67)</f>
        <v>249976</v>
      </c>
      <c r="X67" s="166">
        <f>X47+X23</f>
        <v>64806</v>
      </c>
      <c r="Y67" s="166">
        <f>Y47+Y23</f>
        <v>71928</v>
      </c>
      <c r="Z67" s="166">
        <f>Z47+Z23</f>
        <v>64462</v>
      </c>
      <c r="AA67" s="166">
        <v>62795</v>
      </c>
      <c r="AB67" s="1014">
        <f>SUM(X67:AA67)</f>
        <v>263991</v>
      </c>
      <c r="AC67" s="166">
        <f>AC23+AC47</f>
        <v>64050</v>
      </c>
      <c r="AD67" s="166">
        <f>AD23+AD47</f>
        <v>58612</v>
      </c>
      <c r="AE67" s="166">
        <f>AE23+AE47</f>
        <v>64728</v>
      </c>
      <c r="AF67" s="166">
        <f>AF23+AF47</f>
        <v>64000</v>
      </c>
      <c r="AG67" s="1014">
        <f>SUM(AC67:AF67)</f>
        <v>251390</v>
      </c>
      <c r="AH67" s="166">
        <v>66000</v>
      </c>
      <c r="AI67" s="166">
        <v>66000</v>
      </c>
      <c r="AJ67" s="166">
        <v>65500</v>
      </c>
      <c r="AK67" s="166">
        <v>64000</v>
      </c>
      <c r="AL67" s="1014">
        <f>SUM(AH67:AK67)</f>
        <v>261500</v>
      </c>
    </row>
    <row r="68" spans="2:38" s="278" customFormat="1">
      <c r="B68" s="1040"/>
      <c r="C68" s="278" t="s">
        <v>21</v>
      </c>
      <c r="H68" s="1041"/>
      <c r="I68" s="1042"/>
      <c r="M68" s="1041"/>
      <c r="N68" s="1043">
        <f>N67/I67-1</f>
        <v>0.29086901763224171</v>
      </c>
      <c r="R68" s="1041"/>
      <c r="S68" s="1043">
        <f t="shared" ref="S68:AG68" si="121">S67/N67-1</f>
        <v>-9.2362229051823341E-3</v>
      </c>
      <c r="T68" s="1043">
        <f t="shared" si="121"/>
        <v>5.2198019801980244E-2</v>
      </c>
      <c r="U68" s="1043">
        <f t="shared" si="121"/>
        <v>-3.2510288065843662E-2</v>
      </c>
      <c r="V68" s="1043">
        <f t="shared" si="121"/>
        <v>0.11183223357136396</v>
      </c>
      <c r="W68" s="1045">
        <f t="shared" si="121"/>
        <v>2.8212753530193257E-2</v>
      </c>
      <c r="X68" s="1043">
        <f t="shared" si="121"/>
        <v>6.3631439872638751E-2</v>
      </c>
      <c r="Y68" s="1043">
        <f t="shared" si="121"/>
        <v>8.2926829268292757E-2</v>
      </c>
      <c r="Z68" s="1043">
        <f t="shared" si="121"/>
        <v>5.4575794261034538E-2</v>
      </c>
      <c r="AA68" s="1043">
        <f t="shared" si="121"/>
        <v>2.1040308287670229E-2</v>
      </c>
      <c r="AB68" s="1045">
        <f t="shared" si="121"/>
        <v>5.606538227669855E-2</v>
      </c>
      <c r="AC68" s="1043">
        <f t="shared" si="121"/>
        <v>-1.166558651976668E-2</v>
      </c>
      <c r="AD68" s="1043">
        <f t="shared" si="121"/>
        <v>-0.18512957401846286</v>
      </c>
      <c r="AE68" s="1043">
        <f t="shared" si="121"/>
        <v>4.1264621017034209E-3</v>
      </c>
      <c r="AF68" s="1043">
        <f t="shared" si="121"/>
        <v>1.9189425909706292E-2</v>
      </c>
      <c r="AG68" s="1065">
        <f t="shared" si="121"/>
        <v>-4.7732687856782974E-2</v>
      </c>
      <c r="AH68" s="1043">
        <f t="shared" ref="AH68" si="122">AH67/AC67-1</f>
        <v>3.0444964871194413E-2</v>
      </c>
      <c r="AI68" s="1043">
        <f t="shared" ref="AI68" si="123">AI67/AD67-1</f>
        <v>0.12604927318637826</v>
      </c>
      <c r="AJ68" s="1043">
        <f t="shared" ref="AJ68" si="124">AJ67/AE67-1</f>
        <v>1.192683228278324E-2</v>
      </c>
      <c r="AK68" s="1043">
        <f t="shared" ref="AK68" si="125">AK67/AF67-1</f>
        <v>0</v>
      </c>
      <c r="AL68" s="1065">
        <f t="shared" ref="AL68" si="126">AL67/AG67-1</f>
        <v>4.0216396833605117E-2</v>
      </c>
    </row>
    <row r="69" spans="2:38">
      <c r="B69" s="156" t="s">
        <v>893</v>
      </c>
      <c r="H69" s="157"/>
      <c r="I69" s="166">
        <f>I25+I49</f>
        <v>119112</v>
      </c>
      <c r="J69" s="166">
        <f>J49+J25</f>
        <v>119621</v>
      </c>
      <c r="M69" s="157"/>
      <c r="N69" s="166">
        <f>N25+N49</f>
        <v>117029</v>
      </c>
      <c r="O69" s="166">
        <f>O49+O25</f>
        <v>116815</v>
      </c>
      <c r="P69" s="166">
        <f>P49+P25</f>
        <v>117338</v>
      </c>
      <c r="Q69" s="166">
        <f>Q49+Q25</f>
        <v>117273</v>
      </c>
      <c r="R69" s="1014">
        <f>SUM(N69:Q69)</f>
        <v>468455</v>
      </c>
      <c r="S69" s="166">
        <f>S49+S25</f>
        <v>115130</v>
      </c>
      <c r="T69" s="166">
        <f>T49+T25</f>
        <v>116539</v>
      </c>
      <c r="U69" s="166">
        <f>U49+U25</f>
        <v>117484</v>
      </c>
      <c r="V69" s="166">
        <f>V49+V25</f>
        <v>117508</v>
      </c>
      <c r="W69" s="1014">
        <f>SUM(S69:V69)</f>
        <v>466661</v>
      </c>
      <c r="X69" s="166">
        <f>X49+X25</f>
        <v>117218</v>
      </c>
      <c r="Y69" s="166">
        <f>Y49+Y25</f>
        <v>115309</v>
      </c>
      <c r="Z69" s="166">
        <f>Z49+Z25</f>
        <v>115587</v>
      </c>
      <c r="AA69" s="166">
        <v>115018</v>
      </c>
      <c r="AB69" s="1014">
        <f>SUM(X69:AA69)</f>
        <v>463132</v>
      </c>
      <c r="AC69" s="166">
        <f>AC25+AC49</f>
        <v>112801</v>
      </c>
      <c r="AD69" s="166">
        <f>AD25+AD49</f>
        <v>112123</v>
      </c>
      <c r="AE69" s="166">
        <f t="shared" ref="AE69:AF69" si="127">AE25+AE49</f>
        <v>111312</v>
      </c>
      <c r="AF69" s="166">
        <f t="shared" si="127"/>
        <v>109500</v>
      </c>
      <c r="AG69" s="1014">
        <f>SUM(AC69:AF69)</f>
        <v>445736</v>
      </c>
      <c r="AH69" s="166">
        <v>107000</v>
      </c>
      <c r="AI69" s="166">
        <v>107000</v>
      </c>
      <c r="AJ69" s="166">
        <v>104000</v>
      </c>
      <c r="AK69" s="166">
        <v>101000</v>
      </c>
      <c r="AL69" s="1014">
        <f>SUM(AH69:AK69)</f>
        <v>419000</v>
      </c>
    </row>
    <row r="70" spans="2:38" s="278" customFormat="1">
      <c r="B70" s="1040"/>
      <c r="C70" s="278" t="s">
        <v>21</v>
      </c>
      <c r="H70" s="1041"/>
      <c r="I70" s="1042"/>
      <c r="M70" s="1041"/>
      <c r="N70" s="1043">
        <f>N69/I69-1</f>
        <v>-1.7487742628786385E-2</v>
      </c>
      <c r="R70" s="1041"/>
      <c r="S70" s="1043">
        <f t="shared" ref="S70:AG70" si="128">S69/N69-1</f>
        <v>-1.6226747216501858E-2</v>
      </c>
      <c r="T70" s="1043">
        <f t="shared" si="128"/>
        <v>-2.3627102683730916E-3</v>
      </c>
      <c r="U70" s="1043">
        <f t="shared" si="128"/>
        <v>1.2442686938587411E-3</v>
      </c>
      <c r="V70" s="1043">
        <f t="shared" si="128"/>
        <v>2.0038713088263993E-3</v>
      </c>
      <c r="W70" s="1045">
        <f t="shared" si="128"/>
        <v>-3.8296101012904593E-3</v>
      </c>
      <c r="X70" s="1043">
        <f t="shared" si="128"/>
        <v>1.8136020151133581E-2</v>
      </c>
      <c r="Y70" s="1043">
        <f t="shared" si="128"/>
        <v>-1.055440667930907E-2</v>
      </c>
      <c r="Z70" s="1043">
        <f t="shared" si="128"/>
        <v>-1.6146879575091089E-2</v>
      </c>
      <c r="AA70" s="1043">
        <f t="shared" si="128"/>
        <v>-2.1190046635122695E-2</v>
      </c>
      <c r="AB70" s="1045">
        <f t="shared" si="128"/>
        <v>-7.5622346842783017E-3</v>
      </c>
      <c r="AC70" s="1043">
        <f t="shared" si="128"/>
        <v>-3.7681925984063835E-2</v>
      </c>
      <c r="AD70" s="1043">
        <f t="shared" si="128"/>
        <v>-2.7630106930074838E-2</v>
      </c>
      <c r="AE70" s="1043">
        <f t="shared" si="128"/>
        <v>-3.698512808533827E-2</v>
      </c>
      <c r="AF70" s="1043">
        <f t="shared" si="128"/>
        <v>-4.7975099549635747E-2</v>
      </c>
      <c r="AG70" s="1065">
        <f t="shared" si="128"/>
        <v>-3.7561645491997919E-2</v>
      </c>
      <c r="AH70" s="1043">
        <f t="shared" ref="AH70" si="129">AH69/AC69-1</f>
        <v>-5.1426849052756629E-2</v>
      </c>
      <c r="AI70" s="1043">
        <f t="shared" ref="AI70" si="130">AI69/AD69-1</f>
        <v>-4.5690893037111047E-2</v>
      </c>
      <c r="AJ70" s="1043">
        <f t="shared" ref="AJ70" si="131">AJ69/AE69-1</f>
        <v>-6.5689233865171781E-2</v>
      </c>
      <c r="AK70" s="1043">
        <f t="shared" ref="AK70" si="132">AK69/AF69-1</f>
        <v>-7.7625570776255759E-2</v>
      </c>
      <c r="AL70" s="1065">
        <f t="shared" ref="AL70" si="133">AL69/AG69-1</f>
        <v>-5.9981693199562036E-2</v>
      </c>
    </row>
    <row r="71" spans="2:38">
      <c r="B71" s="156" t="s">
        <v>55</v>
      </c>
      <c r="H71" s="157"/>
      <c r="I71" s="166">
        <f>I27+I51</f>
        <v>6465</v>
      </c>
      <c r="J71" s="166">
        <f>J51+J27</f>
        <v>6265</v>
      </c>
      <c r="M71" s="157"/>
      <c r="N71" s="166">
        <f>N27+N51</f>
        <v>8518</v>
      </c>
      <c r="O71" s="166">
        <f>O51+O27</f>
        <v>8812</v>
      </c>
      <c r="P71" s="166">
        <f>P51+P27</f>
        <v>8638</v>
      </c>
      <c r="Q71" s="166">
        <f>Q51+Q27</f>
        <v>8540</v>
      </c>
      <c r="R71" s="1014">
        <f>SUM(N71:Q71)</f>
        <v>34508</v>
      </c>
      <c r="S71" s="166"/>
      <c r="T71" s="166"/>
      <c r="U71" s="166"/>
      <c r="V71" s="166"/>
      <c r="W71" s="1014"/>
      <c r="X71" s="166"/>
      <c r="Y71" s="166"/>
      <c r="Z71" s="166"/>
      <c r="AA71" s="166"/>
      <c r="AB71" s="1014"/>
      <c r="AC71" s="166"/>
      <c r="AD71" s="166"/>
      <c r="AE71" s="166"/>
      <c r="AF71" s="166"/>
      <c r="AG71" s="1014"/>
      <c r="AH71" s="166"/>
      <c r="AI71" s="166"/>
      <c r="AJ71" s="166"/>
      <c r="AK71" s="166"/>
      <c r="AL71" s="1014"/>
    </row>
    <row r="72" spans="2:38" s="278" customFormat="1">
      <c r="B72" s="1040"/>
      <c r="C72" s="278" t="s">
        <v>21</v>
      </c>
      <c r="H72" s="1041"/>
      <c r="I72" s="1042"/>
      <c r="M72" s="1041"/>
      <c r="N72" s="1043">
        <f>N71/I71-1</f>
        <v>0.31755607115235884</v>
      </c>
      <c r="R72" s="1041"/>
      <c r="S72" s="1043"/>
      <c r="T72" s="1043"/>
      <c r="U72" s="1043"/>
      <c r="V72" s="1043"/>
      <c r="W72" s="1045"/>
      <c r="X72" s="1043"/>
      <c r="Y72" s="1043"/>
      <c r="Z72" s="1043"/>
      <c r="AA72" s="1043"/>
      <c r="AB72" s="1045"/>
      <c r="AC72" s="1043"/>
      <c r="AD72" s="1043"/>
      <c r="AE72" s="1043"/>
      <c r="AF72" s="1043"/>
      <c r="AG72" s="1045"/>
      <c r="AH72" s="1043"/>
      <c r="AI72" s="1043"/>
      <c r="AJ72" s="1043"/>
      <c r="AK72" s="1043"/>
      <c r="AL72" s="1045"/>
    </row>
    <row r="73" spans="2:38">
      <c r="B73" s="156" t="s">
        <v>56</v>
      </c>
      <c r="H73" s="157"/>
      <c r="I73" s="166">
        <f>I29+I53</f>
        <v>4173</v>
      </c>
      <c r="J73" s="166">
        <f>J53+J29+2939</f>
        <v>7690</v>
      </c>
      <c r="M73" s="157"/>
      <c r="N73" s="166">
        <f>N29+N53</f>
        <v>7115</v>
      </c>
      <c r="O73" s="166">
        <f>O53+O29+3610</f>
        <v>9108</v>
      </c>
      <c r="P73" s="166">
        <f>P29+2149</f>
        <v>9420</v>
      </c>
      <c r="Q73" s="166">
        <f>Q53+Q29</f>
        <v>6771</v>
      </c>
      <c r="R73" s="1014">
        <f>SUM(N73:Q73)</f>
        <v>32414</v>
      </c>
      <c r="S73" s="166">
        <f>S53+S29</f>
        <v>5199</v>
      </c>
      <c r="T73" s="166">
        <f>T53+T29</f>
        <v>6381</v>
      </c>
      <c r="U73" s="166">
        <f>U53+U29</f>
        <v>10371</v>
      </c>
      <c r="V73" s="166">
        <f>V53+V29</f>
        <v>8225</v>
      </c>
      <c r="W73" s="1014">
        <f>SUM(S73:V73)</f>
        <v>30176</v>
      </c>
      <c r="X73" s="166">
        <f>X53+X29</f>
        <v>8358</v>
      </c>
      <c r="Y73" s="166">
        <f>Y53+Y29</f>
        <v>7815</v>
      </c>
      <c r="Z73" s="166">
        <f>Z53+Z29</f>
        <v>9930</v>
      </c>
      <c r="AA73" s="166">
        <v>8376</v>
      </c>
      <c r="AB73" s="1014">
        <f>SUM(X73:AA73)</f>
        <v>34479</v>
      </c>
      <c r="AC73" s="166">
        <f>AC29+AC53</f>
        <v>5641</v>
      </c>
      <c r="AD73" s="166">
        <f>AD29+AD53</f>
        <v>9078</v>
      </c>
      <c r="AE73" s="166">
        <f t="shared" ref="AE73:AF73" si="134">AE29+AE53</f>
        <v>13164</v>
      </c>
      <c r="AF73" s="166">
        <f t="shared" si="134"/>
        <v>6500</v>
      </c>
      <c r="AG73" s="1014">
        <f>SUM(AC73:AF73)</f>
        <v>34383</v>
      </c>
      <c r="AH73" s="166">
        <v>8000</v>
      </c>
      <c r="AI73" s="166">
        <v>14500</v>
      </c>
      <c r="AJ73" s="166">
        <v>6800</v>
      </c>
      <c r="AK73" s="166">
        <v>6000</v>
      </c>
      <c r="AL73" s="1014">
        <f>SUM(AH73:AK73)</f>
        <v>35300</v>
      </c>
    </row>
    <row r="74" spans="2:38" s="278" customFormat="1">
      <c r="B74" s="1040"/>
      <c r="C74" s="278" t="s">
        <v>21</v>
      </c>
      <c r="H74" s="1041"/>
      <c r="I74" s="1042"/>
      <c r="M74" s="1041"/>
      <c r="N74" s="1043"/>
      <c r="O74" s="1043"/>
      <c r="P74" s="1043"/>
      <c r="Q74" s="1043"/>
      <c r="R74" s="1041"/>
      <c r="S74" s="1043">
        <f t="shared" ref="S74:AF74" si="135">S73/N73-1</f>
        <v>-0.26929023190442725</v>
      </c>
      <c r="T74" s="1043">
        <f t="shared" si="135"/>
        <v>-0.29940711462450598</v>
      </c>
      <c r="U74" s="1043">
        <f t="shared" si="135"/>
        <v>0.10095541401273889</v>
      </c>
      <c r="V74" s="1043">
        <f t="shared" si="135"/>
        <v>0.21473932949342789</v>
      </c>
      <c r="W74" s="1045">
        <f t="shared" si="135"/>
        <v>-6.9044240143148028E-2</v>
      </c>
      <c r="X74" s="1043">
        <f t="shared" si="135"/>
        <v>0.60761684939411431</v>
      </c>
      <c r="Y74" s="1043">
        <f t="shared" si="135"/>
        <v>0.22472966619652102</v>
      </c>
      <c r="Z74" s="1043">
        <f t="shared" si="135"/>
        <v>-4.2522418281747187E-2</v>
      </c>
      <c r="AA74" s="1043">
        <f t="shared" si="135"/>
        <v>1.835866261398178E-2</v>
      </c>
      <c r="AB74" s="1045">
        <f t="shared" si="135"/>
        <v>0.14259676564156942</v>
      </c>
      <c r="AC74" s="1043">
        <f t="shared" si="135"/>
        <v>-0.32507776980138792</v>
      </c>
      <c r="AD74" s="1043">
        <f t="shared" si="135"/>
        <v>0.16161228406909789</v>
      </c>
      <c r="AE74" s="1043">
        <f t="shared" si="135"/>
        <v>0.32567975830815721</v>
      </c>
      <c r="AF74" s="1043">
        <f t="shared" si="135"/>
        <v>-0.22397325692454628</v>
      </c>
      <c r="AG74" s="1045">
        <f>AG73/AB73-1</f>
        <v>-2.7843034890803198E-3</v>
      </c>
      <c r="AH74" s="1043">
        <f t="shared" ref="AH74" si="136">AH73/AC73-1</f>
        <v>0.41818826449211133</v>
      </c>
      <c r="AI74" s="1043">
        <f t="shared" ref="AI74" si="137">AI73/AD73-1</f>
        <v>0.59726812073143853</v>
      </c>
      <c r="AJ74" s="1043">
        <f t="shared" ref="AJ74" si="138">AJ73/AE73-1</f>
        <v>-0.48343968398663018</v>
      </c>
      <c r="AK74" s="1043">
        <f t="shared" ref="AK74" si="139">AK73/AF73-1</f>
        <v>-7.6923076923076872E-2</v>
      </c>
      <c r="AL74" s="1045">
        <f t="shared" ref="AL74" si="140">AL73/AG73-1</f>
        <v>2.6670156763516806E-2</v>
      </c>
    </row>
    <row r="75" spans="2:38">
      <c r="B75" s="156" t="s">
        <v>989</v>
      </c>
      <c r="H75" s="157"/>
      <c r="I75" s="166"/>
      <c r="J75" s="166"/>
      <c r="M75" s="157"/>
      <c r="N75" s="166"/>
      <c r="O75" s="166"/>
      <c r="P75" s="166"/>
      <c r="Q75" s="166"/>
      <c r="R75" s="1014">
        <v>0</v>
      </c>
      <c r="S75" s="166"/>
      <c r="T75" s="166">
        <f>7371</f>
        <v>7371</v>
      </c>
      <c r="U75" s="166">
        <v>-41</v>
      </c>
      <c r="V75" s="166">
        <v>0</v>
      </c>
      <c r="W75" s="1014">
        <f>SUM(S75:V75)</f>
        <v>7330</v>
      </c>
      <c r="X75" s="166">
        <v>0</v>
      </c>
      <c r="Y75" s="166">
        <v>6913</v>
      </c>
      <c r="Z75" s="166">
        <v>0</v>
      </c>
      <c r="AA75" s="166">
        <v>0</v>
      </c>
      <c r="AB75" s="1014">
        <f>SUM(X75:AA75)</f>
        <v>6913</v>
      </c>
      <c r="AC75" s="166">
        <v>690</v>
      </c>
      <c r="AD75" s="166">
        <v>7566</v>
      </c>
      <c r="AE75" s="166">
        <v>0</v>
      </c>
      <c r="AF75" s="166">
        <v>0</v>
      </c>
      <c r="AG75" s="1014">
        <f>SUM(AC75:AF75)</f>
        <v>8256</v>
      </c>
      <c r="AH75" s="166">
        <v>0</v>
      </c>
      <c r="AI75" s="166">
        <v>0</v>
      </c>
      <c r="AJ75" s="166">
        <v>0</v>
      </c>
      <c r="AK75" s="166">
        <v>0</v>
      </c>
      <c r="AL75" s="1014">
        <f>SUM(AH75:AK75)</f>
        <v>0</v>
      </c>
    </row>
    <row r="76" spans="2:38" s="278" customFormat="1">
      <c r="B76" s="1040"/>
      <c r="C76" s="278" t="s">
        <v>21</v>
      </c>
      <c r="H76" s="1041"/>
      <c r="I76" s="1042"/>
      <c r="M76" s="1041"/>
      <c r="N76" s="1042"/>
      <c r="R76" s="1041"/>
      <c r="W76" s="1041"/>
      <c r="AB76" s="1041"/>
      <c r="AG76" s="1041"/>
      <c r="AL76" s="1041"/>
    </row>
    <row r="77" spans="2:38" s="1011" customFormat="1">
      <c r="B77" s="1032" t="s">
        <v>23</v>
      </c>
      <c r="H77" s="1015"/>
      <c r="I77" s="1056">
        <f>I33+I57</f>
        <v>294802</v>
      </c>
      <c r="J77" s="1056">
        <f>SUM(J75,J73,J71,J69,J67,J65,J63)</f>
        <v>404075</v>
      </c>
      <c r="M77" s="1015"/>
      <c r="N77" s="1056">
        <f>SUM(N75,N73,N71,N69,N67,N65,N63)</f>
        <v>456108</v>
      </c>
      <c r="O77" s="1056">
        <f>SUM(O75,O73,O71,O69,O67,O65,O63)</f>
        <v>468685</v>
      </c>
      <c r="P77" s="1056">
        <f>SUM(P75,P73,P71,P69,P67,P65,P63)</f>
        <v>473191</v>
      </c>
      <c r="Q77" s="1056">
        <f>SUM(Q75,Q73,Q71,Q69,Q67,Q65,Q63)</f>
        <v>452220</v>
      </c>
      <c r="R77" s="1016">
        <f>SUM(N77:Q77)</f>
        <v>1850204</v>
      </c>
      <c r="S77" s="1056">
        <f>SUM(S75,S73,S71,S69,S67,S65,S63)</f>
        <v>471853</v>
      </c>
      <c r="T77" s="1056">
        <f>SUM(T75,T73,T71,T69,T67,T65,T63)</f>
        <v>504279</v>
      </c>
      <c r="U77" s="1056">
        <f>SUM(U75,U73,U71,U69,U67,U65,U63)</f>
        <v>494684</v>
      </c>
      <c r="V77" s="1056">
        <f>SUM(V75,V73,V71,V69,V67,V65,V63)</f>
        <v>480935</v>
      </c>
      <c r="W77" s="1016">
        <f>SUM(S77:V77)</f>
        <v>1951751</v>
      </c>
      <c r="X77" s="1056">
        <f>SUM(X75,X73,X71,X69,X67,X65,X63)</f>
        <v>512359</v>
      </c>
      <c r="Y77" s="1056">
        <f>SUM(Y75,Y73,Y71,Y69,Y67,Y65,Y63)</f>
        <v>540976</v>
      </c>
      <c r="Z77" s="1056">
        <f>SUM(Z75,Z73,Z71,Z69,Z67,Z65,Z63)</f>
        <v>543337</v>
      </c>
      <c r="AA77" s="1056">
        <f>SUM(AA75,AA73,AA71,AA69,AA67,AA65,AA63)</f>
        <v>541131</v>
      </c>
      <c r="AB77" s="1016">
        <f>SUM(X77:AA77)</f>
        <v>2137803</v>
      </c>
      <c r="AC77" s="1056">
        <f>SUM(AC75,AC73,AC71,AC69,AC67,AC65,AC63)</f>
        <v>565165</v>
      </c>
      <c r="AD77" s="1056">
        <f>SUM(AD75,AD73,AD71,AD69,AD67,AD65,AD63)</f>
        <v>596117</v>
      </c>
      <c r="AE77" s="1056">
        <f>SUM(AE75,AE73,AE71,AE69,AE67,AE65,AE63)</f>
        <v>595398</v>
      </c>
      <c r="AF77" s="1056">
        <f>SUM(AF75,AF73,AF71,AF69,AF67,AF65,AF63)</f>
        <v>590158.03399999999</v>
      </c>
      <c r="AG77" s="1016">
        <f>SUM(AC77:AF77)</f>
        <v>2346838.034</v>
      </c>
      <c r="AH77" s="1056">
        <f>SUM(AH75,AH73,AH71,AH69,AH67,AH65,AH63)</f>
        <v>608526.87</v>
      </c>
      <c r="AI77" s="1056">
        <f>SUM(AI75,AI73,AI71,AI69,AI67,AI65,AI63)</f>
        <v>648953.82999999996</v>
      </c>
      <c r="AJ77" s="1056">
        <f>SUM(AJ75,AJ73,AJ71,AJ69,AJ67,AJ65,AJ63)</f>
        <v>637004.14</v>
      </c>
      <c r="AK77" s="1056">
        <f>SUM(AK75,AK73,AK71,AK69,AK67,AK65,AK63)</f>
        <v>637389.00924000004</v>
      </c>
      <c r="AL77" s="1016">
        <f>SUM(AH77:AK77)</f>
        <v>2531873.8492399999</v>
      </c>
    </row>
    <row r="78" spans="2:38" s="1059" customFormat="1">
      <c r="B78" s="1058"/>
      <c r="C78" s="1059" t="s">
        <v>21</v>
      </c>
      <c r="H78" s="1060"/>
      <c r="M78" s="1060"/>
      <c r="N78" s="1062">
        <f>N77/I77-1</f>
        <v>0.54716725123981513</v>
      </c>
      <c r="R78" s="1060"/>
      <c r="S78" s="1062">
        <f t="shared" ref="S78:AG78" si="141">S77/N77-1</f>
        <v>3.4520332903610562E-2</v>
      </c>
      <c r="T78" s="1062">
        <f t="shared" si="141"/>
        <v>7.5944397623137094E-2</v>
      </c>
      <c r="U78" s="1062">
        <f t="shared" si="141"/>
        <v>4.5421404887244332E-2</v>
      </c>
      <c r="V78" s="1062">
        <f t="shared" si="141"/>
        <v>6.3497855026314554E-2</v>
      </c>
      <c r="W78" s="1057">
        <f t="shared" si="141"/>
        <v>5.4884218172698729E-2</v>
      </c>
      <c r="X78" s="1062">
        <f t="shared" si="141"/>
        <v>8.5844532089443204E-2</v>
      </c>
      <c r="Y78" s="1062">
        <f t="shared" si="141"/>
        <v>7.2771223866153534E-2</v>
      </c>
      <c r="Z78" s="1062">
        <f t="shared" si="141"/>
        <v>9.8351675008692352E-2</v>
      </c>
      <c r="AA78" s="1062">
        <f t="shared" si="141"/>
        <v>0.12516452327237571</v>
      </c>
      <c r="AB78" s="1057">
        <f t="shared" si="141"/>
        <v>9.5325684475120021E-2</v>
      </c>
      <c r="AC78" s="1062">
        <f t="shared" si="141"/>
        <v>0.10306445285434629</v>
      </c>
      <c r="AD78" s="1062">
        <f t="shared" si="141"/>
        <v>0.10192873621010912</v>
      </c>
      <c r="AE78" s="1062">
        <f t="shared" si="141"/>
        <v>9.5817144792274433E-2</v>
      </c>
      <c r="AF78" s="1062">
        <f t="shared" si="141"/>
        <v>9.0601044848659607E-2</v>
      </c>
      <c r="AG78" s="1057">
        <f t="shared" si="141"/>
        <v>9.778030716581454E-2</v>
      </c>
      <c r="AH78" s="1062">
        <f t="shared" ref="AH78" si="142">AH77/AC77-1</f>
        <v>7.6724266364689875E-2</v>
      </c>
      <c r="AI78" s="1062">
        <f t="shared" ref="AI78" si="143">AI77/AD77-1</f>
        <v>8.8634999505130541E-2</v>
      </c>
      <c r="AJ78" s="1062">
        <f t="shared" ref="AJ78" si="144">AJ77/AE77-1</f>
        <v>6.987954275963304E-2</v>
      </c>
      <c r="AK78" s="1062">
        <f t="shared" ref="AK78" si="145">AK77/AF77-1</f>
        <v>8.0031063747240339E-2</v>
      </c>
      <c r="AL78" s="1057">
        <f t="shared" ref="AL78" si="146">AL77/AG77-1</f>
        <v>7.8844731745130625E-2</v>
      </c>
    </row>
    <row r="79" spans="2:38" hidden="1" outlineLevel="1">
      <c r="B79" s="156"/>
      <c r="H79" s="157"/>
      <c r="M79" s="157"/>
      <c r="N79" s="166"/>
      <c r="R79" s="157"/>
      <c r="W79" s="157"/>
      <c r="AB79" s="157"/>
      <c r="AG79" s="157"/>
      <c r="AL79" s="157"/>
    </row>
    <row r="80" spans="2:38" hidden="1" outlineLevel="1">
      <c r="B80" s="156"/>
      <c r="H80" s="157"/>
      <c r="M80" s="157"/>
      <c r="R80" s="157"/>
      <c r="W80" s="157"/>
      <c r="AB80" s="157"/>
      <c r="AG80" s="157"/>
      <c r="AL80" s="157"/>
    </row>
    <row r="81" spans="2:38" hidden="1" outlineLevel="1">
      <c r="B81" s="156"/>
      <c r="H81" s="157"/>
      <c r="M81" s="157"/>
      <c r="R81" s="157"/>
      <c r="W81" s="157"/>
      <c r="AB81" s="157"/>
      <c r="AG81" s="157"/>
      <c r="AL81" s="157"/>
    </row>
    <row r="82" spans="2:38" s="1011" customFormat="1" hidden="1" outlineLevel="1">
      <c r="B82" s="1032" t="s">
        <v>896</v>
      </c>
      <c r="H82" s="1015"/>
      <c r="I82" s="1039">
        <f>I77</f>
        <v>294802</v>
      </c>
      <c r="J82" s="1039">
        <f>J77</f>
        <v>404075</v>
      </c>
      <c r="M82" s="1015"/>
      <c r="N82" s="1039">
        <f>N77</f>
        <v>456108</v>
      </c>
      <c r="O82" s="1039">
        <f>O77</f>
        <v>468685</v>
      </c>
      <c r="P82" s="1039">
        <f>P77</f>
        <v>473191</v>
      </c>
      <c r="Q82" s="1039">
        <f>Q77</f>
        <v>452220</v>
      </c>
      <c r="R82" s="1016">
        <f>SUM(N82:Q82)</f>
        <v>1850204</v>
      </c>
      <c r="S82" s="1039">
        <f>S77</f>
        <v>471853</v>
      </c>
      <c r="T82" s="1039">
        <f>T77</f>
        <v>504279</v>
      </c>
      <c r="U82" s="1039">
        <f>U77</f>
        <v>494684</v>
      </c>
      <c r="V82" s="1039">
        <f>V77</f>
        <v>480935</v>
      </c>
      <c r="W82" s="1016">
        <f>SUM(S82:V82)</f>
        <v>1951751</v>
      </c>
      <c r="X82" s="1039">
        <f>X77</f>
        <v>512359</v>
      </c>
      <c r="Y82" s="1039">
        <f>Y77</f>
        <v>540976</v>
      </c>
      <c r="Z82" s="1039">
        <f>Z77</f>
        <v>543337</v>
      </c>
      <c r="AA82" s="1039">
        <f>AA77</f>
        <v>541131</v>
      </c>
      <c r="AB82" s="1016">
        <f>SUM(X82:AA82)</f>
        <v>2137803</v>
      </c>
      <c r="AC82" s="1039">
        <f>AC77</f>
        <v>565165</v>
      </c>
      <c r="AD82" s="1039">
        <f>AD77</f>
        <v>596117</v>
      </c>
      <c r="AE82" s="1039">
        <f>AE77</f>
        <v>595398</v>
      </c>
      <c r="AF82" s="1039">
        <f>AF77</f>
        <v>590158.03399999999</v>
      </c>
      <c r="AG82" s="1016">
        <f>SUM(AC82:AF82)</f>
        <v>2346838.034</v>
      </c>
      <c r="AH82" s="1039">
        <f>AH77</f>
        <v>608526.87</v>
      </c>
      <c r="AI82" s="1039">
        <f>AI77</f>
        <v>648953.82999999996</v>
      </c>
      <c r="AJ82" s="1039">
        <f>AJ77</f>
        <v>637004.14</v>
      </c>
      <c r="AK82" s="1039">
        <f>AK77</f>
        <v>637389.00924000004</v>
      </c>
      <c r="AL82" s="1016">
        <f>SUM(AH82:AK82)</f>
        <v>2531873.8492399999</v>
      </c>
    </row>
    <row r="83" spans="2:38" s="278" customFormat="1" hidden="1" outlineLevel="1">
      <c r="B83" s="1040" t="s">
        <v>892</v>
      </c>
      <c r="H83" s="1041"/>
      <c r="M83" s="1041"/>
      <c r="N83" s="1043">
        <f>N82/I82-1</f>
        <v>0.54716725123981513</v>
      </c>
      <c r="O83" s="1043">
        <f>O82/J82-1</f>
        <v>0.15989605889995673</v>
      </c>
      <c r="P83" s="1043"/>
      <c r="R83" s="1041"/>
      <c r="S83" s="1062">
        <f t="shared" ref="S83:AG83" si="147">S82/N82-1</f>
        <v>3.4520332903610562E-2</v>
      </c>
      <c r="T83" s="1062">
        <f t="shared" si="147"/>
        <v>7.5944397623137094E-2</v>
      </c>
      <c r="U83" s="1062">
        <f t="shared" si="147"/>
        <v>4.5421404887244332E-2</v>
      </c>
      <c r="V83" s="1062">
        <f t="shared" si="147"/>
        <v>6.3497855026314554E-2</v>
      </c>
      <c r="W83" s="1057">
        <f t="shared" si="147"/>
        <v>5.4884218172698729E-2</v>
      </c>
      <c r="X83" s="1062">
        <f t="shared" si="147"/>
        <v>8.5844532089443204E-2</v>
      </c>
      <c r="Y83" s="1062">
        <f t="shared" si="147"/>
        <v>7.2771223866153534E-2</v>
      </c>
      <c r="Z83" s="1062">
        <f t="shared" si="147"/>
        <v>9.8351675008692352E-2</v>
      </c>
      <c r="AA83" s="1062">
        <f t="shared" si="147"/>
        <v>0.12516452327237571</v>
      </c>
      <c r="AB83" s="1057">
        <f t="shared" si="147"/>
        <v>9.5325684475120021E-2</v>
      </c>
      <c r="AC83" s="1062">
        <f t="shared" si="147"/>
        <v>0.10306445285434629</v>
      </c>
      <c r="AD83" s="1062">
        <f t="shared" si="147"/>
        <v>0.10192873621010912</v>
      </c>
      <c r="AE83" s="1062">
        <f t="shared" si="147"/>
        <v>9.5817144792274433E-2</v>
      </c>
      <c r="AF83" s="1062">
        <f t="shared" si="147"/>
        <v>9.0601044848659607E-2</v>
      </c>
      <c r="AG83" s="1057">
        <f t="shared" si="147"/>
        <v>9.778030716581454E-2</v>
      </c>
      <c r="AH83" s="1062">
        <f t="shared" ref="AH83" si="148">AH82/AC82-1</f>
        <v>7.6724266364689875E-2</v>
      </c>
      <c r="AI83" s="1062">
        <f t="shared" ref="AI83" si="149">AI82/AD82-1</f>
        <v>8.8634999505130541E-2</v>
      </c>
      <c r="AJ83" s="1062">
        <f t="shared" ref="AJ83" si="150">AJ82/AE82-1</f>
        <v>6.987954275963304E-2</v>
      </c>
      <c r="AK83" s="1062">
        <f t="shared" ref="AK83" si="151">AK82/AF82-1</f>
        <v>8.0031063747240339E-2</v>
      </c>
      <c r="AL83" s="1057">
        <f t="shared" ref="AL83" si="152">AL82/AG82-1</f>
        <v>7.8844731745130625E-2</v>
      </c>
    </row>
    <row r="84" spans="2:38" collapsed="1">
      <c r="B84" s="1036"/>
      <c r="C84" s="142"/>
      <c r="D84" s="142"/>
      <c r="E84" s="142"/>
      <c r="F84" s="142"/>
      <c r="G84" s="142"/>
      <c r="H84" s="1037"/>
      <c r="I84" s="142"/>
      <c r="J84" s="142"/>
      <c r="K84" s="142"/>
      <c r="L84" s="142"/>
      <c r="M84" s="1037"/>
      <c r="N84" s="142"/>
      <c r="O84" s="142"/>
      <c r="P84" s="142"/>
      <c r="Q84" s="142"/>
      <c r="R84" s="1037"/>
      <c r="S84" s="142"/>
      <c r="T84" s="142"/>
      <c r="U84" s="142"/>
      <c r="V84" s="142"/>
      <c r="W84" s="1037"/>
      <c r="X84" s="142"/>
      <c r="Y84" s="142"/>
      <c r="Z84" s="142"/>
      <c r="AA84" s="142"/>
      <c r="AB84" s="1037"/>
      <c r="AC84" s="142"/>
      <c r="AD84" s="142"/>
      <c r="AE84" s="142"/>
      <c r="AF84" s="142"/>
      <c r="AG84" s="1037"/>
      <c r="AH84" s="142"/>
      <c r="AI84" s="142"/>
      <c r="AJ84" s="142"/>
      <c r="AK84" s="142"/>
      <c r="AL84" s="1037"/>
    </row>
    <row r="85" spans="2:38">
      <c r="C85" s="1063"/>
      <c r="D85" s="1063"/>
      <c r="E85" s="1063"/>
      <c r="F85" s="1063"/>
      <c r="G85" s="1063"/>
      <c r="H85" s="1063"/>
      <c r="I85" s="1063"/>
      <c r="J85" s="1063"/>
      <c r="K85" s="1063"/>
      <c r="L85" s="1063"/>
      <c r="M85" s="1063"/>
      <c r="N85" s="1063"/>
      <c r="O85" s="1063"/>
      <c r="P85" s="1063"/>
      <c r="Q85" s="1063"/>
      <c r="R85" s="1063"/>
      <c r="S85" s="1063"/>
      <c r="T85" s="1063"/>
      <c r="U85" s="1063"/>
      <c r="V85" s="1063"/>
      <c r="W85" s="1063"/>
      <c r="X85" s="1063"/>
      <c r="Y85" s="1063"/>
      <c r="Z85" s="1063"/>
      <c r="AA85" s="1063"/>
      <c r="AB85" s="1063"/>
      <c r="AC85" s="1063"/>
      <c r="AD85" s="1063"/>
      <c r="AE85" s="1063"/>
      <c r="AF85" s="1063"/>
      <c r="AG85" s="1063"/>
      <c r="AH85" s="1063"/>
      <c r="AI85" s="1063"/>
      <c r="AJ85" s="1063"/>
      <c r="AK85" s="1063"/>
      <c r="AL85" s="1063"/>
    </row>
    <row r="86" spans="2:38" ht="14.65" thickBot="1">
      <c r="B86" s="1092" t="s">
        <v>973</v>
      </c>
      <c r="C86" s="1093"/>
      <c r="D86" s="1094" t="s">
        <v>685</v>
      </c>
      <c r="E86" s="1093" t="s">
        <v>687</v>
      </c>
      <c r="F86" s="1093" t="s">
        <v>688</v>
      </c>
      <c r="G86" s="1093" t="s">
        <v>689</v>
      </c>
      <c r="H86" s="1095">
        <v>2020</v>
      </c>
      <c r="I86" s="1093" t="s">
        <v>738</v>
      </c>
      <c r="J86" s="1093" t="s">
        <v>761</v>
      </c>
      <c r="K86" s="1093" t="s">
        <v>777</v>
      </c>
      <c r="L86" s="1093" t="s">
        <v>781</v>
      </c>
      <c r="M86" s="1095">
        <v>2021</v>
      </c>
      <c r="N86" s="1093" t="s">
        <v>888</v>
      </c>
      <c r="O86" s="1093" t="s">
        <v>899</v>
      </c>
      <c r="P86" s="1093" t="s">
        <v>905</v>
      </c>
      <c r="Q86" s="1093" t="s">
        <v>916</v>
      </c>
      <c r="R86" s="1095">
        <v>2022</v>
      </c>
      <c r="S86" s="1093" t="s">
        <v>927</v>
      </c>
      <c r="T86" s="1093" t="s">
        <v>928</v>
      </c>
      <c r="U86" s="1093" t="s">
        <v>929</v>
      </c>
      <c r="V86" s="1093" t="s">
        <v>964</v>
      </c>
      <c r="W86" s="1095">
        <v>2023</v>
      </c>
      <c r="X86" s="1093" t="str">
        <f>X2</f>
        <v>1Q24</v>
      </c>
      <c r="Y86" s="1093" t="s">
        <v>975</v>
      </c>
      <c r="Z86" s="1093" t="str">
        <f t="shared" ref="Z86:AG86" si="153">Z2</f>
        <v>3Q24</v>
      </c>
      <c r="AA86" s="1093" t="str">
        <f t="shared" si="153"/>
        <v>4Q24</v>
      </c>
      <c r="AB86" s="1095">
        <f t="shared" si="153"/>
        <v>2024</v>
      </c>
      <c r="AC86" s="1093" t="str">
        <f t="shared" si="153"/>
        <v>1Q25</v>
      </c>
      <c r="AD86" s="1093" t="str">
        <f t="shared" si="153"/>
        <v>2Q25</v>
      </c>
      <c r="AE86" s="1093" t="str">
        <f t="shared" si="153"/>
        <v>3Q25</v>
      </c>
      <c r="AF86" s="1093" t="str">
        <f t="shared" si="153"/>
        <v>4Q25</v>
      </c>
      <c r="AG86" s="1095">
        <f t="shared" si="153"/>
        <v>2025</v>
      </c>
      <c r="AH86" s="1093" t="str">
        <f t="shared" ref="AH86:AL86" si="154">AH2</f>
        <v>1Q26E</v>
      </c>
      <c r="AI86" s="1093" t="str">
        <f t="shared" si="154"/>
        <v>2Q26E</v>
      </c>
      <c r="AJ86" s="1093" t="str">
        <f t="shared" si="154"/>
        <v>3Q26E</v>
      </c>
      <c r="AK86" s="1093" t="str">
        <f t="shared" si="154"/>
        <v>4Q26E</v>
      </c>
      <c r="AL86" s="1095" t="str">
        <f t="shared" si="154"/>
        <v>2026E</v>
      </c>
    </row>
    <row r="87" spans="2:38" s="1011" customFormat="1">
      <c r="B87" s="1032" t="s">
        <v>902</v>
      </c>
      <c r="D87" s="1056">
        <v>14888</v>
      </c>
      <c r="E87" s="1056">
        <v>14196</v>
      </c>
      <c r="F87" s="1056">
        <v>15100</v>
      </c>
      <c r="G87" s="1056">
        <v>15478</v>
      </c>
      <c r="H87" s="1016">
        <f>SUM(D87:G87)</f>
        <v>59662</v>
      </c>
      <c r="I87" s="1056">
        <v>16708</v>
      </c>
      <c r="J87" s="1056">
        <v>17309</v>
      </c>
      <c r="K87" s="1056">
        <v>17371</v>
      </c>
      <c r="L87" s="1056">
        <v>17553</v>
      </c>
      <c r="M87" s="1016">
        <f>SUM(I87:L87)</f>
        <v>68941</v>
      </c>
      <c r="N87" s="1056">
        <v>18239</v>
      </c>
      <c r="O87" s="1056">
        <v>18527</v>
      </c>
      <c r="P87" s="1056">
        <v>19681</v>
      </c>
      <c r="Q87" s="1056">
        <v>19781</v>
      </c>
      <c r="R87" s="1016">
        <f>SUM(N87:Q87)</f>
        <v>76228</v>
      </c>
      <c r="S87" s="1056">
        <v>20317</v>
      </c>
      <c r="T87" s="1056">
        <v>20781</v>
      </c>
      <c r="U87" s="1056">
        <v>21421</v>
      </c>
      <c r="V87" s="1056">
        <v>20025</v>
      </c>
      <c r="W87" s="1016">
        <f>SUM(S87:V87)</f>
        <v>82544</v>
      </c>
      <c r="X87" s="1056">
        <v>21656</v>
      </c>
      <c r="Y87" s="1056">
        <v>23107</v>
      </c>
      <c r="Z87" s="1056">
        <v>22553</v>
      </c>
      <c r="AA87" s="1056">
        <v>22168</v>
      </c>
      <c r="AB87" s="1016">
        <f>SUM(X87:AA87)</f>
        <v>89484</v>
      </c>
      <c r="AC87" s="1056">
        <v>22770</v>
      </c>
      <c r="AD87" s="1056">
        <v>22887</v>
      </c>
      <c r="AE87" s="1056">
        <v>22838</v>
      </c>
      <c r="AF87" s="1056">
        <v>24000</v>
      </c>
      <c r="AG87" s="1016">
        <f>SUM(AC87:AF87)</f>
        <v>92495</v>
      </c>
      <c r="AH87" s="1056">
        <v>24500</v>
      </c>
      <c r="AI87" s="1056">
        <v>25000</v>
      </c>
      <c r="AJ87" s="1056">
        <v>25500</v>
      </c>
      <c r="AK87" s="1056">
        <v>26000</v>
      </c>
      <c r="AL87" s="1016">
        <f>SUM(AH87:AK87)</f>
        <v>101000</v>
      </c>
    </row>
    <row r="88" spans="2:38" s="278" customFormat="1">
      <c r="B88" s="1040"/>
      <c r="C88" s="278" t="s">
        <v>21</v>
      </c>
      <c r="H88" s="1041"/>
      <c r="I88" s="1043">
        <f t="shared" ref="I88:R88" si="155">I87/D87-1</f>
        <v>0.12224610424502957</v>
      </c>
      <c r="J88" s="1043">
        <f t="shared" si="155"/>
        <v>0.21928712313327692</v>
      </c>
      <c r="K88" s="1043">
        <f t="shared" si="155"/>
        <v>0.15039735099337759</v>
      </c>
      <c r="L88" s="1043">
        <f t="shared" si="155"/>
        <v>0.13406124822328458</v>
      </c>
      <c r="M88" s="1045">
        <f t="shared" si="155"/>
        <v>0.15552613053534903</v>
      </c>
      <c r="N88" s="1043">
        <f t="shared" si="155"/>
        <v>9.1632750778070315E-2</v>
      </c>
      <c r="O88" s="1043">
        <f t="shared" si="155"/>
        <v>7.0368016638742814E-2</v>
      </c>
      <c r="P88" s="1043">
        <f t="shared" si="155"/>
        <v>0.13298025444706685</v>
      </c>
      <c r="Q88" s="1043">
        <f t="shared" si="155"/>
        <v>0.12692986953797081</v>
      </c>
      <c r="R88" s="1045">
        <f t="shared" si="155"/>
        <v>0.10569907602152573</v>
      </c>
      <c r="S88" s="1043">
        <f t="shared" ref="S88:AC88" si="156">S87/N87-1</f>
        <v>0.11393168485114313</v>
      </c>
      <c r="T88" s="1043">
        <f t="shared" si="156"/>
        <v>0.12166027959194681</v>
      </c>
      <c r="U88" s="1043">
        <f t="shared" si="156"/>
        <v>8.8410141761089411E-2</v>
      </c>
      <c r="V88" s="1043">
        <f t="shared" si="156"/>
        <v>1.2335069005611432E-2</v>
      </c>
      <c r="W88" s="1045">
        <f t="shared" si="156"/>
        <v>8.2856693078658727E-2</v>
      </c>
      <c r="X88" s="1052">
        <f t="shared" si="156"/>
        <v>6.590539941920559E-2</v>
      </c>
      <c r="Y88" s="1052">
        <f t="shared" si="156"/>
        <v>0.11192916606515557</v>
      </c>
      <c r="Z88" s="1052">
        <f t="shared" si="156"/>
        <v>5.2845338686335896E-2</v>
      </c>
      <c r="AA88" s="1052">
        <f t="shared" si="156"/>
        <v>0.10701622971285896</v>
      </c>
      <c r="AB88" s="1065">
        <f t="shared" si="156"/>
        <v>8.4076371389804283E-2</v>
      </c>
      <c r="AC88" s="1052">
        <f t="shared" si="156"/>
        <v>5.1440709272257079E-2</v>
      </c>
      <c r="AD88" s="1052">
        <f>AD87/Y87-1</f>
        <v>-9.5209243952049105E-3</v>
      </c>
      <c r="AE88" s="1052">
        <f>AE87/Z87-1</f>
        <v>1.2636899747261898E-2</v>
      </c>
      <c r="AF88" s="1052">
        <f>AF87/AA87-1</f>
        <v>8.2641645615301407E-2</v>
      </c>
      <c r="AG88" s="1065">
        <f t="shared" ref="AG88" si="157">AG87/AB87-1</f>
        <v>3.3648473470117457E-2</v>
      </c>
      <c r="AH88" s="1052">
        <f t="shared" ref="AH88" si="158">AH87/AC87-1</f>
        <v>7.5977162933684728E-2</v>
      </c>
      <c r="AI88" s="1052">
        <f>AI87/AD87-1</f>
        <v>9.2323152881548465E-2</v>
      </c>
      <c r="AJ88" s="1052">
        <f>AJ87/AE87-1</f>
        <v>0.11656011909974606</v>
      </c>
      <c r="AK88" s="1052">
        <f>AK87/AF87-1</f>
        <v>8.3333333333333259E-2</v>
      </c>
      <c r="AL88" s="1065">
        <f t="shared" ref="AL88" si="159">AL87/AG87-1</f>
        <v>9.1950916265744143E-2</v>
      </c>
    </row>
    <row r="89" spans="2:38">
      <c r="B89" s="1064"/>
      <c r="H89" s="157"/>
      <c r="I89" s="166"/>
      <c r="J89" s="166"/>
      <c r="K89" s="166"/>
      <c r="L89" s="166"/>
      <c r="M89" s="157"/>
      <c r="Q89" s="166"/>
      <c r="R89" s="1016"/>
      <c r="V89" s="166"/>
      <c r="W89" s="157"/>
      <c r="AB89" s="157"/>
      <c r="AG89" s="157"/>
      <c r="AL89" s="157"/>
    </row>
    <row r="90" spans="2:38" outlineLevel="1">
      <c r="B90" s="156" t="s">
        <v>483</v>
      </c>
      <c r="D90" s="1046">
        <v>7089</v>
      </c>
      <c r="E90" s="1046">
        <v>7058</v>
      </c>
      <c r="F90" s="1046">
        <v>8068</v>
      </c>
      <c r="G90" s="1046">
        <v>9110</v>
      </c>
      <c r="H90" s="1047">
        <f>SUM(D90:G90)</f>
        <v>31325</v>
      </c>
      <c r="I90" s="1046">
        <v>10387</v>
      </c>
      <c r="J90" s="1046">
        <v>9251</v>
      </c>
      <c r="K90" s="1046">
        <v>11436</v>
      </c>
      <c r="L90" s="1046">
        <v>14647</v>
      </c>
      <c r="M90" s="1014">
        <f>SUM(I90:L90)</f>
        <v>45721</v>
      </c>
      <c r="N90" s="230">
        <v>15362</v>
      </c>
      <c r="O90" s="1046">
        <v>16833</v>
      </c>
      <c r="P90" s="1046">
        <v>18377</v>
      </c>
      <c r="Q90" s="1046">
        <v>20570</v>
      </c>
      <c r="R90" s="1014">
        <f>SUM(N90:Q90)</f>
        <v>71142</v>
      </c>
      <c r="S90" s="230">
        <v>21735</v>
      </c>
      <c r="T90" s="1046">
        <v>22752</v>
      </c>
      <c r="U90" s="1046">
        <v>23754</v>
      </c>
      <c r="V90" s="1046">
        <v>23932</v>
      </c>
      <c r="W90" s="1014">
        <f>SUM(S90:V90)</f>
        <v>92173</v>
      </c>
      <c r="Y90" s="1046"/>
      <c r="AB90" s="1014">
        <f>SUM(X90:AA90)</f>
        <v>0</v>
      </c>
      <c r="AG90" s="1014">
        <f>SUM(AC90:AF90)</f>
        <v>0</v>
      </c>
      <c r="AL90" s="1014">
        <f>SUM(AH90:AK90)</f>
        <v>0</v>
      </c>
    </row>
    <row r="91" spans="2:38" s="278" customFormat="1" outlineLevel="1">
      <c r="B91" s="1040"/>
      <c r="C91" s="278" t="s">
        <v>21</v>
      </c>
      <c r="H91" s="1041"/>
      <c r="I91" s="1043">
        <f t="shared" ref="I91:R91" si="160">I90/D90-1</f>
        <v>0.46522781774580335</v>
      </c>
      <c r="J91" s="1043">
        <f t="shared" si="160"/>
        <v>0.310711249645792</v>
      </c>
      <c r="K91" s="1043">
        <f t="shared" si="160"/>
        <v>0.41745166088249874</v>
      </c>
      <c r="L91" s="1043">
        <f t="shared" si="160"/>
        <v>0.6077936333699232</v>
      </c>
      <c r="M91" s="1045">
        <f t="shared" si="160"/>
        <v>0.45956903431763774</v>
      </c>
      <c r="N91" s="1043">
        <f t="shared" si="160"/>
        <v>0.47896408972754401</v>
      </c>
      <c r="O91" s="1043">
        <f t="shared" si="160"/>
        <v>0.81958707166792788</v>
      </c>
      <c r="P91" s="1043">
        <f t="shared" si="160"/>
        <v>0.60694298705841199</v>
      </c>
      <c r="Q91" s="1043">
        <f t="shared" si="160"/>
        <v>0.40438315013313297</v>
      </c>
      <c r="R91" s="1045">
        <f t="shared" si="160"/>
        <v>0.55600271210165997</v>
      </c>
      <c r="S91" s="1043">
        <f>S90/N90-1</f>
        <v>0.41485483660981637</v>
      </c>
      <c r="T91" s="1043">
        <f>T90/O90-1</f>
        <v>0.35163072536089834</v>
      </c>
      <c r="U91" s="1043">
        <f>U90/P90-1</f>
        <v>0.29259400337378239</v>
      </c>
      <c r="V91" s="1043">
        <f>V90/Q90-1</f>
        <v>0.16344190568789507</v>
      </c>
      <c r="W91" s="1045">
        <f>W90/R90-1</f>
        <v>0.29562002755053274</v>
      </c>
      <c r="Y91" s="1043"/>
      <c r="AB91" s="1045">
        <f>AB90/W90-1</f>
        <v>-1</v>
      </c>
      <c r="AG91" s="1045" t="e">
        <f>AG90/AB90-1</f>
        <v>#DIV/0!</v>
      </c>
      <c r="AL91" s="1045" t="e">
        <f>AL90/AG90-1</f>
        <v>#DIV/0!</v>
      </c>
    </row>
    <row r="92" spans="2:38" outlineLevel="1">
      <c r="B92" s="156" t="s">
        <v>903</v>
      </c>
      <c r="H92" s="157"/>
      <c r="I92" s="1046">
        <v>0</v>
      </c>
      <c r="J92" s="1046">
        <v>77574</v>
      </c>
      <c r="K92" s="1046">
        <v>98653</v>
      </c>
      <c r="L92" s="1046">
        <v>92097</v>
      </c>
      <c r="M92" s="1014">
        <f>SUM(I92:L92)</f>
        <v>268324</v>
      </c>
      <c r="N92" s="1046">
        <v>105277</v>
      </c>
      <c r="O92" s="1046">
        <v>113394</v>
      </c>
      <c r="P92" s="1046">
        <v>106376</v>
      </c>
      <c r="Q92" s="1046">
        <v>100556</v>
      </c>
      <c r="R92" s="1014">
        <f>SUM(N92:Q92)</f>
        <v>425603</v>
      </c>
      <c r="S92" s="1046">
        <v>116498</v>
      </c>
      <c r="T92" s="1046">
        <v>127657</v>
      </c>
      <c r="U92" s="1046">
        <v>111506</v>
      </c>
      <c r="V92" s="1046">
        <v>101156</v>
      </c>
      <c r="W92" s="1014">
        <f>SUM(S92:V92)</f>
        <v>456817</v>
      </c>
      <c r="Y92" s="1046"/>
      <c r="AB92" s="1014">
        <f>SUM(X92:AA92)</f>
        <v>0</v>
      </c>
      <c r="AG92" s="1014">
        <f>SUM(AC92:AF92)</f>
        <v>0</v>
      </c>
      <c r="AL92" s="1014">
        <f>SUM(AH92:AK92)</f>
        <v>0</v>
      </c>
    </row>
    <row r="93" spans="2:38" s="278" customFormat="1" outlineLevel="1">
      <c r="B93" s="1040"/>
      <c r="C93" s="278" t="s">
        <v>21</v>
      </c>
      <c r="H93" s="1041"/>
      <c r="M93" s="1041"/>
      <c r="N93" s="1043" t="e">
        <f t="shared" ref="N93:W93" si="161">N92/I92-1</f>
        <v>#DIV/0!</v>
      </c>
      <c r="O93" s="1043">
        <f t="shared" si="161"/>
        <v>0.46175264908345581</v>
      </c>
      <c r="P93" s="1043">
        <f t="shared" si="161"/>
        <v>7.8284492108704251E-2</v>
      </c>
      <c r="Q93" s="1043">
        <f t="shared" si="161"/>
        <v>9.1848811579095857E-2</v>
      </c>
      <c r="R93" s="1065">
        <f t="shared" si="161"/>
        <v>0.58615330719577829</v>
      </c>
      <c r="S93" s="1043">
        <f t="shared" si="161"/>
        <v>0.10658548400885293</v>
      </c>
      <c r="T93" s="1043">
        <f t="shared" si="161"/>
        <v>0.12578266927703408</v>
      </c>
      <c r="U93" s="1052">
        <f t="shared" si="161"/>
        <v>4.8225163570730256E-2</v>
      </c>
      <c r="V93" s="1052">
        <f t="shared" si="161"/>
        <v>5.9668244560244776E-3</v>
      </c>
      <c r="W93" s="1065">
        <f t="shared" si="161"/>
        <v>7.3340648444677248E-2</v>
      </c>
      <c r="Y93" s="1043"/>
      <c r="AB93" s="1065">
        <f t="shared" ref="AB93" si="162">AB92/W92-1</f>
        <v>-1</v>
      </c>
      <c r="AG93" s="1065" t="e">
        <f t="shared" ref="AG93" si="163">AG92/AB92-1</f>
        <v>#DIV/0!</v>
      </c>
      <c r="AL93" s="1065" t="e">
        <f t="shared" ref="AL93" si="164">AL92/AG92-1</f>
        <v>#DIV/0!</v>
      </c>
    </row>
    <row r="94" spans="2:38" s="1011" customFormat="1">
      <c r="B94" s="1032" t="s">
        <v>970</v>
      </c>
      <c r="H94" s="1015"/>
      <c r="I94" s="1039">
        <f>+I90+I92</f>
        <v>10387</v>
      </c>
      <c r="J94" s="1039">
        <f>+J90+J92</f>
        <v>86825</v>
      </c>
      <c r="K94" s="1039">
        <f>+K90+K92</f>
        <v>110089</v>
      </c>
      <c r="L94" s="1039">
        <f>+L90+L92</f>
        <v>106744</v>
      </c>
      <c r="M94" s="1016">
        <f>SUM(I94:L94)</f>
        <v>314045</v>
      </c>
      <c r="N94" s="1039">
        <f>+N90+N92</f>
        <v>120639</v>
      </c>
      <c r="O94" s="1039">
        <f>+O90+O92</f>
        <v>130227</v>
      </c>
      <c r="P94" s="1039">
        <f>+P90+P92</f>
        <v>124753</v>
      </c>
      <c r="Q94" s="1039">
        <f>+Q90+Q92</f>
        <v>121126</v>
      </c>
      <c r="R94" s="1016">
        <f>SUM(N94:Q94)</f>
        <v>496745</v>
      </c>
      <c r="S94" s="1039">
        <f>+S90+S92</f>
        <v>138233</v>
      </c>
      <c r="T94" s="1039">
        <f>+T90+T92</f>
        <v>150409</v>
      </c>
      <c r="U94" s="1039">
        <f>+U90+U92</f>
        <v>135260</v>
      </c>
      <c r="V94" s="1039">
        <f>+V90+V92</f>
        <v>125088</v>
      </c>
      <c r="W94" s="1016">
        <f>SUM(S94:V94)</f>
        <v>548990</v>
      </c>
      <c r="X94" s="1056">
        <v>142803</v>
      </c>
      <c r="Y94" s="1039">
        <v>154597</v>
      </c>
      <c r="Z94" s="1039">
        <v>157993</v>
      </c>
      <c r="AA94" s="1056">
        <v>153274</v>
      </c>
      <c r="AB94" s="1016">
        <f>SUM(X94:AA94)</f>
        <v>608667</v>
      </c>
      <c r="AC94" s="1056">
        <v>172139</v>
      </c>
      <c r="AD94" s="1056">
        <v>192617</v>
      </c>
      <c r="AE94" s="1056">
        <v>149171</v>
      </c>
      <c r="AF94" s="1056">
        <v>169000</v>
      </c>
      <c r="AG94" s="1016">
        <f>SUM(AC94:AF94)</f>
        <v>682927</v>
      </c>
      <c r="AH94" s="1056">
        <v>183000</v>
      </c>
      <c r="AI94" s="1056">
        <v>195000</v>
      </c>
      <c r="AJ94" s="1056">
        <v>193000</v>
      </c>
      <c r="AK94" s="1056">
        <v>190000</v>
      </c>
      <c r="AL94" s="1016">
        <f>SUM(AH94:AK94)</f>
        <v>761000</v>
      </c>
    </row>
    <row r="95" spans="2:38" s="278" customFormat="1">
      <c r="B95" s="1040"/>
      <c r="C95" s="278" t="s">
        <v>21</v>
      </c>
      <c r="H95" s="1041"/>
      <c r="M95" s="1041"/>
      <c r="R95" s="1041"/>
      <c r="S95" s="1043">
        <f t="shared" ref="S95:AD95" si="165">S94/N94-1</f>
        <v>0.14584006830295349</v>
      </c>
      <c r="T95" s="1043">
        <f t="shared" si="165"/>
        <v>0.15497554270619762</v>
      </c>
      <c r="U95" s="1052">
        <f t="shared" si="165"/>
        <v>8.4222423508853561E-2</v>
      </c>
      <c r="V95" s="1052">
        <f t="shared" si="165"/>
        <v>3.270974027046214E-2</v>
      </c>
      <c r="W95" s="1065">
        <f t="shared" si="165"/>
        <v>0.10517468721376155</v>
      </c>
      <c r="X95" s="1052">
        <f t="shared" si="165"/>
        <v>3.3060123125447705E-2</v>
      </c>
      <c r="Y95" s="1052">
        <f t="shared" si="165"/>
        <v>2.7844078479346335E-2</v>
      </c>
      <c r="Z95" s="1052">
        <f t="shared" si="165"/>
        <v>0.16806890433239685</v>
      </c>
      <c r="AA95" s="1052">
        <f t="shared" si="165"/>
        <v>0.22532936812484006</v>
      </c>
      <c r="AB95" s="1065">
        <f t="shared" si="165"/>
        <v>0.1087032550683984</v>
      </c>
      <c r="AC95" s="1052">
        <f t="shared" si="165"/>
        <v>0.2054298579161502</v>
      </c>
      <c r="AD95" s="1052">
        <f t="shared" si="165"/>
        <v>0.24592973990439648</v>
      </c>
      <c r="AE95" s="1052">
        <f t="shared" ref="AE95" si="166">AE94/Z94-1</f>
        <v>-5.5837916869734716E-2</v>
      </c>
      <c r="AF95" s="1052">
        <f t="shared" ref="AF95" si="167">AF94/AA94-1</f>
        <v>0.10260057152550339</v>
      </c>
      <c r="AG95" s="1065">
        <f t="shared" ref="AG95" si="168">AG94/AB94-1</f>
        <v>0.1220043143459395</v>
      </c>
      <c r="AH95" s="1052">
        <f t="shared" ref="AH95" si="169">AH94/AC94-1</f>
        <v>6.309435979063438E-2</v>
      </c>
      <c r="AI95" s="1052">
        <f t="shared" ref="AI95" si="170">AI94/AD94-1</f>
        <v>1.2371701355539777E-2</v>
      </c>
      <c r="AJ95" s="1052">
        <f t="shared" ref="AJ95" si="171">AJ94/AE94-1</f>
        <v>0.29381716285336967</v>
      </c>
      <c r="AK95" s="1052">
        <f t="shared" ref="AK95" si="172">AK94/AF94-1</f>
        <v>0.12426035502958577</v>
      </c>
      <c r="AL95" s="1065">
        <f t="shared" ref="AL95" si="173">AL94/AG94-1</f>
        <v>0.11432114999114118</v>
      </c>
    </row>
    <row r="96" spans="2:38" ht="6" customHeight="1">
      <c r="B96" s="156"/>
      <c r="C96" s="278"/>
      <c r="H96" s="157"/>
      <c r="M96" s="157"/>
      <c r="R96" s="157"/>
      <c r="W96" s="157"/>
      <c r="X96" s="1035"/>
      <c r="AB96" s="157"/>
      <c r="AC96" s="1035"/>
      <c r="AG96" s="157"/>
      <c r="AH96" s="1035"/>
      <c r="AL96" s="157"/>
    </row>
    <row r="97" spans="2:38">
      <c r="B97" s="156" t="s">
        <v>904</v>
      </c>
      <c r="H97" s="157"/>
      <c r="I97" s="166">
        <v>0</v>
      </c>
      <c r="J97" s="166">
        <v>11576</v>
      </c>
      <c r="K97" s="166">
        <v>37156</v>
      </c>
      <c r="L97" s="166">
        <v>10600</v>
      </c>
      <c r="M97" s="1016">
        <f>SUM(I97:L97)</f>
        <v>59332</v>
      </c>
      <c r="N97" s="166">
        <v>8727</v>
      </c>
      <c r="O97" s="166">
        <v>2078</v>
      </c>
      <c r="P97" s="166">
        <v>0</v>
      </c>
      <c r="Q97" s="166">
        <v>0</v>
      </c>
      <c r="R97" s="1014">
        <f>SUM(N97:Q97)</f>
        <v>10805</v>
      </c>
      <c r="S97" s="166"/>
      <c r="V97" s="166"/>
      <c r="W97" s="157"/>
      <c r="AB97" s="157">
        <v>0</v>
      </c>
      <c r="AG97" s="157">
        <v>0</v>
      </c>
      <c r="AL97" s="157">
        <v>0</v>
      </c>
    </row>
    <row r="98" spans="2:38">
      <c r="B98" s="156"/>
      <c r="H98" s="157"/>
      <c r="M98" s="157"/>
      <c r="N98" s="1034"/>
      <c r="O98" s="1034"/>
      <c r="P98" s="1034"/>
      <c r="R98" s="157"/>
      <c r="S98" s="1034"/>
      <c r="W98" s="157"/>
      <c r="AB98" s="157"/>
      <c r="AG98" s="157"/>
      <c r="AL98" s="157"/>
    </row>
    <row r="99" spans="2:38" s="1011" customFormat="1">
      <c r="B99" s="1032" t="s">
        <v>974</v>
      </c>
      <c r="H99" s="1015"/>
      <c r="I99" s="1039">
        <f>SUM(I87+I90+I92+I97)</f>
        <v>27095</v>
      </c>
      <c r="J99" s="1039">
        <f>SUM(J87+J90+J92+J97)</f>
        <v>115710</v>
      </c>
      <c r="K99" s="1039">
        <f>SUM(K87+K90+K92+K97)</f>
        <v>164616</v>
      </c>
      <c r="L99" s="1039">
        <f>SUM(L87+L90+L92+L97)</f>
        <v>134897</v>
      </c>
      <c r="M99" s="1016">
        <f>SUM(M87,M94,M97)</f>
        <v>442318</v>
      </c>
      <c r="N99" s="1039">
        <f>SUM(N87+N90+N92+N97)</f>
        <v>147605</v>
      </c>
      <c r="O99" s="1039">
        <f>SUM(O87+O90+O92+O97)</f>
        <v>150832</v>
      </c>
      <c r="P99" s="1039">
        <f>SUM(P87+P90+P92+P97)</f>
        <v>144434</v>
      </c>
      <c r="Q99" s="1039">
        <f>SUM(Q87+Q90+Q92+Q97)</f>
        <v>140907</v>
      </c>
      <c r="R99" s="1016">
        <f>SUM(R87,R94,R97)</f>
        <v>583778</v>
      </c>
      <c r="S99" s="1039">
        <f>SUM(S87+S90+S92+S97)</f>
        <v>158550</v>
      </c>
      <c r="T99" s="1039">
        <f>SUM(T87+T90+T92+T97)</f>
        <v>171190</v>
      </c>
      <c r="U99" s="1039">
        <f>SUM(U87+U90+U92+U97)</f>
        <v>156681</v>
      </c>
      <c r="V99" s="1039">
        <f>SUM(V87+V90+V92+V97)</f>
        <v>145113</v>
      </c>
      <c r="W99" s="1016">
        <f>SUM(S99:V99)</f>
        <v>631534</v>
      </c>
      <c r="X99" s="1039">
        <f>SUM(X87+X90+X94+X97)</f>
        <v>164459</v>
      </c>
      <c r="Y99" s="1039">
        <f>Y87+Y94</f>
        <v>177704</v>
      </c>
      <c r="Z99" s="1039">
        <f>Z87+Z94</f>
        <v>180546</v>
      </c>
      <c r="AA99" s="1039">
        <f>AA87+AA94</f>
        <v>175442</v>
      </c>
      <c r="AB99" s="1016">
        <f>SUM(X99:AA99)</f>
        <v>698151</v>
      </c>
      <c r="AC99" s="1039">
        <f>SUM(AC87+AC90+AC94+AC97)</f>
        <v>194909</v>
      </c>
      <c r="AD99" s="1056">
        <f>AD43+AD19</f>
        <v>215504</v>
      </c>
      <c r="AE99" s="1056">
        <f t="shared" ref="AE99:AF99" si="174">AE94+AE87</f>
        <v>172009</v>
      </c>
      <c r="AF99" s="1056">
        <f t="shared" si="174"/>
        <v>193000</v>
      </c>
      <c r="AG99" s="1016">
        <f>SUM(AC99:AF99)</f>
        <v>775422</v>
      </c>
      <c r="AH99" s="1039">
        <f>SUM(AH87+AH90+AH94+AH97)</f>
        <v>207500</v>
      </c>
      <c r="AI99" s="1056">
        <f>AI94+AI87</f>
        <v>220000</v>
      </c>
      <c r="AJ99" s="1056">
        <f t="shared" ref="AJ99:AK99" si="175">AJ94+AJ87</f>
        <v>218500</v>
      </c>
      <c r="AK99" s="1056">
        <f t="shared" si="175"/>
        <v>216000</v>
      </c>
      <c r="AL99" s="1016">
        <f>SUM(AH99:AK99)</f>
        <v>862000</v>
      </c>
    </row>
    <row r="100" spans="2:38" s="278" customFormat="1">
      <c r="B100" s="1040"/>
      <c r="C100" s="278" t="s">
        <v>21</v>
      </c>
      <c r="H100" s="1041"/>
      <c r="M100" s="1045"/>
      <c r="N100" s="1043">
        <f t="shared" ref="N100:AD100" si="176">N99/I99-1</f>
        <v>4.4476840745525008</v>
      </c>
      <c r="O100" s="1043">
        <f t="shared" si="176"/>
        <v>0.30353469881600548</v>
      </c>
      <c r="P100" s="1043">
        <f t="shared" si="176"/>
        <v>-0.12260047625990178</v>
      </c>
      <c r="Q100" s="1043">
        <f t="shared" si="176"/>
        <v>4.4552510433886638E-2</v>
      </c>
      <c r="R100" s="1065">
        <f t="shared" si="176"/>
        <v>0.31981515561202567</v>
      </c>
      <c r="S100" s="1043">
        <f t="shared" si="176"/>
        <v>7.415060465431389E-2</v>
      </c>
      <c r="T100" s="1043">
        <f t="shared" si="176"/>
        <v>0.13497135886284073</v>
      </c>
      <c r="U100" s="1043">
        <f t="shared" si="176"/>
        <v>8.4793054267000789E-2</v>
      </c>
      <c r="V100" s="1043">
        <f t="shared" si="176"/>
        <v>2.9849475185760754E-2</v>
      </c>
      <c r="W100" s="1045">
        <f t="shared" si="176"/>
        <v>8.1805069735413127E-2</v>
      </c>
      <c r="X100" s="1052">
        <f t="shared" si="176"/>
        <v>3.7269000315357959E-2</v>
      </c>
      <c r="Y100" s="1052">
        <f t="shared" si="176"/>
        <v>3.8051288042525888E-2</v>
      </c>
      <c r="Z100" s="1052">
        <f t="shared" si="176"/>
        <v>0.15231585195397024</v>
      </c>
      <c r="AA100" s="1052">
        <f t="shared" si="176"/>
        <v>0.20900263932245911</v>
      </c>
      <c r="AB100" s="1045">
        <f t="shared" si="176"/>
        <v>0.10548442364148247</v>
      </c>
      <c r="AC100" s="1052">
        <f t="shared" si="176"/>
        <v>0.18515253041791579</v>
      </c>
      <c r="AD100" s="1052">
        <f t="shared" si="176"/>
        <v>0.21271327600954404</v>
      </c>
      <c r="AE100" s="1052">
        <f t="shared" ref="AE100" si="177">AE99/Z99-1</f>
        <v>-4.7284348587063652E-2</v>
      </c>
      <c r="AF100" s="1052">
        <f t="shared" ref="AF100" si="178">AF99/AA99-1</f>
        <v>0.10007865847402564</v>
      </c>
      <c r="AG100" s="1065">
        <f t="shared" ref="AG100" si="179">AG99/AB99-1</f>
        <v>0.11067949483707684</v>
      </c>
      <c r="AH100" s="1052">
        <f t="shared" ref="AH100" si="180">AH99/AC99-1</f>
        <v>6.4599377145231784E-2</v>
      </c>
      <c r="AI100" s="1052">
        <f t="shared" ref="AI100" si="181">AI99/AD99-1</f>
        <v>2.0862721805627649E-2</v>
      </c>
      <c r="AJ100" s="1052">
        <f t="shared" ref="AJ100" si="182">AJ99/AE99-1</f>
        <v>0.27028236894581092</v>
      </c>
      <c r="AK100" s="1052">
        <f t="shared" ref="AK100" si="183">AK99/AF99-1</f>
        <v>0.11917098445595853</v>
      </c>
      <c r="AL100" s="1065">
        <f t="shared" ref="AL100" si="184">AL99/AG99-1</f>
        <v>0.11165275166296551</v>
      </c>
    </row>
    <row r="101" spans="2:38">
      <c r="B101" s="1036"/>
      <c r="C101" s="142"/>
      <c r="D101" s="142"/>
      <c r="E101" s="142"/>
      <c r="F101" s="142"/>
      <c r="G101" s="142"/>
      <c r="H101" s="1037"/>
      <c r="I101" s="142"/>
      <c r="J101" s="142"/>
      <c r="K101" s="142"/>
      <c r="L101" s="142"/>
      <c r="M101" s="1037"/>
      <c r="N101" s="142"/>
      <c r="O101" s="142"/>
      <c r="P101" s="142"/>
      <c r="Q101" s="142"/>
      <c r="R101" s="1037"/>
      <c r="S101" s="142"/>
      <c r="T101" s="142"/>
      <c r="U101" s="142"/>
      <c r="V101" s="142"/>
      <c r="W101" s="1037"/>
      <c r="X101" s="142"/>
      <c r="Y101" s="142"/>
      <c r="Z101" s="142"/>
      <c r="AA101" s="142"/>
      <c r="AB101" s="1037"/>
      <c r="AC101" s="142"/>
      <c r="AD101" s="142"/>
      <c r="AE101" s="142"/>
      <c r="AF101" s="142"/>
      <c r="AG101" s="1037"/>
      <c r="AH101" s="142"/>
      <c r="AI101" s="142"/>
      <c r="AJ101" s="142"/>
      <c r="AK101" s="142"/>
      <c r="AL101" s="1037"/>
    </row>
    <row r="102" spans="2:38">
      <c r="P102" s="230"/>
    </row>
    <row r="103" spans="2:38">
      <c r="AB103" s="230">
        <f>AB99-45000</f>
        <v>653151</v>
      </c>
      <c r="AG103" s="230">
        <f>AG99-39000</f>
        <v>736422</v>
      </c>
    </row>
    <row r="104" spans="2:38">
      <c r="AG104">
        <f>AG103/AB103-1</f>
        <v>0.12749119269510412</v>
      </c>
    </row>
    <row r="106" spans="2:38" ht="14.65" thickBot="1">
      <c r="B106" s="1092" t="s">
        <v>980</v>
      </c>
      <c r="C106" s="1093"/>
      <c r="D106" s="1094" t="s">
        <v>685</v>
      </c>
      <c r="E106" s="1093" t="s">
        <v>687</v>
      </c>
      <c r="F106" s="1093" t="s">
        <v>688</v>
      </c>
      <c r="G106" s="1093" t="s">
        <v>689</v>
      </c>
      <c r="H106" s="1095">
        <v>2020</v>
      </c>
      <c r="I106" s="1093" t="s">
        <v>738</v>
      </c>
      <c r="J106" s="1093" t="s">
        <v>761</v>
      </c>
      <c r="K106" s="1093" t="s">
        <v>777</v>
      </c>
      <c r="L106" s="1093" t="s">
        <v>781</v>
      </c>
      <c r="M106" s="1095">
        <v>2021</v>
      </c>
      <c r="N106" s="1093" t="s">
        <v>888</v>
      </c>
      <c r="O106" s="1093" t="s">
        <v>899</v>
      </c>
      <c r="P106" s="1093" t="s">
        <v>905</v>
      </c>
      <c r="Q106" s="1093" t="s">
        <v>916</v>
      </c>
      <c r="R106" s="1095">
        <v>2022</v>
      </c>
      <c r="S106" s="1093" t="s">
        <v>927</v>
      </c>
      <c r="T106" s="1093" t="s">
        <v>928</v>
      </c>
      <c r="U106" s="1093" t="s">
        <v>929</v>
      </c>
      <c r="V106" s="1093" t="s">
        <v>964</v>
      </c>
      <c r="W106" s="1095">
        <v>2023</v>
      </c>
      <c r="X106" s="1093" t="str">
        <f>X86</f>
        <v>1Q24</v>
      </c>
      <c r="Y106" s="1093" t="s">
        <v>975</v>
      </c>
      <c r="Z106" s="1093" t="str">
        <f t="shared" ref="Z106:AG106" si="185">Z86</f>
        <v>3Q24</v>
      </c>
      <c r="AA106" s="1093" t="str">
        <f t="shared" si="185"/>
        <v>4Q24</v>
      </c>
      <c r="AB106" s="1095">
        <f t="shared" si="185"/>
        <v>2024</v>
      </c>
      <c r="AC106" s="1093" t="str">
        <f t="shared" si="185"/>
        <v>1Q25</v>
      </c>
      <c r="AD106" s="1093" t="str">
        <f t="shared" si="185"/>
        <v>2Q25</v>
      </c>
      <c r="AE106" s="1093" t="str">
        <f t="shared" si="185"/>
        <v>3Q25</v>
      </c>
      <c r="AF106" s="1093" t="str">
        <f t="shared" si="185"/>
        <v>4Q25</v>
      </c>
      <c r="AG106" s="1095">
        <f t="shared" si="185"/>
        <v>2025</v>
      </c>
      <c r="AH106" s="1093" t="str">
        <f t="shared" ref="AH106:AL106" si="186">AH86</f>
        <v>1Q26E</v>
      </c>
      <c r="AI106" s="1093" t="str">
        <f t="shared" si="186"/>
        <v>2Q26E</v>
      </c>
      <c r="AJ106" s="1093" t="str">
        <f t="shared" si="186"/>
        <v>3Q26E</v>
      </c>
      <c r="AK106" s="1093" t="str">
        <f t="shared" si="186"/>
        <v>4Q26E</v>
      </c>
      <c r="AL106" s="1095" t="str">
        <f t="shared" si="186"/>
        <v>2026E</v>
      </c>
    </row>
    <row r="107" spans="2:38">
      <c r="B107" s="156" t="s">
        <v>906</v>
      </c>
      <c r="H107" s="157"/>
      <c r="I107" s="166">
        <v>1595</v>
      </c>
      <c r="J107" s="166">
        <v>1567</v>
      </c>
      <c r="K107" s="166">
        <v>1626</v>
      </c>
      <c r="L107" s="166">
        <v>1766</v>
      </c>
      <c r="M107" s="1014">
        <f>I107</f>
        <v>1595</v>
      </c>
      <c r="N107" s="166">
        <v>1796</v>
      </c>
      <c r="O107" s="166">
        <v>1759</v>
      </c>
      <c r="P107" s="166">
        <v>1852</v>
      </c>
      <c r="Q107" s="166">
        <v>1877</v>
      </c>
      <c r="R107" s="1014">
        <f>N107</f>
        <v>1796</v>
      </c>
      <c r="S107" s="166">
        <v>1889</v>
      </c>
      <c r="T107" s="166">
        <v>1849</v>
      </c>
      <c r="U107" s="166">
        <v>1904</v>
      </c>
      <c r="V107" s="166">
        <v>1952</v>
      </c>
      <c r="W107" s="1014">
        <f>S107</f>
        <v>1889</v>
      </c>
      <c r="X107" s="166">
        <v>2034</v>
      </c>
      <c r="Y107" s="166">
        <v>2024</v>
      </c>
      <c r="Z107" s="166">
        <f>Y108</f>
        <v>2087</v>
      </c>
      <c r="AA107" s="166">
        <f>Z108</f>
        <v>2130.663</v>
      </c>
      <c r="AB107" s="1014">
        <f>X107</f>
        <v>2034</v>
      </c>
      <c r="AC107" s="230">
        <f>AA108</f>
        <v>2195.5320000000002</v>
      </c>
      <c r="AD107" s="166">
        <f>AC108</f>
        <v>2123.3670000000002</v>
      </c>
      <c r="AE107" s="166">
        <f>AD108</f>
        <v>2162.25</v>
      </c>
      <c r="AF107" s="166">
        <f>AE108</f>
        <v>2168.3710000000001</v>
      </c>
      <c r="AG107" s="157"/>
      <c r="AL107" s="157"/>
    </row>
    <row r="108" spans="2:38" s="1011" customFormat="1">
      <c r="B108" s="1032" t="s">
        <v>907</v>
      </c>
      <c r="H108" s="1015"/>
      <c r="I108" s="1056">
        <v>1546</v>
      </c>
      <c r="J108" s="1056">
        <v>1626</v>
      </c>
      <c r="K108" s="1056">
        <v>1766</v>
      </c>
      <c r="L108" s="1056">
        <v>1796</v>
      </c>
      <c r="M108" s="1016">
        <f>L108</f>
        <v>1796</v>
      </c>
      <c r="N108" s="1056">
        <v>1759</v>
      </c>
      <c r="O108" s="1056">
        <v>1852</v>
      </c>
      <c r="P108" s="1056">
        <v>1877</v>
      </c>
      <c r="Q108" s="1056">
        <v>1889</v>
      </c>
      <c r="R108" s="1016">
        <f>Q108</f>
        <v>1889</v>
      </c>
      <c r="S108" s="1056">
        <v>1849</v>
      </c>
      <c r="T108" s="1056">
        <v>1904</v>
      </c>
      <c r="U108" s="1056">
        <v>1952</v>
      </c>
      <c r="V108" s="1056">
        <v>2034</v>
      </c>
      <c r="W108" s="1016">
        <f>V108</f>
        <v>2034</v>
      </c>
      <c r="X108" s="1056">
        <v>2024</v>
      </c>
      <c r="Y108" s="1056">
        <v>2087</v>
      </c>
      <c r="Z108" s="1056">
        <f>Z107+Z112-Z111</f>
        <v>2130.663</v>
      </c>
      <c r="AA108" s="1056">
        <f>AA107+AA112-AA111</f>
        <v>2195.5320000000002</v>
      </c>
      <c r="AB108" s="1016">
        <f>AA108</f>
        <v>2195.5320000000002</v>
      </c>
      <c r="AC108" s="1056">
        <f>AC107+AC112-AC111</f>
        <v>2123.3670000000002</v>
      </c>
      <c r="AD108" s="1056">
        <f>AD107+AD112-AD111</f>
        <v>2162.25</v>
      </c>
      <c r="AE108" s="1056">
        <f>AE107+AE112-AE111</f>
        <v>2168.3710000000001</v>
      </c>
      <c r="AF108" s="1056">
        <f>AF107+AF112-AF111</f>
        <v>2179.2129660000001</v>
      </c>
      <c r="AG108" s="1015"/>
      <c r="AL108" s="1015"/>
    </row>
    <row r="109" spans="2:38" s="278" customFormat="1">
      <c r="B109" s="1040"/>
      <c r="C109" s="278" t="s">
        <v>21</v>
      </c>
      <c r="H109" s="1041"/>
      <c r="I109" s="1042"/>
      <c r="J109" s="1042"/>
      <c r="K109" s="1042"/>
      <c r="L109" s="1042"/>
      <c r="M109" s="1045"/>
      <c r="N109" s="1052">
        <f t="shared" ref="N109:AC109" si="187">N108/I108-1</f>
        <v>0.1377749029754205</v>
      </c>
      <c r="O109" s="1052">
        <f t="shared" si="187"/>
        <v>0.13899138991389903</v>
      </c>
      <c r="P109" s="1052">
        <f t="shared" si="187"/>
        <v>6.2853907134767795E-2</v>
      </c>
      <c r="Q109" s="1052">
        <f t="shared" si="187"/>
        <v>5.1781737193763888E-2</v>
      </c>
      <c r="R109" s="1045">
        <f t="shared" si="187"/>
        <v>5.1781737193763888E-2</v>
      </c>
      <c r="S109" s="1052">
        <f t="shared" si="187"/>
        <v>5.1165434906196738E-2</v>
      </c>
      <c r="T109" s="1052">
        <f t="shared" si="187"/>
        <v>2.8077753779697678E-2</v>
      </c>
      <c r="U109" s="1052">
        <f t="shared" si="187"/>
        <v>3.9957378795951071E-2</v>
      </c>
      <c r="V109" s="1052">
        <f t="shared" si="187"/>
        <v>7.6760190577024989E-2</v>
      </c>
      <c r="W109" s="1045">
        <f t="shared" si="187"/>
        <v>7.6760190577024989E-2</v>
      </c>
      <c r="X109" s="1052">
        <f t="shared" si="187"/>
        <v>9.464575446187129E-2</v>
      </c>
      <c r="Y109" s="1052">
        <f t="shared" si="187"/>
        <v>9.6113445378151363E-2</v>
      </c>
      <c r="Z109" s="1052">
        <f t="shared" si="187"/>
        <v>9.1528176229508151E-2</v>
      </c>
      <c r="AA109" s="1052">
        <f t="shared" si="187"/>
        <v>7.9415929203539903E-2</v>
      </c>
      <c r="AB109" s="1045">
        <f t="shared" si="187"/>
        <v>7.9415929203539903E-2</v>
      </c>
      <c r="AC109" s="1052">
        <f t="shared" si="187"/>
        <v>4.9094367588932819E-2</v>
      </c>
      <c r="AD109" s="1052">
        <f t="shared" ref="AD109" si="188">AD108/Y108-1</f>
        <v>3.6056540488739852E-2</v>
      </c>
      <c r="AE109" s="1052">
        <f t="shared" ref="AE109:AF109" si="189">AE108/Z108-1</f>
        <v>1.7697777640105494E-2</v>
      </c>
      <c r="AF109" s="1052">
        <f t="shared" si="189"/>
        <v>-7.4328381458343973E-3</v>
      </c>
      <c r="AG109" s="1041"/>
      <c r="AL109" s="1041"/>
    </row>
    <row r="110" spans="2:38" ht="15.95" customHeight="1">
      <c r="B110" s="156" t="s">
        <v>908</v>
      </c>
      <c r="H110" s="157"/>
      <c r="I110">
        <f>I108-I107</f>
        <v>-49</v>
      </c>
      <c r="J110">
        <f>J108-J107</f>
        <v>59</v>
      </c>
      <c r="K110">
        <f>K108-K107</f>
        <v>140</v>
      </c>
      <c r="L110">
        <f>L108-L107</f>
        <v>30</v>
      </c>
      <c r="M110" s="1014">
        <f>SUM(I110:L110)</f>
        <v>180</v>
      </c>
      <c r="N110">
        <f>N108-N107</f>
        <v>-37</v>
      </c>
      <c r="O110">
        <f>O108-O107</f>
        <v>93</v>
      </c>
      <c r="P110">
        <f>P108-P107</f>
        <v>25</v>
      </c>
      <c r="Q110">
        <v>12</v>
      </c>
      <c r="R110" s="1014">
        <f>SUM(N110:Q110)</f>
        <v>93</v>
      </c>
      <c r="S110" s="230">
        <f>S108-S107</f>
        <v>-40</v>
      </c>
      <c r="T110" s="230">
        <f>T108-T107</f>
        <v>55</v>
      </c>
      <c r="U110" s="230">
        <f>U108-U107</f>
        <v>48</v>
      </c>
      <c r="V110" s="230">
        <f>V108-V107</f>
        <v>82</v>
      </c>
      <c r="W110" s="1014">
        <f>SUM(S110:V110)</f>
        <v>145</v>
      </c>
      <c r="X110" s="230">
        <f>X108-X107</f>
        <v>-10</v>
      </c>
      <c r="Y110" s="230">
        <f>Y108-Y107</f>
        <v>63</v>
      </c>
      <c r="Z110" s="230">
        <f>Z108-Z107</f>
        <v>43.663000000000011</v>
      </c>
      <c r="AA110" s="230">
        <f>AA108-AA107</f>
        <v>64.869000000000142</v>
      </c>
      <c r="AB110" s="1014">
        <f>SUM(X110:AA110)</f>
        <v>161.53200000000015</v>
      </c>
      <c r="AC110" s="230">
        <f>AC108-AC107</f>
        <v>-72.164999999999964</v>
      </c>
      <c r="AD110" s="230">
        <f t="shared" ref="AD110:AE110" si="190">AD108-AD107</f>
        <v>38.882999999999811</v>
      </c>
      <c r="AE110" s="230">
        <f t="shared" si="190"/>
        <v>6.1210000000000946</v>
      </c>
      <c r="AF110" s="230">
        <f t="shared" ref="AF110" si="191">AF108-AF107</f>
        <v>10.841965999999957</v>
      </c>
      <c r="AG110" s="157"/>
      <c r="AL110" s="157"/>
    </row>
    <row r="111" spans="2:38">
      <c r="B111" s="156" t="s">
        <v>909</v>
      </c>
      <c r="H111" s="157"/>
      <c r="I111" s="166">
        <f>'Income Statement'!BR23/1000</f>
        <v>294.80200000000002</v>
      </c>
      <c r="J111" s="166">
        <f>'Income Statement'!BS23/1000</f>
        <v>405.363</v>
      </c>
      <c r="K111" s="166">
        <f>'Income Statement'!BT23/1000</f>
        <v>460.62400000000002</v>
      </c>
      <c r="L111" s="166">
        <f>'Income Statement'!BU23/1000</f>
        <v>434.17599999999999</v>
      </c>
      <c r="M111" s="1014">
        <f>SUM(I111:L111)</f>
        <v>1594.9649999999999</v>
      </c>
      <c r="N111" s="166">
        <f>'Income Statement'!BW23/1000</f>
        <v>456.108</v>
      </c>
      <c r="O111" s="166">
        <f>'Income Statement'!BX23/1000</f>
        <v>468.685</v>
      </c>
      <c r="P111" s="166">
        <f>'Income Statement'!BY23/1000</f>
        <v>473.19099999999997</v>
      </c>
      <c r="Q111" s="166">
        <v>452</v>
      </c>
      <c r="R111" s="1014">
        <f>SUM(N111:Q111)</f>
        <v>1849.9839999999999</v>
      </c>
      <c r="S111" s="166">
        <f>'Income Statement'!CB23/1000</f>
        <v>471.85300000000001</v>
      </c>
      <c r="T111" s="166">
        <f>'Income Statement'!CC23/1000</f>
        <v>504.279</v>
      </c>
      <c r="U111" s="166">
        <f>'Income Statement'!CD23/1000</f>
        <v>494.68400000000003</v>
      </c>
      <c r="V111" s="166">
        <f>'Income Statement'!CE23/1000</f>
        <v>480.935</v>
      </c>
      <c r="W111" s="1014">
        <f>SUM(S111:V111)</f>
        <v>1951.751</v>
      </c>
      <c r="X111" s="166">
        <v>512</v>
      </c>
      <c r="Y111" s="166">
        <f>'Income Statement'!CH23/1000</f>
        <v>540.976</v>
      </c>
      <c r="Z111" s="166">
        <f>'Income Statement'!CI23/1000</f>
        <v>543.33699999999999</v>
      </c>
      <c r="AA111" s="166">
        <f>'Income Statement'!CJ23/1000</f>
        <v>541.13099999999997</v>
      </c>
      <c r="AB111" s="1014">
        <f>SUM(X111:AA111)</f>
        <v>2137.444</v>
      </c>
      <c r="AC111" s="166">
        <f>'Income Statement'!CL23/1000</f>
        <v>565.16499999999996</v>
      </c>
      <c r="AD111" s="166">
        <f>'Income Statement'!CM23/1000</f>
        <v>596.11699999999996</v>
      </c>
      <c r="AE111" s="166">
        <f>'Income Statement'!CN23/1000</f>
        <v>595.87900000000002</v>
      </c>
      <c r="AF111" s="166">
        <f>'Income Statement'!CO23/1000</f>
        <v>590.15803399999993</v>
      </c>
      <c r="AG111" s="157"/>
      <c r="AL111" s="157"/>
    </row>
    <row r="112" spans="2:38" s="1011" customFormat="1" ht="16.5" customHeight="1">
      <c r="B112" s="1032" t="s">
        <v>910</v>
      </c>
      <c r="H112" s="1015"/>
      <c r="I112" s="1056">
        <f>I110+I111</f>
        <v>245.80200000000002</v>
      </c>
      <c r="J112" s="1056">
        <f>J110+J111</f>
        <v>464.363</v>
      </c>
      <c r="K112" s="1056">
        <f>K110+K111</f>
        <v>600.62400000000002</v>
      </c>
      <c r="L112" s="1056">
        <f>L110+L111</f>
        <v>464.17599999999999</v>
      </c>
      <c r="M112" s="1016">
        <f>SUM(I112:L112)</f>
        <v>1774.9649999999999</v>
      </c>
      <c r="N112" s="1056">
        <f>N110+N111</f>
        <v>419.108</v>
      </c>
      <c r="O112" s="1056">
        <f>O110+O111</f>
        <v>561.68499999999995</v>
      </c>
      <c r="P112" s="1056">
        <f>P110+P111</f>
        <v>498.19099999999997</v>
      </c>
      <c r="Q112" s="1056">
        <f>Q110+Q111</f>
        <v>464</v>
      </c>
      <c r="R112" s="1016">
        <f>SUM(N112:Q112)</f>
        <v>1942.9839999999999</v>
      </c>
      <c r="S112" s="1056">
        <f>S110+S111</f>
        <v>431.85300000000001</v>
      </c>
      <c r="T112" s="1056">
        <f>T110+T111</f>
        <v>559.279</v>
      </c>
      <c r="U112" s="1056">
        <f>U110+U111</f>
        <v>542.68399999999997</v>
      </c>
      <c r="V112" s="1056">
        <v>563</v>
      </c>
      <c r="W112" s="1016">
        <f>SUM(S112:V112)</f>
        <v>2096.8159999999998</v>
      </c>
      <c r="X112" s="1056">
        <v>503</v>
      </c>
      <c r="Y112" s="1056">
        <f>Y110+Y111</f>
        <v>603.976</v>
      </c>
      <c r="Z112" s="1056">
        <v>587</v>
      </c>
      <c r="AA112" s="1056">
        <v>606</v>
      </c>
      <c r="AB112" s="1016">
        <f>SUM(X112:AA112)</f>
        <v>2299.9760000000001</v>
      </c>
      <c r="AC112" s="1011">
        <v>493</v>
      </c>
      <c r="AD112" s="1011">
        <v>635</v>
      </c>
      <c r="AE112" s="1011">
        <v>602</v>
      </c>
      <c r="AF112" s="1011">
        <v>601</v>
      </c>
      <c r="AG112" s="1015"/>
      <c r="AL112" s="1015"/>
    </row>
    <row r="113" spans="2:38" s="278" customFormat="1">
      <c r="B113" s="1040"/>
      <c r="C113" s="278" t="s">
        <v>21</v>
      </c>
      <c r="H113" s="1041"/>
      <c r="M113" s="1045"/>
      <c r="N113" s="1043">
        <f t="shared" ref="N113:AC113" si="192">N112/I112-1</f>
        <v>0.70506342503315667</v>
      </c>
      <c r="O113" s="1043">
        <f t="shared" si="192"/>
        <v>0.20958172808772435</v>
      </c>
      <c r="P113" s="1043">
        <f t="shared" si="192"/>
        <v>-0.1705443005940489</v>
      </c>
      <c r="Q113" s="1043">
        <f t="shared" si="192"/>
        <v>-3.7916652304292864E-4</v>
      </c>
      <c r="R113" s="1045">
        <f t="shared" si="192"/>
        <v>9.4660458093539956E-2</v>
      </c>
      <c r="S113" s="1052">
        <f t="shared" si="192"/>
        <v>3.0409822766446881E-2</v>
      </c>
      <c r="T113" s="1052">
        <f t="shared" si="192"/>
        <v>-4.2835397064190373E-3</v>
      </c>
      <c r="U113" s="1052">
        <f t="shared" si="192"/>
        <v>8.9309120397598418E-2</v>
      </c>
      <c r="V113" s="1052">
        <f t="shared" si="192"/>
        <v>0.21336206896551735</v>
      </c>
      <c r="W113" s="1045">
        <f t="shared" si="192"/>
        <v>7.9173065758647354E-2</v>
      </c>
      <c r="X113" s="1052">
        <f t="shared" si="192"/>
        <v>0.16474818977754002</v>
      </c>
      <c r="Y113" s="1052">
        <f t="shared" si="192"/>
        <v>7.9918967098711047E-2</v>
      </c>
      <c r="Z113" s="1052">
        <f t="shared" si="192"/>
        <v>8.1660782333733861E-2</v>
      </c>
      <c r="AA113" s="1052">
        <f t="shared" si="192"/>
        <v>7.6376554174067524E-2</v>
      </c>
      <c r="AB113" s="1045">
        <f t="shared" si="192"/>
        <v>9.6889760474929698E-2</v>
      </c>
      <c r="AC113" s="1052">
        <f t="shared" si="192"/>
        <v>-1.9880715705765439E-2</v>
      </c>
      <c r="AD113" s="1052">
        <f t="shared" ref="AD113" si="193">AD112/Y112-1</f>
        <v>5.1366279454812869E-2</v>
      </c>
      <c r="AE113" s="1052">
        <f t="shared" ref="AE113:AF113" si="194">AE112/Z112-1</f>
        <v>2.5553662691652379E-2</v>
      </c>
      <c r="AF113" s="1052">
        <f t="shared" si="194"/>
        <v>-8.2508250825082952E-3</v>
      </c>
      <c r="AG113" s="1041"/>
      <c r="AL113" s="1041"/>
    </row>
    <row r="114" spans="2:38" ht="18.600000000000001" customHeight="1">
      <c r="B114" s="156" t="s">
        <v>911</v>
      </c>
      <c r="H114" s="157"/>
      <c r="I114" s="166">
        <v>1181</v>
      </c>
      <c r="J114" s="166">
        <v>1336</v>
      </c>
      <c r="K114" s="166">
        <v>1645</v>
      </c>
      <c r="L114" s="166">
        <v>1776</v>
      </c>
      <c r="M114" s="1013"/>
      <c r="N114" s="166">
        <v>1949</v>
      </c>
      <c r="O114" s="166">
        <v>2046</v>
      </c>
      <c r="P114" s="166">
        <v>1943</v>
      </c>
      <c r="Q114" s="166">
        <v>1944</v>
      </c>
      <c r="R114" s="157"/>
      <c r="S114" s="166">
        <v>1955</v>
      </c>
      <c r="T114" s="166">
        <v>1953</v>
      </c>
      <c r="U114" s="166">
        <v>1997</v>
      </c>
      <c r="V114" s="166">
        <v>2096</v>
      </c>
      <c r="W114" s="157"/>
      <c r="X114" s="166">
        <f>SUM(X112,T112:V112)</f>
        <v>2167.9629999999997</v>
      </c>
      <c r="Y114" s="166">
        <f>SUM(X112:Y112,U112:V112)</f>
        <v>2212.66</v>
      </c>
      <c r="Z114" s="166">
        <f>SUM(X112:Z112,V112)</f>
        <v>2256.9760000000001</v>
      </c>
      <c r="AA114" s="166">
        <f>SUM(X112:AA112)</f>
        <v>2299.9760000000001</v>
      </c>
      <c r="AB114" s="157"/>
      <c r="AC114" s="166">
        <f>SUM(AC112,Y112:AA112)</f>
        <v>2289.9760000000001</v>
      </c>
      <c r="AD114" s="166">
        <f>SUM(AC112:AD112,Z112:AA112)</f>
        <v>2321</v>
      </c>
      <c r="AE114" s="166">
        <f>SUM(AC112:AE112,AA112)</f>
        <v>2336</v>
      </c>
      <c r="AF114" s="166">
        <f>SUM(AD112:AF112,AB112)</f>
        <v>4137.9760000000006</v>
      </c>
      <c r="AG114" s="157"/>
      <c r="AH114" s="166"/>
      <c r="AI114" s="166"/>
      <c r="AJ114" s="166"/>
      <c r="AK114" s="166"/>
      <c r="AL114" s="157"/>
    </row>
    <row r="115" spans="2:38" s="278" customFormat="1">
      <c r="B115" s="1048"/>
      <c r="C115" s="1049" t="s">
        <v>21</v>
      </c>
      <c r="D115" s="1049"/>
      <c r="E115" s="1049"/>
      <c r="F115" s="1049"/>
      <c r="G115" s="1049"/>
      <c r="H115" s="1050"/>
      <c r="I115" s="1067">
        <v>-0.13300000000000001</v>
      </c>
      <c r="J115" s="1067">
        <v>9.6000000000000002E-2</v>
      </c>
      <c r="K115" s="1067">
        <v>0.313</v>
      </c>
      <c r="L115" s="1067">
        <v>0.41599999999999998</v>
      </c>
      <c r="M115" s="1055"/>
      <c r="N115" s="1069">
        <f>N114/I114-1</f>
        <v>0.65029635901778149</v>
      </c>
      <c r="O115" s="1067">
        <f>O114/J114-1</f>
        <v>0.5314371257485031</v>
      </c>
      <c r="P115" s="1067">
        <f>P114/K114-1</f>
        <v>0.18115501519756849</v>
      </c>
      <c r="Q115" s="1067">
        <f>Q114/L114-1</f>
        <v>9.4594594594594517E-2</v>
      </c>
      <c r="R115" s="1050"/>
      <c r="S115" s="1051">
        <f>S114/N114-1</f>
        <v>3.0785017957926097E-3</v>
      </c>
      <c r="T115" s="1051">
        <f>T114/O114-1</f>
        <v>-4.5454545454545414E-2</v>
      </c>
      <c r="U115" s="1051">
        <f>U114/P114-1</f>
        <v>2.7792074112197529E-2</v>
      </c>
      <c r="V115" s="1051">
        <f>V114/Q114-1</f>
        <v>7.8189300411522611E-2</v>
      </c>
      <c r="W115" s="1050"/>
      <c r="X115" s="1051">
        <f>X114/S114-1</f>
        <v>0.10893248081841422</v>
      </c>
      <c r="Y115" s="1051">
        <f>Y114/T114-1</f>
        <v>0.13295442908346122</v>
      </c>
      <c r="Z115" s="1051">
        <f>Z114/U114-1</f>
        <v>0.13018327491236859</v>
      </c>
      <c r="AA115" s="1051">
        <f>AA114/V114-1</f>
        <v>9.731679389312986E-2</v>
      </c>
      <c r="AB115" s="1050"/>
      <c r="AC115" s="1051">
        <f>AC114/X114-1</f>
        <v>5.6280019539079129E-2</v>
      </c>
      <c r="AD115" s="1051">
        <f>AD114/Y114-1</f>
        <v>4.8963690761346212E-2</v>
      </c>
      <c r="AE115" s="1051">
        <f>AE114/Z114-1</f>
        <v>3.5013221230531411E-2</v>
      </c>
      <c r="AF115" s="1051">
        <f>AF114/AA114-1</f>
        <v>0.79913877362198571</v>
      </c>
      <c r="AG115" s="1050"/>
      <c r="AH115" s="1051"/>
      <c r="AI115" s="1051"/>
      <c r="AJ115" s="1051"/>
      <c r="AK115" s="1051"/>
      <c r="AL115" s="1050"/>
    </row>
    <row r="122" spans="2:38">
      <c r="D122">
        <v>2027</v>
      </c>
    </row>
    <row r="123" spans="2:38">
      <c r="B123" s="288" t="s">
        <v>912</v>
      </c>
      <c r="C123">
        <v>420</v>
      </c>
      <c r="D123">
        <f>C123*(1.12)^5</f>
        <v>740.18350694400021</v>
      </c>
    </row>
    <row r="124" spans="2:38">
      <c r="B124" s="288" t="s">
        <v>913</v>
      </c>
      <c r="C124">
        <v>587</v>
      </c>
      <c r="D124">
        <f>C124*(1.07)^5</f>
        <v>823.29786592090011</v>
      </c>
    </row>
    <row r="125" spans="2:38">
      <c r="B125" s="288" t="s">
        <v>893</v>
      </c>
      <c r="C125">
        <v>464</v>
      </c>
      <c r="D125">
        <f>C125*2</f>
        <v>928</v>
      </c>
    </row>
    <row r="126" spans="2:38">
      <c r="B126" s="288" t="s">
        <v>666</v>
      </c>
      <c r="C126">
        <v>240</v>
      </c>
      <c r="D126">
        <f>D123*0.5</f>
        <v>370.09175347200011</v>
      </c>
    </row>
    <row r="127" spans="2:38">
      <c r="B127" s="288" t="s">
        <v>914</v>
      </c>
      <c r="C127">
        <v>34</v>
      </c>
      <c r="D127">
        <f>C127*(1.07)^5</f>
        <v>47.686758843800007</v>
      </c>
    </row>
    <row r="128" spans="2:38">
      <c r="B128" s="288" t="s">
        <v>915</v>
      </c>
      <c r="C128">
        <v>32</v>
      </c>
      <c r="D128">
        <f>C128*(1.07)^5</f>
        <v>44.881655382400005</v>
      </c>
    </row>
    <row r="129" spans="3:4">
      <c r="C129">
        <v>1841</v>
      </c>
      <c r="D129">
        <f>SUM(D123:D128)</f>
        <v>2954.1415405631005</v>
      </c>
    </row>
    <row r="130" spans="3:4">
      <c r="D130">
        <v>9.9992000000000001</v>
      </c>
    </row>
  </sheetData>
  <pageMargins left="0.7" right="0.7" top="0.75" bottom="0.75" header="0.3" footer="0.3"/>
  <pageSetup orientation="portrait" r:id="rId1"/>
  <ignoredErrors>
    <ignoredError sqref="N64:N72 R63:R69 N8:Q8 O9:Q9 S8:T8 N4:Q4 N7:Q7 N5:Q5 N9 V8 V9 AD8:AF8 U8 AB26 AG26 AC8 Z8 N6:Q6 S4:V4 AC4:AF4 X4 AB3 W3 R4 R3 AB4 AG4 W4 S6:V6 X6 AD6:AF6 S5:V5 AB5 S7 W5:X5 AG5 R6 R5 AG6 AB6 W6 AG3 T3:U3 T7:V7 S9:U9 X8 X9 AF7 AE9:AF9 Z4 Z6" formula="1"/>
  </ignoredError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A36C2-61B9-4BE9-93B0-4D3B3473D142}">
  <dimension ref="C3:H17"/>
  <sheetViews>
    <sheetView showGridLines="0" workbookViewId="0">
      <selection activeCell="G4" sqref="G4"/>
    </sheetView>
  </sheetViews>
  <sheetFormatPr defaultRowHeight="14.25"/>
  <cols>
    <col min="3" max="3" width="2.1328125" customWidth="1"/>
    <col min="4" max="4" width="16.86328125" customWidth="1"/>
    <col min="5" max="7" width="10.3984375" bestFit="1" customWidth="1"/>
  </cols>
  <sheetData>
    <row r="3" spans="3:8">
      <c r="C3" s="1106"/>
      <c r="D3" s="1107"/>
      <c r="E3" s="1108" t="s">
        <v>988</v>
      </c>
      <c r="F3" s="1108" t="s">
        <v>985</v>
      </c>
      <c r="G3" s="1109" t="s">
        <v>986</v>
      </c>
    </row>
    <row r="4" spans="3:8" ht="18" customHeight="1">
      <c r="C4" s="156" t="s">
        <v>464</v>
      </c>
      <c r="E4" s="1087">
        <f>'Income Statement'!CF8/1000</f>
        <v>1159.5119999999999</v>
      </c>
      <c r="F4" s="1087">
        <f>'Income Statement'!CK8/1000</f>
        <v>1342.931</v>
      </c>
      <c r="G4" s="1110">
        <f>'Income Statement'!CP8/1000</f>
        <v>1586.016034</v>
      </c>
    </row>
    <row r="5" spans="3:8" s="278" customFormat="1">
      <c r="C5" s="1040"/>
      <c r="D5" s="278" t="s">
        <v>384</v>
      </c>
      <c r="E5" s="1043">
        <f>'Income Statement'!CF9</f>
        <v>0.14541876748486615</v>
      </c>
      <c r="F5" s="1043">
        <f>'Income Statement'!CK9</f>
        <v>0.15818637495774079</v>
      </c>
      <c r="G5" s="1088">
        <v>0.16500000000000001</v>
      </c>
    </row>
    <row r="6" spans="3:8" ht="18" customHeight="1">
      <c r="C6" s="156" t="s">
        <v>893</v>
      </c>
      <c r="E6" s="1087">
        <f>'Income Statement'!CF14/1000</f>
        <v>466.661</v>
      </c>
      <c r="F6" s="1087">
        <f>'Income Statement'!CK14/1000</f>
        <v>463.13200000000001</v>
      </c>
      <c r="G6" s="1110">
        <f>'Income Statement'!CP14/1000</f>
        <v>445.73599999999999</v>
      </c>
    </row>
    <row r="7" spans="3:8" s="278" customFormat="1">
      <c r="C7" s="1040"/>
      <c r="D7" s="278" t="s">
        <v>384</v>
      </c>
      <c r="E7" s="1043">
        <f>'Income Statement'!CF15</f>
        <v>-3.8296101012904593E-3</v>
      </c>
      <c r="F7" s="1043">
        <f>'Income Statement'!CK15</f>
        <v>-7.5622346842783017E-3</v>
      </c>
      <c r="G7" s="1088">
        <v>-0.05</v>
      </c>
    </row>
    <row r="8" spans="3:8" ht="18" customHeight="1">
      <c r="C8" s="156" t="s">
        <v>987</v>
      </c>
      <c r="E8" s="1087">
        <f>'Income Statement'!CF11/1000</f>
        <v>249.976</v>
      </c>
      <c r="F8" s="1087">
        <f>'Income Statement'!CK11/1000</f>
        <v>263.99099999999999</v>
      </c>
      <c r="G8" s="1110">
        <f>'Income Statement'!CP11/1000</f>
        <v>251.39</v>
      </c>
      <c r="H8" s="1087"/>
    </row>
    <row r="9" spans="3:8" s="278" customFormat="1">
      <c r="C9" s="1040"/>
      <c r="D9" s="278" t="s">
        <v>384</v>
      </c>
      <c r="E9" s="1043">
        <f>'Income Statement'!CF12</f>
        <v>2.8212753530193257E-2</v>
      </c>
      <c r="F9" s="1043">
        <f>'Income Statement'!CK12</f>
        <v>5.606538227669855E-2</v>
      </c>
      <c r="G9" s="1088">
        <v>-1.4999999999999999E-2</v>
      </c>
    </row>
    <row r="10" spans="3:8" ht="18" customHeight="1">
      <c r="C10" s="156" t="s">
        <v>53</v>
      </c>
      <c r="E10" s="1087">
        <f>'Income Statement'!CF5/1000</f>
        <v>38.095999999999997</v>
      </c>
      <c r="F10" s="1087">
        <f>'Income Statement'!CK5/1000</f>
        <v>26.356999999999999</v>
      </c>
      <c r="G10" s="1110">
        <f>'Income Statement'!CP5/1000</f>
        <v>21.056999999999999</v>
      </c>
    </row>
    <row r="11" spans="3:8" s="278" customFormat="1">
      <c r="C11" s="1040"/>
      <c r="D11" s="278" t="s">
        <v>384</v>
      </c>
      <c r="E11" s="1043">
        <f>'Income Statement'!CF6</f>
        <v>-0.3587179746153587</v>
      </c>
      <c r="F11" s="1043">
        <f>'Income Statement'!CK6</f>
        <v>-0.30814258714825704</v>
      </c>
      <c r="G11" s="1088">
        <v>-0.19</v>
      </c>
    </row>
    <row r="12" spans="3:8" ht="18" customHeight="1">
      <c r="C12" s="156" t="s">
        <v>759</v>
      </c>
      <c r="E12" s="1087">
        <f>'Income Statement'!CF20/1000</f>
        <v>37.506</v>
      </c>
      <c r="F12" s="1087">
        <f>'Income Statement'!CK20/1000</f>
        <v>41.392000000000003</v>
      </c>
      <c r="G12" s="1110">
        <f>'Income Statement'!CP20/1000</f>
        <v>43.12</v>
      </c>
    </row>
    <row r="13" spans="3:8" s="278" customFormat="1">
      <c r="C13" s="1040"/>
      <c r="D13" s="278" t="s">
        <v>384</v>
      </c>
      <c r="E13" s="1043">
        <f>'Income Statement'!CF21</f>
        <v>0.1570926143024618</v>
      </c>
      <c r="F13" s="1043">
        <f>'Income Statement'!CK21</f>
        <v>0.10361008905241831</v>
      </c>
      <c r="G13" s="1088">
        <v>-0.19</v>
      </c>
    </row>
    <row r="14" spans="3:8" ht="18" customHeight="1">
      <c r="C14" s="1032" t="s">
        <v>205</v>
      </c>
      <c r="E14" s="1089">
        <f>'Income Statement'!CF23/1000</f>
        <v>1951.751</v>
      </c>
      <c r="F14" s="1089">
        <f>'Income Statement'!CK23/1000</f>
        <v>2137.8029999999999</v>
      </c>
      <c r="G14" s="1090">
        <f>2345000/1000</f>
        <v>2345</v>
      </c>
    </row>
    <row r="15" spans="3:8" s="278" customFormat="1">
      <c r="C15" s="1048"/>
      <c r="D15" s="1049" t="s">
        <v>384</v>
      </c>
      <c r="E15" s="1067">
        <f>'Income Statement'!CF24</f>
        <v>5.4884218172698729E-2</v>
      </c>
      <c r="F15" s="1067">
        <f>'Income Statement'!CK24</f>
        <v>9.5325684475120021E-2</v>
      </c>
      <c r="G15" s="1091">
        <f>G14/F14-1</f>
        <v>9.6920530095616853E-2</v>
      </c>
    </row>
    <row r="17" spans="5:7">
      <c r="E17">
        <f>E14-SUM(E12,E10,E8,E6,E4)</f>
        <v>0</v>
      </c>
      <c r="F17">
        <f>F14-SUM(F12,F10,F8,F6,F4)</f>
        <v>0</v>
      </c>
      <c r="G17" s="1087">
        <f>G14-SUM(G12,G10,G8,G6,G4)</f>
        <v>-2.3190340000001015</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U48"/>
  <sheetViews>
    <sheetView zoomScale="90" zoomScaleNormal="90" workbookViewId="0">
      <selection activeCell="C14" sqref="C14"/>
    </sheetView>
  </sheetViews>
  <sheetFormatPr defaultColWidth="16.3984375" defaultRowHeight="15" outlineLevelCol="1"/>
  <cols>
    <col min="1" max="1" width="57" style="303" customWidth="1"/>
    <col min="2" max="2" width="19.3984375" style="303" bestFit="1" customWidth="1"/>
    <col min="3" max="3" width="20.59765625" style="312" customWidth="1"/>
    <col min="4" max="7" width="12.59765625" style="293" customWidth="1" outlineLevel="1"/>
    <col min="8" max="8" width="12.59765625" style="293" customWidth="1"/>
    <col min="9" max="12" width="12.59765625" style="293" customWidth="1" outlineLevel="1"/>
    <col min="13" max="13" width="12.59765625" style="293" customWidth="1"/>
    <col min="14" max="17" width="12.59765625" style="293" customWidth="1" outlineLevel="1"/>
    <col min="18" max="18" width="12.59765625" style="293" customWidth="1"/>
    <col min="19" max="22" width="12.59765625" style="293" customWidth="1" outlineLevel="1"/>
    <col min="23" max="28" width="12.59765625" style="293" customWidth="1"/>
    <col min="29" max="32" width="16.3984375" style="293"/>
    <col min="33" max="53" width="14" style="293" customWidth="1"/>
    <col min="54" max="54" width="19.59765625" style="293" bestFit="1" customWidth="1"/>
    <col min="55" max="55" width="2" style="293" bestFit="1" customWidth="1"/>
    <col min="56" max="56" width="17.3984375" style="293" bestFit="1" customWidth="1"/>
    <col min="57" max="227" width="16.3984375" style="293"/>
    <col min="228" max="228" width="57.3984375" style="293" customWidth="1"/>
    <col min="229" max="229" width="62.3984375" style="293" customWidth="1"/>
    <col min="230" max="230" width="13.86328125" style="293" customWidth="1"/>
    <col min="231" max="231" width="12.86328125" style="293" customWidth="1"/>
    <col min="232" max="235" width="0" style="293" hidden="1" customWidth="1"/>
    <col min="236" max="236" width="12.86328125" style="293" bestFit="1" customWidth="1"/>
    <col min="237" max="240" width="0" style="293" hidden="1" customWidth="1"/>
    <col min="241" max="241" width="13.1328125" style="293" bestFit="1" customWidth="1"/>
    <col min="242" max="245" width="0" style="293" hidden="1" customWidth="1"/>
    <col min="246" max="246" width="13.1328125" style="293" bestFit="1" customWidth="1"/>
    <col min="247" max="250" width="11.59765625" style="293" bestFit="1" customWidth="1"/>
    <col min="251" max="251" width="14.3984375" style="293" bestFit="1" customWidth="1"/>
    <col min="252" max="281" width="16.3984375" style="293"/>
    <col min="282" max="282" width="57" style="293" customWidth="1"/>
    <col min="283" max="283" width="19.3984375" style="293" bestFit="1" customWidth="1"/>
    <col min="284" max="284" width="14.59765625" style="293" bestFit="1" customWidth="1"/>
    <col min="285" max="304" width="12.59765625" style="293" customWidth="1"/>
    <col min="305" max="308" width="16.3984375" style="293"/>
    <col min="309" max="309" width="1.59765625" style="293" bestFit="1" customWidth="1"/>
    <col min="310" max="310" width="19.59765625" style="293" bestFit="1" customWidth="1"/>
    <col min="311" max="311" width="2" style="293" bestFit="1" customWidth="1"/>
    <col min="312" max="312" width="17.3984375" style="293" bestFit="1" customWidth="1"/>
    <col min="313" max="483" width="16.3984375" style="293"/>
    <col min="484" max="484" width="57.3984375" style="293" customWidth="1"/>
    <col min="485" max="485" width="62.3984375" style="293" customWidth="1"/>
    <col min="486" max="486" width="13.86328125" style="293" customWidth="1"/>
    <col min="487" max="487" width="12.86328125" style="293" customWidth="1"/>
    <col min="488" max="491" width="0" style="293" hidden="1" customWidth="1"/>
    <col min="492" max="492" width="12.86328125" style="293" bestFit="1" customWidth="1"/>
    <col min="493" max="496" width="0" style="293" hidden="1" customWidth="1"/>
    <col min="497" max="497" width="13.1328125" style="293" bestFit="1" customWidth="1"/>
    <col min="498" max="501" width="0" style="293" hidden="1" customWidth="1"/>
    <col min="502" max="502" width="13.1328125" style="293" bestFit="1" customWidth="1"/>
    <col min="503" max="506" width="11.59765625" style="293" bestFit="1" customWidth="1"/>
    <col min="507" max="507" width="14.3984375" style="293" bestFit="1" customWidth="1"/>
    <col min="508" max="537" width="16.3984375" style="293"/>
    <col min="538" max="538" width="57" style="293" customWidth="1"/>
    <col min="539" max="539" width="19.3984375" style="293" bestFit="1" customWidth="1"/>
    <col min="540" max="540" width="14.59765625" style="293" bestFit="1" customWidth="1"/>
    <col min="541" max="560" width="12.59765625" style="293" customWidth="1"/>
    <col min="561" max="564" width="16.3984375" style="293"/>
    <col min="565" max="565" width="1.59765625" style="293" bestFit="1" customWidth="1"/>
    <col min="566" max="566" width="19.59765625" style="293" bestFit="1" customWidth="1"/>
    <col min="567" max="567" width="2" style="293" bestFit="1" customWidth="1"/>
    <col min="568" max="568" width="17.3984375" style="293" bestFit="1" customWidth="1"/>
    <col min="569" max="739" width="16.3984375" style="293"/>
    <col min="740" max="740" width="57.3984375" style="293" customWidth="1"/>
    <col min="741" max="741" width="62.3984375" style="293" customWidth="1"/>
    <col min="742" max="742" width="13.86328125" style="293" customWidth="1"/>
    <col min="743" max="743" width="12.86328125" style="293" customWidth="1"/>
    <col min="744" max="747" width="0" style="293" hidden="1" customWidth="1"/>
    <col min="748" max="748" width="12.86328125" style="293" bestFit="1" customWidth="1"/>
    <col min="749" max="752" width="0" style="293" hidden="1" customWidth="1"/>
    <col min="753" max="753" width="13.1328125" style="293" bestFit="1" customWidth="1"/>
    <col min="754" max="757" width="0" style="293" hidden="1" customWidth="1"/>
    <col min="758" max="758" width="13.1328125" style="293" bestFit="1" customWidth="1"/>
    <col min="759" max="762" width="11.59765625" style="293" bestFit="1" customWidth="1"/>
    <col min="763" max="763" width="14.3984375" style="293" bestFit="1" customWidth="1"/>
    <col min="764" max="793" width="16.3984375" style="293"/>
    <col min="794" max="794" width="57" style="293" customWidth="1"/>
    <col min="795" max="795" width="19.3984375" style="293" bestFit="1" customWidth="1"/>
    <col min="796" max="796" width="14.59765625" style="293" bestFit="1" customWidth="1"/>
    <col min="797" max="816" width="12.59765625" style="293" customWidth="1"/>
    <col min="817" max="820" width="16.3984375" style="293"/>
    <col min="821" max="821" width="1.59765625" style="293" bestFit="1" customWidth="1"/>
    <col min="822" max="822" width="19.59765625" style="293" bestFit="1" customWidth="1"/>
    <col min="823" max="823" width="2" style="293" bestFit="1" customWidth="1"/>
    <col min="824" max="824" width="17.3984375" style="293" bestFit="1" customWidth="1"/>
    <col min="825" max="995" width="16.3984375" style="293"/>
    <col min="996" max="996" width="57.3984375" style="293" customWidth="1"/>
    <col min="997" max="997" width="62.3984375" style="293" customWidth="1"/>
    <col min="998" max="998" width="13.86328125" style="293" customWidth="1"/>
    <col min="999" max="999" width="12.86328125" style="293" customWidth="1"/>
    <col min="1000" max="1003" width="0" style="293" hidden="1" customWidth="1"/>
    <col min="1004" max="1004" width="12.86328125" style="293" bestFit="1" customWidth="1"/>
    <col min="1005" max="1008" width="0" style="293" hidden="1" customWidth="1"/>
    <col min="1009" max="1009" width="13.1328125" style="293" bestFit="1" customWidth="1"/>
    <col min="1010" max="1013" width="0" style="293" hidden="1" customWidth="1"/>
    <col min="1014" max="1014" width="13.1328125" style="293" bestFit="1" customWidth="1"/>
    <col min="1015" max="1018" width="11.59765625" style="293" bestFit="1" customWidth="1"/>
    <col min="1019" max="1019" width="14.3984375" style="293" bestFit="1" customWidth="1"/>
    <col min="1020" max="1049" width="16.3984375" style="293"/>
    <col min="1050" max="1050" width="57" style="293" customWidth="1"/>
    <col min="1051" max="1051" width="19.3984375" style="293" bestFit="1" customWidth="1"/>
    <col min="1052" max="1052" width="14.59765625" style="293" bestFit="1" customWidth="1"/>
    <col min="1053" max="1072" width="12.59765625" style="293" customWidth="1"/>
    <col min="1073" max="1076" width="16.3984375" style="293"/>
    <col min="1077" max="1077" width="1.59765625" style="293" bestFit="1" customWidth="1"/>
    <col min="1078" max="1078" width="19.59765625" style="293" bestFit="1" customWidth="1"/>
    <col min="1079" max="1079" width="2" style="293" bestFit="1" customWidth="1"/>
    <col min="1080" max="1080" width="17.3984375" style="293" bestFit="1" customWidth="1"/>
    <col min="1081" max="1251" width="16.3984375" style="293"/>
    <col min="1252" max="1252" width="57.3984375" style="293" customWidth="1"/>
    <col min="1253" max="1253" width="62.3984375" style="293" customWidth="1"/>
    <col min="1254" max="1254" width="13.86328125" style="293" customWidth="1"/>
    <col min="1255" max="1255" width="12.86328125" style="293" customWidth="1"/>
    <col min="1256" max="1259" width="0" style="293" hidden="1" customWidth="1"/>
    <col min="1260" max="1260" width="12.86328125" style="293" bestFit="1" customWidth="1"/>
    <col min="1261" max="1264" width="0" style="293" hidden="1" customWidth="1"/>
    <col min="1265" max="1265" width="13.1328125" style="293" bestFit="1" customWidth="1"/>
    <col min="1266" max="1269" width="0" style="293" hidden="1" customWidth="1"/>
    <col min="1270" max="1270" width="13.1328125" style="293" bestFit="1" customWidth="1"/>
    <col min="1271" max="1274" width="11.59765625" style="293" bestFit="1" customWidth="1"/>
    <col min="1275" max="1275" width="14.3984375" style="293" bestFit="1" customWidth="1"/>
    <col min="1276" max="1305" width="16.3984375" style="293"/>
    <col min="1306" max="1306" width="57" style="293" customWidth="1"/>
    <col min="1307" max="1307" width="19.3984375" style="293" bestFit="1" customWidth="1"/>
    <col min="1308" max="1308" width="14.59765625" style="293" bestFit="1" customWidth="1"/>
    <col min="1309" max="1328" width="12.59765625" style="293" customWidth="1"/>
    <col min="1329" max="1332" width="16.3984375" style="293"/>
    <col min="1333" max="1333" width="1.59765625" style="293" bestFit="1" customWidth="1"/>
    <col min="1334" max="1334" width="19.59765625" style="293" bestFit="1" customWidth="1"/>
    <col min="1335" max="1335" width="2" style="293" bestFit="1" customWidth="1"/>
    <col min="1336" max="1336" width="17.3984375" style="293" bestFit="1" customWidth="1"/>
    <col min="1337" max="1507" width="16.3984375" style="293"/>
    <col min="1508" max="1508" width="57.3984375" style="293" customWidth="1"/>
    <col min="1509" max="1509" width="62.3984375" style="293" customWidth="1"/>
    <col min="1510" max="1510" width="13.86328125" style="293" customWidth="1"/>
    <col min="1511" max="1511" width="12.86328125" style="293" customWidth="1"/>
    <col min="1512" max="1515" width="0" style="293" hidden="1" customWidth="1"/>
    <col min="1516" max="1516" width="12.86328125" style="293" bestFit="1" customWidth="1"/>
    <col min="1517" max="1520" width="0" style="293" hidden="1" customWidth="1"/>
    <col min="1521" max="1521" width="13.1328125" style="293" bestFit="1" customWidth="1"/>
    <col min="1522" max="1525" width="0" style="293" hidden="1" customWidth="1"/>
    <col min="1526" max="1526" width="13.1328125" style="293" bestFit="1" customWidth="1"/>
    <col min="1527" max="1530" width="11.59765625" style="293" bestFit="1" customWidth="1"/>
    <col min="1531" max="1531" width="14.3984375" style="293" bestFit="1" customWidth="1"/>
    <col min="1532" max="1561" width="16.3984375" style="293"/>
    <col min="1562" max="1562" width="57" style="293" customWidth="1"/>
    <col min="1563" max="1563" width="19.3984375" style="293" bestFit="1" customWidth="1"/>
    <col min="1564" max="1564" width="14.59765625" style="293" bestFit="1" customWidth="1"/>
    <col min="1565" max="1584" width="12.59765625" style="293" customWidth="1"/>
    <col min="1585" max="1588" width="16.3984375" style="293"/>
    <col min="1589" max="1589" width="1.59765625" style="293" bestFit="1" customWidth="1"/>
    <col min="1590" max="1590" width="19.59765625" style="293" bestFit="1" customWidth="1"/>
    <col min="1591" max="1591" width="2" style="293" bestFit="1" customWidth="1"/>
    <col min="1592" max="1592" width="17.3984375" style="293" bestFit="1" customWidth="1"/>
    <col min="1593" max="1763" width="16.3984375" style="293"/>
    <col min="1764" max="1764" width="57.3984375" style="293" customWidth="1"/>
    <col min="1765" max="1765" width="62.3984375" style="293" customWidth="1"/>
    <col min="1766" max="1766" width="13.86328125" style="293" customWidth="1"/>
    <col min="1767" max="1767" width="12.86328125" style="293" customWidth="1"/>
    <col min="1768" max="1771" width="0" style="293" hidden="1" customWidth="1"/>
    <col min="1772" max="1772" width="12.86328125" style="293" bestFit="1" customWidth="1"/>
    <col min="1773" max="1776" width="0" style="293" hidden="1" customWidth="1"/>
    <col min="1777" max="1777" width="13.1328125" style="293" bestFit="1" customWidth="1"/>
    <col min="1778" max="1781" width="0" style="293" hidden="1" customWidth="1"/>
    <col min="1782" max="1782" width="13.1328125" style="293" bestFit="1" customWidth="1"/>
    <col min="1783" max="1786" width="11.59765625" style="293" bestFit="1" customWidth="1"/>
    <col min="1787" max="1787" width="14.3984375" style="293" bestFit="1" customWidth="1"/>
    <col min="1788" max="1817" width="16.3984375" style="293"/>
    <col min="1818" max="1818" width="57" style="293" customWidth="1"/>
    <col min="1819" max="1819" width="19.3984375" style="293" bestFit="1" customWidth="1"/>
    <col min="1820" max="1820" width="14.59765625" style="293" bestFit="1" customWidth="1"/>
    <col min="1821" max="1840" width="12.59765625" style="293" customWidth="1"/>
    <col min="1841" max="1844" width="16.3984375" style="293"/>
    <col min="1845" max="1845" width="1.59765625" style="293" bestFit="1" customWidth="1"/>
    <col min="1846" max="1846" width="19.59765625" style="293" bestFit="1" customWidth="1"/>
    <col min="1847" max="1847" width="2" style="293" bestFit="1" customWidth="1"/>
    <col min="1848" max="1848" width="17.3984375" style="293" bestFit="1" customWidth="1"/>
    <col min="1849" max="2019" width="16.3984375" style="293"/>
    <col min="2020" max="2020" width="57.3984375" style="293" customWidth="1"/>
    <col min="2021" max="2021" width="62.3984375" style="293" customWidth="1"/>
    <col min="2022" max="2022" width="13.86328125" style="293" customWidth="1"/>
    <col min="2023" max="2023" width="12.86328125" style="293" customWidth="1"/>
    <col min="2024" max="2027" width="0" style="293" hidden="1" customWidth="1"/>
    <col min="2028" max="2028" width="12.86328125" style="293" bestFit="1" customWidth="1"/>
    <col min="2029" max="2032" width="0" style="293" hidden="1" customWidth="1"/>
    <col min="2033" max="2033" width="13.1328125" style="293" bestFit="1" customWidth="1"/>
    <col min="2034" max="2037" width="0" style="293" hidden="1" customWidth="1"/>
    <col min="2038" max="2038" width="13.1328125" style="293" bestFit="1" customWidth="1"/>
    <col min="2039" max="2042" width="11.59765625" style="293" bestFit="1" customWidth="1"/>
    <col min="2043" max="2043" width="14.3984375" style="293" bestFit="1" customWidth="1"/>
    <col min="2044" max="2073" width="16.3984375" style="293"/>
    <col min="2074" max="2074" width="57" style="293" customWidth="1"/>
    <col min="2075" max="2075" width="19.3984375" style="293" bestFit="1" customWidth="1"/>
    <col min="2076" max="2076" width="14.59765625" style="293" bestFit="1" customWidth="1"/>
    <col min="2077" max="2096" width="12.59765625" style="293" customWidth="1"/>
    <col min="2097" max="2100" width="16.3984375" style="293"/>
    <col min="2101" max="2101" width="1.59765625" style="293" bestFit="1" customWidth="1"/>
    <col min="2102" max="2102" width="19.59765625" style="293" bestFit="1" customWidth="1"/>
    <col min="2103" max="2103" width="2" style="293" bestFit="1" customWidth="1"/>
    <col min="2104" max="2104" width="17.3984375" style="293" bestFit="1" customWidth="1"/>
    <col min="2105" max="2275" width="16.3984375" style="293"/>
    <col min="2276" max="2276" width="57.3984375" style="293" customWidth="1"/>
    <col min="2277" max="2277" width="62.3984375" style="293" customWidth="1"/>
    <col min="2278" max="2278" width="13.86328125" style="293" customWidth="1"/>
    <col min="2279" max="2279" width="12.86328125" style="293" customWidth="1"/>
    <col min="2280" max="2283" width="0" style="293" hidden="1" customWidth="1"/>
    <col min="2284" max="2284" width="12.86328125" style="293" bestFit="1" customWidth="1"/>
    <col min="2285" max="2288" width="0" style="293" hidden="1" customWidth="1"/>
    <col min="2289" max="2289" width="13.1328125" style="293" bestFit="1" customWidth="1"/>
    <col min="2290" max="2293" width="0" style="293" hidden="1" customWidth="1"/>
    <col min="2294" max="2294" width="13.1328125" style="293" bestFit="1" customWidth="1"/>
    <col min="2295" max="2298" width="11.59765625" style="293" bestFit="1" customWidth="1"/>
    <col min="2299" max="2299" width="14.3984375" style="293" bestFit="1" customWidth="1"/>
    <col min="2300" max="2329" width="16.3984375" style="293"/>
    <col min="2330" max="2330" width="57" style="293" customWidth="1"/>
    <col min="2331" max="2331" width="19.3984375" style="293" bestFit="1" customWidth="1"/>
    <col min="2332" max="2332" width="14.59765625" style="293" bestFit="1" customWidth="1"/>
    <col min="2333" max="2352" width="12.59765625" style="293" customWidth="1"/>
    <col min="2353" max="2356" width="16.3984375" style="293"/>
    <col min="2357" max="2357" width="1.59765625" style="293" bestFit="1" customWidth="1"/>
    <col min="2358" max="2358" width="19.59765625" style="293" bestFit="1" customWidth="1"/>
    <col min="2359" max="2359" width="2" style="293" bestFit="1" customWidth="1"/>
    <col min="2360" max="2360" width="17.3984375" style="293" bestFit="1" customWidth="1"/>
    <col min="2361" max="2531" width="16.3984375" style="293"/>
    <col min="2532" max="2532" width="57.3984375" style="293" customWidth="1"/>
    <col min="2533" max="2533" width="62.3984375" style="293" customWidth="1"/>
    <col min="2534" max="2534" width="13.86328125" style="293" customWidth="1"/>
    <col min="2535" max="2535" width="12.86328125" style="293" customWidth="1"/>
    <col min="2536" max="2539" width="0" style="293" hidden="1" customWidth="1"/>
    <col min="2540" max="2540" width="12.86328125" style="293" bestFit="1" customWidth="1"/>
    <col min="2541" max="2544" width="0" style="293" hidden="1" customWidth="1"/>
    <col min="2545" max="2545" width="13.1328125" style="293" bestFit="1" customWidth="1"/>
    <col min="2546" max="2549" width="0" style="293" hidden="1" customWidth="1"/>
    <col min="2550" max="2550" width="13.1328125" style="293" bestFit="1" customWidth="1"/>
    <col min="2551" max="2554" width="11.59765625" style="293" bestFit="1" customWidth="1"/>
    <col min="2555" max="2555" width="14.3984375" style="293" bestFit="1" customWidth="1"/>
    <col min="2556" max="2585" width="16.3984375" style="293"/>
    <col min="2586" max="2586" width="57" style="293" customWidth="1"/>
    <col min="2587" max="2587" width="19.3984375" style="293" bestFit="1" customWidth="1"/>
    <col min="2588" max="2588" width="14.59765625" style="293" bestFit="1" customWidth="1"/>
    <col min="2589" max="2608" width="12.59765625" style="293" customWidth="1"/>
    <col min="2609" max="2612" width="16.3984375" style="293"/>
    <col min="2613" max="2613" width="1.59765625" style="293" bestFit="1" customWidth="1"/>
    <col min="2614" max="2614" width="19.59765625" style="293" bestFit="1" customWidth="1"/>
    <col min="2615" max="2615" width="2" style="293" bestFit="1" customWidth="1"/>
    <col min="2616" max="2616" width="17.3984375" style="293" bestFit="1" customWidth="1"/>
    <col min="2617" max="2787" width="16.3984375" style="293"/>
    <col min="2788" max="2788" width="57.3984375" style="293" customWidth="1"/>
    <col min="2789" max="2789" width="62.3984375" style="293" customWidth="1"/>
    <col min="2790" max="2790" width="13.86328125" style="293" customWidth="1"/>
    <col min="2791" max="2791" width="12.86328125" style="293" customWidth="1"/>
    <col min="2792" max="2795" width="0" style="293" hidden="1" customWidth="1"/>
    <col min="2796" max="2796" width="12.86328125" style="293" bestFit="1" customWidth="1"/>
    <col min="2797" max="2800" width="0" style="293" hidden="1" customWidth="1"/>
    <col min="2801" max="2801" width="13.1328125" style="293" bestFit="1" customWidth="1"/>
    <col min="2802" max="2805" width="0" style="293" hidden="1" customWidth="1"/>
    <col min="2806" max="2806" width="13.1328125" style="293" bestFit="1" customWidth="1"/>
    <col min="2807" max="2810" width="11.59765625" style="293" bestFit="1" customWidth="1"/>
    <col min="2811" max="2811" width="14.3984375" style="293" bestFit="1" customWidth="1"/>
    <col min="2812" max="2841" width="16.3984375" style="293"/>
    <col min="2842" max="2842" width="57" style="293" customWidth="1"/>
    <col min="2843" max="2843" width="19.3984375" style="293" bestFit="1" customWidth="1"/>
    <col min="2844" max="2844" width="14.59765625" style="293" bestFit="1" customWidth="1"/>
    <col min="2845" max="2864" width="12.59765625" style="293" customWidth="1"/>
    <col min="2865" max="2868" width="16.3984375" style="293"/>
    <col min="2869" max="2869" width="1.59765625" style="293" bestFit="1" customWidth="1"/>
    <col min="2870" max="2870" width="19.59765625" style="293" bestFit="1" customWidth="1"/>
    <col min="2871" max="2871" width="2" style="293" bestFit="1" customWidth="1"/>
    <col min="2872" max="2872" width="17.3984375" style="293" bestFit="1" customWidth="1"/>
    <col min="2873" max="3043" width="16.3984375" style="293"/>
    <col min="3044" max="3044" width="57.3984375" style="293" customWidth="1"/>
    <col min="3045" max="3045" width="62.3984375" style="293" customWidth="1"/>
    <col min="3046" max="3046" width="13.86328125" style="293" customWidth="1"/>
    <col min="3047" max="3047" width="12.86328125" style="293" customWidth="1"/>
    <col min="3048" max="3051" width="0" style="293" hidden="1" customWidth="1"/>
    <col min="3052" max="3052" width="12.86328125" style="293" bestFit="1" customWidth="1"/>
    <col min="3053" max="3056" width="0" style="293" hidden="1" customWidth="1"/>
    <col min="3057" max="3057" width="13.1328125" style="293" bestFit="1" customWidth="1"/>
    <col min="3058" max="3061" width="0" style="293" hidden="1" customWidth="1"/>
    <col min="3062" max="3062" width="13.1328125" style="293" bestFit="1" customWidth="1"/>
    <col min="3063" max="3066" width="11.59765625" style="293" bestFit="1" customWidth="1"/>
    <col min="3067" max="3067" width="14.3984375" style="293" bestFit="1" customWidth="1"/>
    <col min="3068" max="3097" width="16.3984375" style="293"/>
    <col min="3098" max="3098" width="57" style="293" customWidth="1"/>
    <col min="3099" max="3099" width="19.3984375" style="293" bestFit="1" customWidth="1"/>
    <col min="3100" max="3100" width="14.59765625" style="293" bestFit="1" customWidth="1"/>
    <col min="3101" max="3120" width="12.59765625" style="293" customWidth="1"/>
    <col min="3121" max="3124" width="16.3984375" style="293"/>
    <col min="3125" max="3125" width="1.59765625" style="293" bestFit="1" customWidth="1"/>
    <col min="3126" max="3126" width="19.59765625" style="293" bestFit="1" customWidth="1"/>
    <col min="3127" max="3127" width="2" style="293" bestFit="1" customWidth="1"/>
    <col min="3128" max="3128" width="17.3984375" style="293" bestFit="1" customWidth="1"/>
    <col min="3129" max="3299" width="16.3984375" style="293"/>
    <col min="3300" max="3300" width="57.3984375" style="293" customWidth="1"/>
    <col min="3301" max="3301" width="62.3984375" style="293" customWidth="1"/>
    <col min="3302" max="3302" width="13.86328125" style="293" customWidth="1"/>
    <col min="3303" max="3303" width="12.86328125" style="293" customWidth="1"/>
    <col min="3304" max="3307" width="0" style="293" hidden="1" customWidth="1"/>
    <col min="3308" max="3308" width="12.86328125" style="293" bestFit="1" customWidth="1"/>
    <col min="3309" max="3312" width="0" style="293" hidden="1" customWidth="1"/>
    <col min="3313" max="3313" width="13.1328125" style="293" bestFit="1" customWidth="1"/>
    <col min="3314" max="3317" width="0" style="293" hidden="1" customWidth="1"/>
    <col min="3318" max="3318" width="13.1328125" style="293" bestFit="1" customWidth="1"/>
    <col min="3319" max="3322" width="11.59765625" style="293" bestFit="1" customWidth="1"/>
    <col min="3323" max="3323" width="14.3984375" style="293" bestFit="1" customWidth="1"/>
    <col min="3324" max="3353" width="16.3984375" style="293"/>
    <col min="3354" max="3354" width="57" style="293" customWidth="1"/>
    <col min="3355" max="3355" width="19.3984375" style="293" bestFit="1" customWidth="1"/>
    <col min="3356" max="3356" width="14.59765625" style="293" bestFit="1" customWidth="1"/>
    <col min="3357" max="3376" width="12.59765625" style="293" customWidth="1"/>
    <col min="3377" max="3380" width="16.3984375" style="293"/>
    <col min="3381" max="3381" width="1.59765625" style="293" bestFit="1" customWidth="1"/>
    <col min="3382" max="3382" width="19.59765625" style="293" bestFit="1" customWidth="1"/>
    <col min="3383" max="3383" width="2" style="293" bestFit="1" customWidth="1"/>
    <col min="3384" max="3384" width="17.3984375" style="293" bestFit="1" customWidth="1"/>
    <col min="3385" max="3555" width="16.3984375" style="293"/>
    <col min="3556" max="3556" width="57.3984375" style="293" customWidth="1"/>
    <col min="3557" max="3557" width="62.3984375" style="293" customWidth="1"/>
    <col min="3558" max="3558" width="13.86328125" style="293" customWidth="1"/>
    <col min="3559" max="3559" width="12.86328125" style="293" customWidth="1"/>
    <col min="3560" max="3563" width="0" style="293" hidden="1" customWidth="1"/>
    <col min="3564" max="3564" width="12.86328125" style="293" bestFit="1" customWidth="1"/>
    <col min="3565" max="3568" width="0" style="293" hidden="1" customWidth="1"/>
    <col min="3569" max="3569" width="13.1328125" style="293" bestFit="1" customWidth="1"/>
    <col min="3570" max="3573" width="0" style="293" hidden="1" customWidth="1"/>
    <col min="3574" max="3574" width="13.1328125" style="293" bestFit="1" customWidth="1"/>
    <col min="3575" max="3578" width="11.59765625" style="293" bestFit="1" customWidth="1"/>
    <col min="3579" max="3579" width="14.3984375" style="293" bestFit="1" customWidth="1"/>
    <col min="3580" max="3609" width="16.3984375" style="293"/>
    <col min="3610" max="3610" width="57" style="293" customWidth="1"/>
    <col min="3611" max="3611" width="19.3984375" style="293" bestFit="1" customWidth="1"/>
    <col min="3612" max="3612" width="14.59765625" style="293" bestFit="1" customWidth="1"/>
    <col min="3613" max="3632" width="12.59765625" style="293" customWidth="1"/>
    <col min="3633" max="3636" width="16.3984375" style="293"/>
    <col min="3637" max="3637" width="1.59765625" style="293" bestFit="1" customWidth="1"/>
    <col min="3638" max="3638" width="19.59765625" style="293" bestFit="1" customWidth="1"/>
    <col min="3639" max="3639" width="2" style="293" bestFit="1" customWidth="1"/>
    <col min="3640" max="3640" width="17.3984375" style="293" bestFit="1" customWidth="1"/>
    <col min="3641" max="3811" width="16.3984375" style="293"/>
    <col min="3812" max="3812" width="57.3984375" style="293" customWidth="1"/>
    <col min="3813" max="3813" width="62.3984375" style="293" customWidth="1"/>
    <col min="3814" max="3814" width="13.86328125" style="293" customWidth="1"/>
    <col min="3815" max="3815" width="12.86328125" style="293" customWidth="1"/>
    <col min="3816" max="3819" width="0" style="293" hidden="1" customWidth="1"/>
    <col min="3820" max="3820" width="12.86328125" style="293" bestFit="1" customWidth="1"/>
    <col min="3821" max="3824" width="0" style="293" hidden="1" customWidth="1"/>
    <col min="3825" max="3825" width="13.1328125" style="293" bestFit="1" customWidth="1"/>
    <col min="3826" max="3829" width="0" style="293" hidden="1" customWidth="1"/>
    <col min="3830" max="3830" width="13.1328125" style="293" bestFit="1" customWidth="1"/>
    <col min="3831" max="3834" width="11.59765625" style="293" bestFit="1" customWidth="1"/>
    <col min="3835" max="3835" width="14.3984375" style="293" bestFit="1" customWidth="1"/>
    <col min="3836" max="3865" width="16.3984375" style="293"/>
    <col min="3866" max="3866" width="57" style="293" customWidth="1"/>
    <col min="3867" max="3867" width="19.3984375" style="293" bestFit="1" customWidth="1"/>
    <col min="3868" max="3868" width="14.59765625" style="293" bestFit="1" customWidth="1"/>
    <col min="3869" max="3888" width="12.59765625" style="293" customWidth="1"/>
    <col min="3889" max="3892" width="16.3984375" style="293"/>
    <col min="3893" max="3893" width="1.59765625" style="293" bestFit="1" customWidth="1"/>
    <col min="3894" max="3894" width="19.59765625" style="293" bestFit="1" customWidth="1"/>
    <col min="3895" max="3895" width="2" style="293" bestFit="1" customWidth="1"/>
    <col min="3896" max="3896" width="17.3984375" style="293" bestFit="1" customWidth="1"/>
    <col min="3897" max="4067" width="16.3984375" style="293"/>
    <col min="4068" max="4068" width="57.3984375" style="293" customWidth="1"/>
    <col min="4069" max="4069" width="62.3984375" style="293" customWidth="1"/>
    <col min="4070" max="4070" width="13.86328125" style="293" customWidth="1"/>
    <col min="4071" max="4071" width="12.86328125" style="293" customWidth="1"/>
    <col min="4072" max="4075" width="0" style="293" hidden="1" customWidth="1"/>
    <col min="4076" max="4076" width="12.86328125" style="293" bestFit="1" customWidth="1"/>
    <col min="4077" max="4080" width="0" style="293" hidden="1" customWidth="1"/>
    <col min="4081" max="4081" width="13.1328125" style="293" bestFit="1" customWidth="1"/>
    <col min="4082" max="4085" width="0" style="293" hidden="1" customWidth="1"/>
    <col min="4086" max="4086" width="13.1328125" style="293" bestFit="1" customWidth="1"/>
    <col min="4087" max="4090" width="11.59765625" style="293" bestFit="1" customWidth="1"/>
    <col min="4091" max="4091" width="14.3984375" style="293" bestFit="1" customWidth="1"/>
    <col min="4092" max="4121" width="16.3984375" style="293"/>
    <col min="4122" max="4122" width="57" style="293" customWidth="1"/>
    <col min="4123" max="4123" width="19.3984375" style="293" bestFit="1" customWidth="1"/>
    <col min="4124" max="4124" width="14.59765625" style="293" bestFit="1" customWidth="1"/>
    <col min="4125" max="4144" width="12.59765625" style="293" customWidth="1"/>
    <col min="4145" max="4148" width="16.3984375" style="293"/>
    <col min="4149" max="4149" width="1.59765625" style="293" bestFit="1" customWidth="1"/>
    <col min="4150" max="4150" width="19.59765625" style="293" bestFit="1" customWidth="1"/>
    <col min="4151" max="4151" width="2" style="293" bestFit="1" customWidth="1"/>
    <col min="4152" max="4152" width="17.3984375" style="293" bestFit="1" customWidth="1"/>
    <col min="4153" max="4323" width="16.3984375" style="293"/>
    <col min="4324" max="4324" width="57.3984375" style="293" customWidth="1"/>
    <col min="4325" max="4325" width="62.3984375" style="293" customWidth="1"/>
    <col min="4326" max="4326" width="13.86328125" style="293" customWidth="1"/>
    <col min="4327" max="4327" width="12.86328125" style="293" customWidth="1"/>
    <col min="4328" max="4331" width="0" style="293" hidden="1" customWidth="1"/>
    <col min="4332" max="4332" width="12.86328125" style="293" bestFit="1" customWidth="1"/>
    <col min="4333" max="4336" width="0" style="293" hidden="1" customWidth="1"/>
    <col min="4337" max="4337" width="13.1328125" style="293" bestFit="1" customWidth="1"/>
    <col min="4338" max="4341" width="0" style="293" hidden="1" customWidth="1"/>
    <col min="4342" max="4342" width="13.1328125" style="293" bestFit="1" customWidth="1"/>
    <col min="4343" max="4346" width="11.59765625" style="293" bestFit="1" customWidth="1"/>
    <col min="4347" max="4347" width="14.3984375" style="293" bestFit="1" customWidth="1"/>
    <col min="4348" max="4377" width="16.3984375" style="293"/>
    <col min="4378" max="4378" width="57" style="293" customWidth="1"/>
    <col min="4379" max="4379" width="19.3984375" style="293" bestFit="1" customWidth="1"/>
    <col min="4380" max="4380" width="14.59765625" style="293" bestFit="1" customWidth="1"/>
    <col min="4381" max="4400" width="12.59765625" style="293" customWidth="1"/>
    <col min="4401" max="4404" width="16.3984375" style="293"/>
    <col min="4405" max="4405" width="1.59765625" style="293" bestFit="1" customWidth="1"/>
    <col min="4406" max="4406" width="19.59765625" style="293" bestFit="1" customWidth="1"/>
    <col min="4407" max="4407" width="2" style="293" bestFit="1" customWidth="1"/>
    <col min="4408" max="4408" width="17.3984375" style="293" bestFit="1" customWidth="1"/>
    <col min="4409" max="4579" width="16.3984375" style="293"/>
    <col min="4580" max="4580" width="57.3984375" style="293" customWidth="1"/>
    <col min="4581" max="4581" width="62.3984375" style="293" customWidth="1"/>
    <col min="4582" max="4582" width="13.86328125" style="293" customWidth="1"/>
    <col min="4583" max="4583" width="12.86328125" style="293" customWidth="1"/>
    <col min="4584" max="4587" width="0" style="293" hidden="1" customWidth="1"/>
    <col min="4588" max="4588" width="12.86328125" style="293" bestFit="1" customWidth="1"/>
    <col min="4589" max="4592" width="0" style="293" hidden="1" customWidth="1"/>
    <col min="4593" max="4593" width="13.1328125" style="293" bestFit="1" customWidth="1"/>
    <col min="4594" max="4597" width="0" style="293" hidden="1" customWidth="1"/>
    <col min="4598" max="4598" width="13.1328125" style="293" bestFit="1" customWidth="1"/>
    <col min="4599" max="4602" width="11.59765625" style="293" bestFit="1" customWidth="1"/>
    <col min="4603" max="4603" width="14.3984375" style="293" bestFit="1" customWidth="1"/>
    <col min="4604" max="4633" width="16.3984375" style="293"/>
    <col min="4634" max="4634" width="57" style="293" customWidth="1"/>
    <col min="4635" max="4635" width="19.3984375" style="293" bestFit="1" customWidth="1"/>
    <col min="4636" max="4636" width="14.59765625" style="293" bestFit="1" customWidth="1"/>
    <col min="4637" max="4656" width="12.59765625" style="293" customWidth="1"/>
    <col min="4657" max="4660" width="16.3984375" style="293"/>
    <col min="4661" max="4661" width="1.59765625" style="293" bestFit="1" customWidth="1"/>
    <col min="4662" max="4662" width="19.59765625" style="293" bestFit="1" customWidth="1"/>
    <col min="4663" max="4663" width="2" style="293" bestFit="1" customWidth="1"/>
    <col min="4664" max="4664" width="17.3984375" style="293" bestFit="1" customWidth="1"/>
    <col min="4665" max="4835" width="16.3984375" style="293"/>
    <col min="4836" max="4836" width="57.3984375" style="293" customWidth="1"/>
    <col min="4837" max="4837" width="62.3984375" style="293" customWidth="1"/>
    <col min="4838" max="4838" width="13.86328125" style="293" customWidth="1"/>
    <col min="4839" max="4839" width="12.86328125" style="293" customWidth="1"/>
    <col min="4840" max="4843" width="0" style="293" hidden="1" customWidth="1"/>
    <col min="4844" max="4844" width="12.86328125" style="293" bestFit="1" customWidth="1"/>
    <col min="4845" max="4848" width="0" style="293" hidden="1" customWidth="1"/>
    <col min="4849" max="4849" width="13.1328125" style="293" bestFit="1" customWidth="1"/>
    <col min="4850" max="4853" width="0" style="293" hidden="1" customWidth="1"/>
    <col min="4854" max="4854" width="13.1328125" style="293" bestFit="1" customWidth="1"/>
    <col min="4855" max="4858" width="11.59765625" style="293" bestFit="1" customWidth="1"/>
    <col min="4859" max="4859" width="14.3984375" style="293" bestFit="1" customWidth="1"/>
    <col min="4860" max="4889" width="16.3984375" style="293"/>
    <col min="4890" max="4890" width="57" style="293" customWidth="1"/>
    <col min="4891" max="4891" width="19.3984375" style="293" bestFit="1" customWidth="1"/>
    <col min="4892" max="4892" width="14.59765625" style="293" bestFit="1" customWidth="1"/>
    <col min="4893" max="4912" width="12.59765625" style="293" customWidth="1"/>
    <col min="4913" max="4916" width="16.3984375" style="293"/>
    <col min="4917" max="4917" width="1.59765625" style="293" bestFit="1" customWidth="1"/>
    <col min="4918" max="4918" width="19.59765625" style="293" bestFit="1" customWidth="1"/>
    <col min="4919" max="4919" width="2" style="293" bestFit="1" customWidth="1"/>
    <col min="4920" max="4920" width="17.3984375" style="293" bestFit="1" customWidth="1"/>
    <col min="4921" max="5091" width="16.3984375" style="293"/>
    <col min="5092" max="5092" width="57.3984375" style="293" customWidth="1"/>
    <col min="5093" max="5093" width="62.3984375" style="293" customWidth="1"/>
    <col min="5094" max="5094" width="13.86328125" style="293" customWidth="1"/>
    <col min="5095" max="5095" width="12.86328125" style="293" customWidth="1"/>
    <col min="5096" max="5099" width="0" style="293" hidden="1" customWidth="1"/>
    <col min="5100" max="5100" width="12.86328125" style="293" bestFit="1" customWidth="1"/>
    <col min="5101" max="5104" width="0" style="293" hidden="1" customWidth="1"/>
    <col min="5105" max="5105" width="13.1328125" style="293" bestFit="1" customWidth="1"/>
    <col min="5106" max="5109" width="0" style="293" hidden="1" customWidth="1"/>
    <col min="5110" max="5110" width="13.1328125" style="293" bestFit="1" customWidth="1"/>
    <col min="5111" max="5114" width="11.59765625" style="293" bestFit="1" customWidth="1"/>
    <col min="5115" max="5115" width="14.3984375" style="293" bestFit="1" customWidth="1"/>
    <col min="5116" max="5145" width="16.3984375" style="293"/>
    <col min="5146" max="5146" width="57" style="293" customWidth="1"/>
    <col min="5147" max="5147" width="19.3984375" style="293" bestFit="1" customWidth="1"/>
    <col min="5148" max="5148" width="14.59765625" style="293" bestFit="1" customWidth="1"/>
    <col min="5149" max="5168" width="12.59765625" style="293" customWidth="1"/>
    <col min="5169" max="5172" width="16.3984375" style="293"/>
    <col min="5173" max="5173" width="1.59765625" style="293" bestFit="1" customWidth="1"/>
    <col min="5174" max="5174" width="19.59765625" style="293" bestFit="1" customWidth="1"/>
    <col min="5175" max="5175" width="2" style="293" bestFit="1" customWidth="1"/>
    <col min="5176" max="5176" width="17.3984375" style="293" bestFit="1" customWidth="1"/>
    <col min="5177" max="5347" width="16.3984375" style="293"/>
    <col min="5348" max="5348" width="57.3984375" style="293" customWidth="1"/>
    <col min="5349" max="5349" width="62.3984375" style="293" customWidth="1"/>
    <col min="5350" max="5350" width="13.86328125" style="293" customWidth="1"/>
    <col min="5351" max="5351" width="12.86328125" style="293" customWidth="1"/>
    <col min="5352" max="5355" width="0" style="293" hidden="1" customWidth="1"/>
    <col min="5356" max="5356" width="12.86328125" style="293" bestFit="1" customWidth="1"/>
    <col min="5357" max="5360" width="0" style="293" hidden="1" customWidth="1"/>
    <col min="5361" max="5361" width="13.1328125" style="293" bestFit="1" customWidth="1"/>
    <col min="5362" max="5365" width="0" style="293" hidden="1" customWidth="1"/>
    <col min="5366" max="5366" width="13.1328125" style="293" bestFit="1" customWidth="1"/>
    <col min="5367" max="5370" width="11.59765625" style="293" bestFit="1" customWidth="1"/>
    <col min="5371" max="5371" width="14.3984375" style="293" bestFit="1" customWidth="1"/>
    <col min="5372" max="5401" width="16.3984375" style="293"/>
    <col min="5402" max="5402" width="57" style="293" customWidth="1"/>
    <col min="5403" max="5403" width="19.3984375" style="293" bestFit="1" customWidth="1"/>
    <col min="5404" max="5404" width="14.59765625" style="293" bestFit="1" customWidth="1"/>
    <col min="5405" max="5424" width="12.59765625" style="293" customWidth="1"/>
    <col min="5425" max="5428" width="16.3984375" style="293"/>
    <col min="5429" max="5429" width="1.59765625" style="293" bestFit="1" customWidth="1"/>
    <col min="5430" max="5430" width="19.59765625" style="293" bestFit="1" customWidth="1"/>
    <col min="5431" max="5431" width="2" style="293" bestFit="1" customWidth="1"/>
    <col min="5432" max="5432" width="17.3984375" style="293" bestFit="1" customWidth="1"/>
    <col min="5433" max="5603" width="16.3984375" style="293"/>
    <col min="5604" max="5604" width="57.3984375" style="293" customWidth="1"/>
    <col min="5605" max="5605" width="62.3984375" style="293" customWidth="1"/>
    <col min="5606" max="5606" width="13.86328125" style="293" customWidth="1"/>
    <col min="5607" max="5607" width="12.86328125" style="293" customWidth="1"/>
    <col min="5608" max="5611" width="0" style="293" hidden="1" customWidth="1"/>
    <col min="5612" max="5612" width="12.86328125" style="293" bestFit="1" customWidth="1"/>
    <col min="5613" max="5616" width="0" style="293" hidden="1" customWidth="1"/>
    <col min="5617" max="5617" width="13.1328125" style="293" bestFit="1" customWidth="1"/>
    <col min="5618" max="5621" width="0" style="293" hidden="1" customWidth="1"/>
    <col min="5622" max="5622" width="13.1328125" style="293" bestFit="1" customWidth="1"/>
    <col min="5623" max="5626" width="11.59765625" style="293" bestFit="1" customWidth="1"/>
    <col min="5627" max="5627" width="14.3984375" style="293" bestFit="1" customWidth="1"/>
    <col min="5628" max="5657" width="16.3984375" style="293"/>
    <col min="5658" max="5658" width="57" style="293" customWidth="1"/>
    <col min="5659" max="5659" width="19.3984375" style="293" bestFit="1" customWidth="1"/>
    <col min="5660" max="5660" width="14.59765625" style="293" bestFit="1" customWidth="1"/>
    <col min="5661" max="5680" width="12.59765625" style="293" customWidth="1"/>
    <col min="5681" max="5684" width="16.3984375" style="293"/>
    <col min="5685" max="5685" width="1.59765625" style="293" bestFit="1" customWidth="1"/>
    <col min="5686" max="5686" width="19.59765625" style="293" bestFit="1" customWidth="1"/>
    <col min="5687" max="5687" width="2" style="293" bestFit="1" customWidth="1"/>
    <col min="5688" max="5688" width="17.3984375" style="293" bestFit="1" customWidth="1"/>
    <col min="5689" max="5859" width="16.3984375" style="293"/>
    <col min="5860" max="5860" width="57.3984375" style="293" customWidth="1"/>
    <col min="5861" max="5861" width="62.3984375" style="293" customWidth="1"/>
    <col min="5862" max="5862" width="13.86328125" style="293" customWidth="1"/>
    <col min="5863" max="5863" width="12.86328125" style="293" customWidth="1"/>
    <col min="5864" max="5867" width="0" style="293" hidden="1" customWidth="1"/>
    <col min="5868" max="5868" width="12.86328125" style="293" bestFit="1" customWidth="1"/>
    <col min="5869" max="5872" width="0" style="293" hidden="1" customWidth="1"/>
    <col min="5873" max="5873" width="13.1328125" style="293" bestFit="1" customWidth="1"/>
    <col min="5874" max="5877" width="0" style="293" hidden="1" customWidth="1"/>
    <col min="5878" max="5878" width="13.1328125" style="293" bestFit="1" customWidth="1"/>
    <col min="5879" max="5882" width="11.59765625" style="293" bestFit="1" customWidth="1"/>
    <col min="5883" max="5883" width="14.3984375" style="293" bestFit="1" customWidth="1"/>
    <col min="5884" max="5913" width="16.3984375" style="293"/>
    <col min="5914" max="5914" width="57" style="293" customWidth="1"/>
    <col min="5915" max="5915" width="19.3984375" style="293" bestFit="1" customWidth="1"/>
    <col min="5916" max="5916" width="14.59765625" style="293" bestFit="1" customWidth="1"/>
    <col min="5917" max="5936" width="12.59765625" style="293" customWidth="1"/>
    <col min="5937" max="5940" width="16.3984375" style="293"/>
    <col min="5941" max="5941" width="1.59765625" style="293" bestFit="1" customWidth="1"/>
    <col min="5942" max="5942" width="19.59765625" style="293" bestFit="1" customWidth="1"/>
    <col min="5943" max="5943" width="2" style="293" bestFit="1" customWidth="1"/>
    <col min="5944" max="5944" width="17.3984375" style="293" bestFit="1" customWidth="1"/>
    <col min="5945" max="6115" width="16.3984375" style="293"/>
    <col min="6116" max="6116" width="57.3984375" style="293" customWidth="1"/>
    <col min="6117" max="6117" width="62.3984375" style="293" customWidth="1"/>
    <col min="6118" max="6118" width="13.86328125" style="293" customWidth="1"/>
    <col min="6119" max="6119" width="12.86328125" style="293" customWidth="1"/>
    <col min="6120" max="6123" width="0" style="293" hidden="1" customWidth="1"/>
    <col min="6124" max="6124" width="12.86328125" style="293" bestFit="1" customWidth="1"/>
    <col min="6125" max="6128" width="0" style="293" hidden="1" customWidth="1"/>
    <col min="6129" max="6129" width="13.1328125" style="293" bestFit="1" customWidth="1"/>
    <col min="6130" max="6133" width="0" style="293" hidden="1" customWidth="1"/>
    <col min="6134" max="6134" width="13.1328125" style="293" bestFit="1" customWidth="1"/>
    <col min="6135" max="6138" width="11.59765625" style="293" bestFit="1" customWidth="1"/>
    <col min="6139" max="6139" width="14.3984375" style="293" bestFit="1" customWidth="1"/>
    <col min="6140" max="6169" width="16.3984375" style="293"/>
    <col min="6170" max="6170" width="57" style="293" customWidth="1"/>
    <col min="6171" max="6171" width="19.3984375" style="293" bestFit="1" customWidth="1"/>
    <col min="6172" max="6172" width="14.59765625" style="293" bestFit="1" customWidth="1"/>
    <col min="6173" max="6192" width="12.59765625" style="293" customWidth="1"/>
    <col min="6193" max="6196" width="16.3984375" style="293"/>
    <col min="6197" max="6197" width="1.59765625" style="293" bestFit="1" customWidth="1"/>
    <col min="6198" max="6198" width="19.59765625" style="293" bestFit="1" customWidth="1"/>
    <col min="6199" max="6199" width="2" style="293" bestFit="1" customWidth="1"/>
    <col min="6200" max="6200" width="17.3984375" style="293" bestFit="1" customWidth="1"/>
    <col min="6201" max="6371" width="16.3984375" style="293"/>
    <col min="6372" max="6372" width="57.3984375" style="293" customWidth="1"/>
    <col min="6373" max="6373" width="62.3984375" style="293" customWidth="1"/>
    <col min="6374" max="6374" width="13.86328125" style="293" customWidth="1"/>
    <col min="6375" max="6375" width="12.86328125" style="293" customWidth="1"/>
    <col min="6376" max="6379" width="0" style="293" hidden="1" customWidth="1"/>
    <col min="6380" max="6380" width="12.86328125" style="293" bestFit="1" customWidth="1"/>
    <col min="6381" max="6384" width="0" style="293" hidden="1" customWidth="1"/>
    <col min="6385" max="6385" width="13.1328125" style="293" bestFit="1" customWidth="1"/>
    <col min="6386" max="6389" width="0" style="293" hidden="1" customWidth="1"/>
    <col min="6390" max="6390" width="13.1328125" style="293" bestFit="1" customWidth="1"/>
    <col min="6391" max="6394" width="11.59765625" style="293" bestFit="1" customWidth="1"/>
    <col min="6395" max="6395" width="14.3984375" style="293" bestFit="1" customWidth="1"/>
    <col min="6396" max="6425" width="16.3984375" style="293"/>
    <col min="6426" max="6426" width="57" style="293" customWidth="1"/>
    <col min="6427" max="6427" width="19.3984375" style="293" bestFit="1" customWidth="1"/>
    <col min="6428" max="6428" width="14.59765625" style="293" bestFit="1" customWidth="1"/>
    <col min="6429" max="6448" width="12.59765625" style="293" customWidth="1"/>
    <col min="6449" max="6452" width="16.3984375" style="293"/>
    <col min="6453" max="6453" width="1.59765625" style="293" bestFit="1" customWidth="1"/>
    <col min="6454" max="6454" width="19.59765625" style="293" bestFit="1" customWidth="1"/>
    <col min="6455" max="6455" width="2" style="293" bestFit="1" customWidth="1"/>
    <col min="6456" max="6456" width="17.3984375" style="293" bestFit="1" customWidth="1"/>
    <col min="6457" max="6627" width="16.3984375" style="293"/>
    <col min="6628" max="6628" width="57.3984375" style="293" customWidth="1"/>
    <col min="6629" max="6629" width="62.3984375" style="293" customWidth="1"/>
    <col min="6630" max="6630" width="13.86328125" style="293" customWidth="1"/>
    <col min="6631" max="6631" width="12.86328125" style="293" customWidth="1"/>
    <col min="6632" max="6635" width="0" style="293" hidden="1" customWidth="1"/>
    <col min="6636" max="6636" width="12.86328125" style="293" bestFit="1" customWidth="1"/>
    <col min="6637" max="6640" width="0" style="293" hidden="1" customWidth="1"/>
    <col min="6641" max="6641" width="13.1328125" style="293" bestFit="1" customWidth="1"/>
    <col min="6642" max="6645" width="0" style="293" hidden="1" customWidth="1"/>
    <col min="6646" max="6646" width="13.1328125" style="293" bestFit="1" customWidth="1"/>
    <col min="6647" max="6650" width="11.59765625" style="293" bestFit="1" customWidth="1"/>
    <col min="6651" max="6651" width="14.3984375" style="293" bestFit="1" customWidth="1"/>
    <col min="6652" max="6681" width="16.3984375" style="293"/>
    <col min="6682" max="6682" width="57" style="293" customWidth="1"/>
    <col min="6683" max="6683" width="19.3984375" style="293" bestFit="1" customWidth="1"/>
    <col min="6684" max="6684" width="14.59765625" style="293" bestFit="1" customWidth="1"/>
    <col min="6685" max="6704" width="12.59765625" style="293" customWidth="1"/>
    <col min="6705" max="6708" width="16.3984375" style="293"/>
    <col min="6709" max="6709" width="1.59765625" style="293" bestFit="1" customWidth="1"/>
    <col min="6710" max="6710" width="19.59765625" style="293" bestFit="1" customWidth="1"/>
    <col min="6711" max="6711" width="2" style="293" bestFit="1" customWidth="1"/>
    <col min="6712" max="6712" width="17.3984375" style="293" bestFit="1" customWidth="1"/>
    <col min="6713" max="6883" width="16.3984375" style="293"/>
    <col min="6884" max="6884" width="57.3984375" style="293" customWidth="1"/>
    <col min="6885" max="6885" width="62.3984375" style="293" customWidth="1"/>
    <col min="6886" max="6886" width="13.86328125" style="293" customWidth="1"/>
    <col min="6887" max="6887" width="12.86328125" style="293" customWidth="1"/>
    <col min="6888" max="6891" width="0" style="293" hidden="1" customWidth="1"/>
    <col min="6892" max="6892" width="12.86328125" style="293" bestFit="1" customWidth="1"/>
    <col min="6893" max="6896" width="0" style="293" hidden="1" customWidth="1"/>
    <col min="6897" max="6897" width="13.1328125" style="293" bestFit="1" customWidth="1"/>
    <col min="6898" max="6901" width="0" style="293" hidden="1" customWidth="1"/>
    <col min="6902" max="6902" width="13.1328125" style="293" bestFit="1" customWidth="1"/>
    <col min="6903" max="6906" width="11.59765625" style="293" bestFit="1" customWidth="1"/>
    <col min="6907" max="6907" width="14.3984375" style="293" bestFit="1" customWidth="1"/>
    <col min="6908" max="6937" width="16.3984375" style="293"/>
    <col min="6938" max="6938" width="57" style="293" customWidth="1"/>
    <col min="6939" max="6939" width="19.3984375" style="293" bestFit="1" customWidth="1"/>
    <col min="6940" max="6940" width="14.59765625" style="293" bestFit="1" customWidth="1"/>
    <col min="6941" max="6960" width="12.59765625" style="293" customWidth="1"/>
    <col min="6961" max="6964" width="16.3984375" style="293"/>
    <col min="6965" max="6965" width="1.59765625" style="293" bestFit="1" customWidth="1"/>
    <col min="6966" max="6966" width="19.59765625" style="293" bestFit="1" customWidth="1"/>
    <col min="6967" max="6967" width="2" style="293" bestFit="1" customWidth="1"/>
    <col min="6968" max="6968" width="17.3984375" style="293" bestFit="1" customWidth="1"/>
    <col min="6969" max="7139" width="16.3984375" style="293"/>
    <col min="7140" max="7140" width="57.3984375" style="293" customWidth="1"/>
    <col min="7141" max="7141" width="62.3984375" style="293" customWidth="1"/>
    <col min="7142" max="7142" width="13.86328125" style="293" customWidth="1"/>
    <col min="7143" max="7143" width="12.86328125" style="293" customWidth="1"/>
    <col min="7144" max="7147" width="0" style="293" hidden="1" customWidth="1"/>
    <col min="7148" max="7148" width="12.86328125" style="293" bestFit="1" customWidth="1"/>
    <col min="7149" max="7152" width="0" style="293" hidden="1" customWidth="1"/>
    <col min="7153" max="7153" width="13.1328125" style="293" bestFit="1" customWidth="1"/>
    <col min="7154" max="7157" width="0" style="293" hidden="1" customWidth="1"/>
    <col min="7158" max="7158" width="13.1328125" style="293" bestFit="1" customWidth="1"/>
    <col min="7159" max="7162" width="11.59765625" style="293" bestFit="1" customWidth="1"/>
    <col min="7163" max="7163" width="14.3984375" style="293" bestFit="1" customWidth="1"/>
    <col min="7164" max="7193" width="16.3984375" style="293"/>
    <col min="7194" max="7194" width="57" style="293" customWidth="1"/>
    <col min="7195" max="7195" width="19.3984375" style="293" bestFit="1" customWidth="1"/>
    <col min="7196" max="7196" width="14.59765625" style="293" bestFit="1" customWidth="1"/>
    <col min="7197" max="7216" width="12.59765625" style="293" customWidth="1"/>
    <col min="7217" max="7220" width="16.3984375" style="293"/>
    <col min="7221" max="7221" width="1.59765625" style="293" bestFit="1" customWidth="1"/>
    <col min="7222" max="7222" width="19.59765625" style="293" bestFit="1" customWidth="1"/>
    <col min="7223" max="7223" width="2" style="293" bestFit="1" customWidth="1"/>
    <col min="7224" max="7224" width="17.3984375" style="293" bestFit="1" customWidth="1"/>
    <col min="7225" max="7395" width="16.3984375" style="293"/>
    <col min="7396" max="7396" width="57.3984375" style="293" customWidth="1"/>
    <col min="7397" max="7397" width="62.3984375" style="293" customWidth="1"/>
    <col min="7398" max="7398" width="13.86328125" style="293" customWidth="1"/>
    <col min="7399" max="7399" width="12.86328125" style="293" customWidth="1"/>
    <col min="7400" max="7403" width="0" style="293" hidden="1" customWidth="1"/>
    <col min="7404" max="7404" width="12.86328125" style="293" bestFit="1" customWidth="1"/>
    <col min="7405" max="7408" width="0" style="293" hidden="1" customWidth="1"/>
    <col min="7409" max="7409" width="13.1328125" style="293" bestFit="1" customWidth="1"/>
    <col min="7410" max="7413" width="0" style="293" hidden="1" customWidth="1"/>
    <col min="7414" max="7414" width="13.1328125" style="293" bestFit="1" customWidth="1"/>
    <col min="7415" max="7418" width="11.59765625" style="293" bestFit="1" customWidth="1"/>
    <col min="7419" max="7419" width="14.3984375" style="293" bestFit="1" customWidth="1"/>
    <col min="7420" max="7449" width="16.3984375" style="293"/>
    <col min="7450" max="7450" width="57" style="293" customWidth="1"/>
    <col min="7451" max="7451" width="19.3984375" style="293" bestFit="1" customWidth="1"/>
    <col min="7452" max="7452" width="14.59765625" style="293" bestFit="1" customWidth="1"/>
    <col min="7453" max="7472" width="12.59765625" style="293" customWidth="1"/>
    <col min="7473" max="7476" width="16.3984375" style="293"/>
    <col min="7477" max="7477" width="1.59765625" style="293" bestFit="1" customWidth="1"/>
    <col min="7478" max="7478" width="19.59765625" style="293" bestFit="1" customWidth="1"/>
    <col min="7479" max="7479" width="2" style="293" bestFit="1" customWidth="1"/>
    <col min="7480" max="7480" width="17.3984375" style="293" bestFit="1" customWidth="1"/>
    <col min="7481" max="7651" width="16.3984375" style="293"/>
    <col min="7652" max="7652" width="57.3984375" style="293" customWidth="1"/>
    <col min="7653" max="7653" width="62.3984375" style="293" customWidth="1"/>
    <col min="7654" max="7654" width="13.86328125" style="293" customWidth="1"/>
    <col min="7655" max="7655" width="12.86328125" style="293" customWidth="1"/>
    <col min="7656" max="7659" width="0" style="293" hidden="1" customWidth="1"/>
    <col min="7660" max="7660" width="12.86328125" style="293" bestFit="1" customWidth="1"/>
    <col min="7661" max="7664" width="0" style="293" hidden="1" customWidth="1"/>
    <col min="7665" max="7665" width="13.1328125" style="293" bestFit="1" customWidth="1"/>
    <col min="7666" max="7669" width="0" style="293" hidden="1" customWidth="1"/>
    <col min="7670" max="7670" width="13.1328125" style="293" bestFit="1" customWidth="1"/>
    <col min="7671" max="7674" width="11.59765625" style="293" bestFit="1" customWidth="1"/>
    <col min="7675" max="7675" width="14.3984375" style="293" bestFit="1" customWidth="1"/>
    <col min="7676" max="7705" width="16.3984375" style="293"/>
    <col min="7706" max="7706" width="57" style="293" customWidth="1"/>
    <col min="7707" max="7707" width="19.3984375" style="293" bestFit="1" customWidth="1"/>
    <col min="7708" max="7708" width="14.59765625" style="293" bestFit="1" customWidth="1"/>
    <col min="7709" max="7728" width="12.59765625" style="293" customWidth="1"/>
    <col min="7729" max="7732" width="16.3984375" style="293"/>
    <col min="7733" max="7733" width="1.59765625" style="293" bestFit="1" customWidth="1"/>
    <col min="7734" max="7734" width="19.59765625" style="293" bestFit="1" customWidth="1"/>
    <col min="7735" max="7735" width="2" style="293" bestFit="1" customWidth="1"/>
    <col min="7736" max="7736" width="17.3984375" style="293" bestFit="1" customWidth="1"/>
    <col min="7737" max="7907" width="16.3984375" style="293"/>
    <col min="7908" max="7908" width="57.3984375" style="293" customWidth="1"/>
    <col min="7909" max="7909" width="62.3984375" style="293" customWidth="1"/>
    <col min="7910" max="7910" width="13.86328125" style="293" customWidth="1"/>
    <col min="7911" max="7911" width="12.86328125" style="293" customWidth="1"/>
    <col min="7912" max="7915" width="0" style="293" hidden="1" customWidth="1"/>
    <col min="7916" max="7916" width="12.86328125" style="293" bestFit="1" customWidth="1"/>
    <col min="7917" max="7920" width="0" style="293" hidden="1" customWidth="1"/>
    <col min="7921" max="7921" width="13.1328125" style="293" bestFit="1" customWidth="1"/>
    <col min="7922" max="7925" width="0" style="293" hidden="1" customWidth="1"/>
    <col min="7926" max="7926" width="13.1328125" style="293" bestFit="1" customWidth="1"/>
    <col min="7927" max="7930" width="11.59765625" style="293" bestFit="1" customWidth="1"/>
    <col min="7931" max="7931" width="14.3984375" style="293" bestFit="1" customWidth="1"/>
    <col min="7932" max="7961" width="16.3984375" style="293"/>
    <col min="7962" max="7962" width="57" style="293" customWidth="1"/>
    <col min="7963" max="7963" width="19.3984375" style="293" bestFit="1" customWidth="1"/>
    <col min="7964" max="7964" width="14.59765625" style="293" bestFit="1" customWidth="1"/>
    <col min="7965" max="7984" width="12.59765625" style="293" customWidth="1"/>
    <col min="7985" max="7988" width="16.3984375" style="293"/>
    <col min="7989" max="7989" width="1.59765625" style="293" bestFit="1" customWidth="1"/>
    <col min="7990" max="7990" width="19.59765625" style="293" bestFit="1" customWidth="1"/>
    <col min="7991" max="7991" width="2" style="293" bestFit="1" customWidth="1"/>
    <col min="7992" max="7992" width="17.3984375" style="293" bestFit="1" customWidth="1"/>
    <col min="7993" max="8163" width="16.3984375" style="293"/>
    <col min="8164" max="8164" width="57.3984375" style="293" customWidth="1"/>
    <col min="8165" max="8165" width="62.3984375" style="293" customWidth="1"/>
    <col min="8166" max="8166" width="13.86328125" style="293" customWidth="1"/>
    <col min="8167" max="8167" width="12.86328125" style="293" customWidth="1"/>
    <col min="8168" max="8171" width="0" style="293" hidden="1" customWidth="1"/>
    <col min="8172" max="8172" width="12.86328125" style="293" bestFit="1" customWidth="1"/>
    <col min="8173" max="8176" width="0" style="293" hidden="1" customWidth="1"/>
    <col min="8177" max="8177" width="13.1328125" style="293" bestFit="1" customWidth="1"/>
    <col min="8178" max="8181" width="0" style="293" hidden="1" customWidth="1"/>
    <col min="8182" max="8182" width="13.1328125" style="293" bestFit="1" customWidth="1"/>
    <col min="8183" max="8186" width="11.59765625" style="293" bestFit="1" customWidth="1"/>
    <col min="8187" max="8187" width="14.3984375" style="293" bestFit="1" customWidth="1"/>
    <col min="8188" max="8217" width="16.3984375" style="293"/>
    <col min="8218" max="8218" width="57" style="293" customWidth="1"/>
    <col min="8219" max="8219" width="19.3984375" style="293" bestFit="1" customWidth="1"/>
    <col min="8220" max="8220" width="14.59765625" style="293" bestFit="1" customWidth="1"/>
    <col min="8221" max="8240" width="12.59765625" style="293" customWidth="1"/>
    <col min="8241" max="8244" width="16.3984375" style="293"/>
    <col min="8245" max="8245" width="1.59765625" style="293" bestFit="1" customWidth="1"/>
    <col min="8246" max="8246" width="19.59765625" style="293" bestFit="1" customWidth="1"/>
    <col min="8247" max="8247" width="2" style="293" bestFit="1" customWidth="1"/>
    <col min="8248" max="8248" width="17.3984375" style="293" bestFit="1" customWidth="1"/>
    <col min="8249" max="8419" width="16.3984375" style="293"/>
    <col min="8420" max="8420" width="57.3984375" style="293" customWidth="1"/>
    <col min="8421" max="8421" width="62.3984375" style="293" customWidth="1"/>
    <col min="8422" max="8422" width="13.86328125" style="293" customWidth="1"/>
    <col min="8423" max="8423" width="12.86328125" style="293" customWidth="1"/>
    <col min="8424" max="8427" width="0" style="293" hidden="1" customWidth="1"/>
    <col min="8428" max="8428" width="12.86328125" style="293" bestFit="1" customWidth="1"/>
    <col min="8429" max="8432" width="0" style="293" hidden="1" customWidth="1"/>
    <col min="8433" max="8433" width="13.1328125" style="293" bestFit="1" customWidth="1"/>
    <col min="8434" max="8437" width="0" style="293" hidden="1" customWidth="1"/>
    <col min="8438" max="8438" width="13.1328125" style="293" bestFit="1" customWidth="1"/>
    <col min="8439" max="8442" width="11.59765625" style="293" bestFit="1" customWidth="1"/>
    <col min="8443" max="8443" width="14.3984375" style="293" bestFit="1" customWidth="1"/>
    <col min="8444" max="8473" width="16.3984375" style="293"/>
    <col min="8474" max="8474" width="57" style="293" customWidth="1"/>
    <col min="8475" max="8475" width="19.3984375" style="293" bestFit="1" customWidth="1"/>
    <col min="8476" max="8476" width="14.59765625" style="293" bestFit="1" customWidth="1"/>
    <col min="8477" max="8496" width="12.59765625" style="293" customWidth="1"/>
    <col min="8497" max="8500" width="16.3984375" style="293"/>
    <col min="8501" max="8501" width="1.59765625" style="293" bestFit="1" customWidth="1"/>
    <col min="8502" max="8502" width="19.59765625" style="293" bestFit="1" customWidth="1"/>
    <col min="8503" max="8503" width="2" style="293" bestFit="1" customWidth="1"/>
    <col min="8504" max="8504" width="17.3984375" style="293" bestFit="1" customWidth="1"/>
    <col min="8505" max="8675" width="16.3984375" style="293"/>
    <col min="8676" max="8676" width="57.3984375" style="293" customWidth="1"/>
    <col min="8677" max="8677" width="62.3984375" style="293" customWidth="1"/>
    <col min="8678" max="8678" width="13.86328125" style="293" customWidth="1"/>
    <col min="8679" max="8679" width="12.86328125" style="293" customWidth="1"/>
    <col min="8680" max="8683" width="0" style="293" hidden="1" customWidth="1"/>
    <col min="8684" max="8684" width="12.86328125" style="293" bestFit="1" customWidth="1"/>
    <col min="8685" max="8688" width="0" style="293" hidden="1" customWidth="1"/>
    <col min="8689" max="8689" width="13.1328125" style="293" bestFit="1" customWidth="1"/>
    <col min="8690" max="8693" width="0" style="293" hidden="1" customWidth="1"/>
    <col min="8694" max="8694" width="13.1328125" style="293" bestFit="1" customWidth="1"/>
    <col min="8695" max="8698" width="11.59765625" style="293" bestFit="1" customWidth="1"/>
    <col min="8699" max="8699" width="14.3984375" style="293" bestFit="1" customWidth="1"/>
    <col min="8700" max="8729" width="16.3984375" style="293"/>
    <col min="8730" max="8730" width="57" style="293" customWidth="1"/>
    <col min="8731" max="8731" width="19.3984375" style="293" bestFit="1" customWidth="1"/>
    <col min="8732" max="8732" width="14.59765625" style="293" bestFit="1" customWidth="1"/>
    <col min="8733" max="8752" width="12.59765625" style="293" customWidth="1"/>
    <col min="8753" max="8756" width="16.3984375" style="293"/>
    <col min="8757" max="8757" width="1.59765625" style="293" bestFit="1" customWidth="1"/>
    <col min="8758" max="8758" width="19.59765625" style="293" bestFit="1" customWidth="1"/>
    <col min="8759" max="8759" width="2" style="293" bestFit="1" customWidth="1"/>
    <col min="8760" max="8760" width="17.3984375" style="293" bestFit="1" customWidth="1"/>
    <col min="8761" max="8931" width="16.3984375" style="293"/>
    <col min="8932" max="8932" width="57.3984375" style="293" customWidth="1"/>
    <col min="8933" max="8933" width="62.3984375" style="293" customWidth="1"/>
    <col min="8934" max="8934" width="13.86328125" style="293" customWidth="1"/>
    <col min="8935" max="8935" width="12.86328125" style="293" customWidth="1"/>
    <col min="8936" max="8939" width="0" style="293" hidden="1" customWidth="1"/>
    <col min="8940" max="8940" width="12.86328125" style="293" bestFit="1" customWidth="1"/>
    <col min="8941" max="8944" width="0" style="293" hidden="1" customWidth="1"/>
    <col min="8945" max="8945" width="13.1328125" style="293" bestFit="1" customWidth="1"/>
    <col min="8946" max="8949" width="0" style="293" hidden="1" customWidth="1"/>
    <col min="8950" max="8950" width="13.1328125" style="293" bestFit="1" customWidth="1"/>
    <col min="8951" max="8954" width="11.59765625" style="293" bestFit="1" customWidth="1"/>
    <col min="8955" max="8955" width="14.3984375" style="293" bestFit="1" customWidth="1"/>
    <col min="8956" max="8985" width="16.3984375" style="293"/>
    <col min="8986" max="8986" width="57" style="293" customWidth="1"/>
    <col min="8987" max="8987" width="19.3984375" style="293" bestFit="1" customWidth="1"/>
    <col min="8988" max="8988" width="14.59765625" style="293" bestFit="1" customWidth="1"/>
    <col min="8989" max="9008" width="12.59765625" style="293" customWidth="1"/>
    <col min="9009" max="9012" width="16.3984375" style="293"/>
    <col min="9013" max="9013" width="1.59765625" style="293" bestFit="1" customWidth="1"/>
    <col min="9014" max="9014" width="19.59765625" style="293" bestFit="1" customWidth="1"/>
    <col min="9015" max="9015" width="2" style="293" bestFit="1" customWidth="1"/>
    <col min="9016" max="9016" width="17.3984375" style="293" bestFit="1" customWidth="1"/>
    <col min="9017" max="9187" width="16.3984375" style="293"/>
    <col min="9188" max="9188" width="57.3984375" style="293" customWidth="1"/>
    <col min="9189" max="9189" width="62.3984375" style="293" customWidth="1"/>
    <col min="9190" max="9190" width="13.86328125" style="293" customWidth="1"/>
    <col min="9191" max="9191" width="12.86328125" style="293" customWidth="1"/>
    <col min="9192" max="9195" width="0" style="293" hidden="1" customWidth="1"/>
    <col min="9196" max="9196" width="12.86328125" style="293" bestFit="1" customWidth="1"/>
    <col min="9197" max="9200" width="0" style="293" hidden="1" customWidth="1"/>
    <col min="9201" max="9201" width="13.1328125" style="293" bestFit="1" customWidth="1"/>
    <col min="9202" max="9205" width="0" style="293" hidden="1" customWidth="1"/>
    <col min="9206" max="9206" width="13.1328125" style="293" bestFit="1" customWidth="1"/>
    <col min="9207" max="9210" width="11.59765625" style="293" bestFit="1" customWidth="1"/>
    <col min="9211" max="9211" width="14.3984375" style="293" bestFit="1" customWidth="1"/>
    <col min="9212" max="9241" width="16.3984375" style="293"/>
    <col min="9242" max="9242" width="57" style="293" customWidth="1"/>
    <col min="9243" max="9243" width="19.3984375" style="293" bestFit="1" customWidth="1"/>
    <col min="9244" max="9244" width="14.59765625" style="293" bestFit="1" customWidth="1"/>
    <col min="9245" max="9264" width="12.59765625" style="293" customWidth="1"/>
    <col min="9265" max="9268" width="16.3984375" style="293"/>
    <col min="9269" max="9269" width="1.59765625" style="293" bestFit="1" customWidth="1"/>
    <col min="9270" max="9270" width="19.59765625" style="293" bestFit="1" customWidth="1"/>
    <col min="9271" max="9271" width="2" style="293" bestFit="1" customWidth="1"/>
    <col min="9272" max="9272" width="17.3984375" style="293" bestFit="1" customWidth="1"/>
    <col min="9273" max="9443" width="16.3984375" style="293"/>
    <col min="9444" max="9444" width="57.3984375" style="293" customWidth="1"/>
    <col min="9445" max="9445" width="62.3984375" style="293" customWidth="1"/>
    <col min="9446" max="9446" width="13.86328125" style="293" customWidth="1"/>
    <col min="9447" max="9447" width="12.86328125" style="293" customWidth="1"/>
    <col min="9448" max="9451" width="0" style="293" hidden="1" customWidth="1"/>
    <col min="9452" max="9452" width="12.86328125" style="293" bestFit="1" customWidth="1"/>
    <col min="9453" max="9456" width="0" style="293" hidden="1" customWidth="1"/>
    <col min="9457" max="9457" width="13.1328125" style="293" bestFit="1" customWidth="1"/>
    <col min="9458" max="9461" width="0" style="293" hidden="1" customWidth="1"/>
    <col min="9462" max="9462" width="13.1328125" style="293" bestFit="1" customWidth="1"/>
    <col min="9463" max="9466" width="11.59765625" style="293" bestFit="1" customWidth="1"/>
    <col min="9467" max="9467" width="14.3984375" style="293" bestFit="1" customWidth="1"/>
    <col min="9468" max="9497" width="16.3984375" style="293"/>
    <col min="9498" max="9498" width="57" style="293" customWidth="1"/>
    <col min="9499" max="9499" width="19.3984375" style="293" bestFit="1" customWidth="1"/>
    <col min="9500" max="9500" width="14.59765625" style="293" bestFit="1" customWidth="1"/>
    <col min="9501" max="9520" width="12.59765625" style="293" customWidth="1"/>
    <col min="9521" max="9524" width="16.3984375" style="293"/>
    <col min="9525" max="9525" width="1.59765625" style="293" bestFit="1" customWidth="1"/>
    <col min="9526" max="9526" width="19.59765625" style="293" bestFit="1" customWidth="1"/>
    <col min="9527" max="9527" width="2" style="293" bestFit="1" customWidth="1"/>
    <col min="9528" max="9528" width="17.3984375" style="293" bestFit="1" customWidth="1"/>
    <col min="9529" max="9699" width="16.3984375" style="293"/>
    <col min="9700" max="9700" width="57.3984375" style="293" customWidth="1"/>
    <col min="9701" max="9701" width="62.3984375" style="293" customWidth="1"/>
    <col min="9702" max="9702" width="13.86328125" style="293" customWidth="1"/>
    <col min="9703" max="9703" width="12.86328125" style="293" customWidth="1"/>
    <col min="9704" max="9707" width="0" style="293" hidden="1" customWidth="1"/>
    <col min="9708" max="9708" width="12.86328125" style="293" bestFit="1" customWidth="1"/>
    <col min="9709" max="9712" width="0" style="293" hidden="1" customWidth="1"/>
    <col min="9713" max="9713" width="13.1328125" style="293" bestFit="1" customWidth="1"/>
    <col min="9714" max="9717" width="0" style="293" hidden="1" customWidth="1"/>
    <col min="9718" max="9718" width="13.1328125" style="293" bestFit="1" customWidth="1"/>
    <col min="9719" max="9722" width="11.59765625" style="293" bestFit="1" customWidth="1"/>
    <col min="9723" max="9723" width="14.3984375" style="293" bestFit="1" customWidth="1"/>
    <col min="9724" max="9753" width="16.3984375" style="293"/>
    <col min="9754" max="9754" width="57" style="293" customWidth="1"/>
    <col min="9755" max="9755" width="19.3984375" style="293" bestFit="1" customWidth="1"/>
    <col min="9756" max="9756" width="14.59765625" style="293" bestFit="1" customWidth="1"/>
    <col min="9757" max="9776" width="12.59765625" style="293" customWidth="1"/>
    <col min="9777" max="9780" width="16.3984375" style="293"/>
    <col min="9781" max="9781" width="1.59765625" style="293" bestFit="1" customWidth="1"/>
    <col min="9782" max="9782" width="19.59765625" style="293" bestFit="1" customWidth="1"/>
    <col min="9783" max="9783" width="2" style="293" bestFit="1" customWidth="1"/>
    <col min="9784" max="9784" width="17.3984375" style="293" bestFit="1" customWidth="1"/>
    <col min="9785" max="9955" width="16.3984375" style="293"/>
    <col min="9956" max="9956" width="57.3984375" style="293" customWidth="1"/>
    <col min="9957" max="9957" width="62.3984375" style="293" customWidth="1"/>
    <col min="9958" max="9958" width="13.86328125" style="293" customWidth="1"/>
    <col min="9959" max="9959" width="12.86328125" style="293" customWidth="1"/>
    <col min="9960" max="9963" width="0" style="293" hidden="1" customWidth="1"/>
    <col min="9964" max="9964" width="12.86328125" style="293" bestFit="1" customWidth="1"/>
    <col min="9965" max="9968" width="0" style="293" hidden="1" customWidth="1"/>
    <col min="9969" max="9969" width="13.1328125" style="293" bestFit="1" customWidth="1"/>
    <col min="9970" max="9973" width="0" style="293" hidden="1" customWidth="1"/>
    <col min="9974" max="9974" width="13.1328125" style="293" bestFit="1" customWidth="1"/>
    <col min="9975" max="9978" width="11.59765625" style="293" bestFit="1" customWidth="1"/>
    <col min="9979" max="9979" width="14.3984375" style="293" bestFit="1" customWidth="1"/>
    <col min="9980" max="10009" width="16.3984375" style="293"/>
    <col min="10010" max="10010" width="57" style="293" customWidth="1"/>
    <col min="10011" max="10011" width="19.3984375" style="293" bestFit="1" customWidth="1"/>
    <col min="10012" max="10012" width="14.59765625" style="293" bestFit="1" customWidth="1"/>
    <col min="10013" max="10032" width="12.59765625" style="293" customWidth="1"/>
    <col min="10033" max="10036" width="16.3984375" style="293"/>
    <col min="10037" max="10037" width="1.59765625" style="293" bestFit="1" customWidth="1"/>
    <col min="10038" max="10038" width="19.59765625" style="293" bestFit="1" customWidth="1"/>
    <col min="10039" max="10039" width="2" style="293" bestFit="1" customWidth="1"/>
    <col min="10040" max="10040" width="17.3984375" style="293" bestFit="1" customWidth="1"/>
    <col min="10041" max="10211" width="16.3984375" style="293"/>
    <col min="10212" max="10212" width="57.3984375" style="293" customWidth="1"/>
    <col min="10213" max="10213" width="62.3984375" style="293" customWidth="1"/>
    <col min="10214" max="10214" width="13.86328125" style="293" customWidth="1"/>
    <col min="10215" max="10215" width="12.86328125" style="293" customWidth="1"/>
    <col min="10216" max="10219" width="0" style="293" hidden="1" customWidth="1"/>
    <col min="10220" max="10220" width="12.86328125" style="293" bestFit="1" customWidth="1"/>
    <col min="10221" max="10224" width="0" style="293" hidden="1" customWidth="1"/>
    <col min="10225" max="10225" width="13.1328125" style="293" bestFit="1" customWidth="1"/>
    <col min="10226" max="10229" width="0" style="293" hidden="1" customWidth="1"/>
    <col min="10230" max="10230" width="13.1328125" style="293" bestFit="1" customWidth="1"/>
    <col min="10231" max="10234" width="11.59765625" style="293" bestFit="1" customWidth="1"/>
    <col min="10235" max="10235" width="14.3984375" style="293" bestFit="1" customWidth="1"/>
    <col min="10236" max="10265" width="16.3984375" style="293"/>
    <col min="10266" max="10266" width="57" style="293" customWidth="1"/>
    <col min="10267" max="10267" width="19.3984375" style="293" bestFit="1" customWidth="1"/>
    <col min="10268" max="10268" width="14.59765625" style="293" bestFit="1" customWidth="1"/>
    <col min="10269" max="10288" width="12.59765625" style="293" customWidth="1"/>
    <col min="10289" max="10292" width="16.3984375" style="293"/>
    <col min="10293" max="10293" width="1.59765625" style="293" bestFit="1" customWidth="1"/>
    <col min="10294" max="10294" width="19.59765625" style="293" bestFit="1" customWidth="1"/>
    <col min="10295" max="10295" width="2" style="293" bestFit="1" customWidth="1"/>
    <col min="10296" max="10296" width="17.3984375" style="293" bestFit="1" customWidth="1"/>
    <col min="10297" max="10467" width="16.3984375" style="293"/>
    <col min="10468" max="10468" width="57.3984375" style="293" customWidth="1"/>
    <col min="10469" max="10469" width="62.3984375" style="293" customWidth="1"/>
    <col min="10470" max="10470" width="13.86328125" style="293" customWidth="1"/>
    <col min="10471" max="10471" width="12.86328125" style="293" customWidth="1"/>
    <col min="10472" max="10475" width="0" style="293" hidden="1" customWidth="1"/>
    <col min="10476" max="10476" width="12.86328125" style="293" bestFit="1" customWidth="1"/>
    <col min="10477" max="10480" width="0" style="293" hidden="1" customWidth="1"/>
    <col min="10481" max="10481" width="13.1328125" style="293" bestFit="1" customWidth="1"/>
    <col min="10482" max="10485" width="0" style="293" hidden="1" customWidth="1"/>
    <col min="10486" max="10486" width="13.1328125" style="293" bestFit="1" customWidth="1"/>
    <col min="10487" max="10490" width="11.59765625" style="293" bestFit="1" customWidth="1"/>
    <col min="10491" max="10491" width="14.3984375" style="293" bestFit="1" customWidth="1"/>
    <col min="10492" max="10521" width="16.3984375" style="293"/>
    <col min="10522" max="10522" width="57" style="293" customWidth="1"/>
    <col min="10523" max="10523" width="19.3984375" style="293" bestFit="1" customWidth="1"/>
    <col min="10524" max="10524" width="14.59765625" style="293" bestFit="1" customWidth="1"/>
    <col min="10525" max="10544" width="12.59765625" style="293" customWidth="1"/>
    <col min="10545" max="10548" width="16.3984375" style="293"/>
    <col min="10549" max="10549" width="1.59765625" style="293" bestFit="1" customWidth="1"/>
    <col min="10550" max="10550" width="19.59765625" style="293" bestFit="1" customWidth="1"/>
    <col min="10551" max="10551" width="2" style="293" bestFit="1" customWidth="1"/>
    <col min="10552" max="10552" width="17.3984375" style="293" bestFit="1" customWidth="1"/>
    <col min="10553" max="10723" width="16.3984375" style="293"/>
    <col min="10724" max="10724" width="57.3984375" style="293" customWidth="1"/>
    <col min="10725" max="10725" width="62.3984375" style="293" customWidth="1"/>
    <col min="10726" max="10726" width="13.86328125" style="293" customWidth="1"/>
    <col min="10727" max="10727" width="12.86328125" style="293" customWidth="1"/>
    <col min="10728" max="10731" width="0" style="293" hidden="1" customWidth="1"/>
    <col min="10732" max="10732" width="12.86328125" style="293" bestFit="1" customWidth="1"/>
    <col min="10733" max="10736" width="0" style="293" hidden="1" customWidth="1"/>
    <col min="10737" max="10737" width="13.1328125" style="293" bestFit="1" customWidth="1"/>
    <col min="10738" max="10741" width="0" style="293" hidden="1" customWidth="1"/>
    <col min="10742" max="10742" width="13.1328125" style="293" bestFit="1" customWidth="1"/>
    <col min="10743" max="10746" width="11.59765625" style="293" bestFit="1" customWidth="1"/>
    <col min="10747" max="10747" width="14.3984375" style="293" bestFit="1" customWidth="1"/>
    <col min="10748" max="10777" width="16.3984375" style="293"/>
    <col min="10778" max="10778" width="57" style="293" customWidth="1"/>
    <col min="10779" max="10779" width="19.3984375" style="293" bestFit="1" customWidth="1"/>
    <col min="10780" max="10780" width="14.59765625" style="293" bestFit="1" customWidth="1"/>
    <col min="10781" max="10800" width="12.59765625" style="293" customWidth="1"/>
    <col min="10801" max="10804" width="16.3984375" style="293"/>
    <col min="10805" max="10805" width="1.59765625" style="293" bestFit="1" customWidth="1"/>
    <col min="10806" max="10806" width="19.59765625" style="293" bestFit="1" customWidth="1"/>
    <col min="10807" max="10807" width="2" style="293" bestFit="1" customWidth="1"/>
    <col min="10808" max="10808" width="17.3984375" style="293" bestFit="1" customWidth="1"/>
    <col min="10809" max="10979" width="16.3984375" style="293"/>
    <col min="10980" max="10980" width="57.3984375" style="293" customWidth="1"/>
    <col min="10981" max="10981" width="62.3984375" style="293" customWidth="1"/>
    <col min="10982" max="10982" width="13.86328125" style="293" customWidth="1"/>
    <col min="10983" max="10983" width="12.86328125" style="293" customWidth="1"/>
    <col min="10984" max="10987" width="0" style="293" hidden="1" customWidth="1"/>
    <col min="10988" max="10988" width="12.86328125" style="293" bestFit="1" customWidth="1"/>
    <col min="10989" max="10992" width="0" style="293" hidden="1" customWidth="1"/>
    <col min="10993" max="10993" width="13.1328125" style="293" bestFit="1" customWidth="1"/>
    <col min="10994" max="10997" width="0" style="293" hidden="1" customWidth="1"/>
    <col min="10998" max="10998" width="13.1328125" style="293" bestFit="1" customWidth="1"/>
    <col min="10999" max="11002" width="11.59765625" style="293" bestFit="1" customWidth="1"/>
    <col min="11003" max="11003" width="14.3984375" style="293" bestFit="1" customWidth="1"/>
    <col min="11004" max="11033" width="16.3984375" style="293"/>
    <col min="11034" max="11034" width="57" style="293" customWidth="1"/>
    <col min="11035" max="11035" width="19.3984375" style="293" bestFit="1" customWidth="1"/>
    <col min="11036" max="11036" width="14.59765625" style="293" bestFit="1" customWidth="1"/>
    <col min="11037" max="11056" width="12.59765625" style="293" customWidth="1"/>
    <col min="11057" max="11060" width="16.3984375" style="293"/>
    <col min="11061" max="11061" width="1.59765625" style="293" bestFit="1" customWidth="1"/>
    <col min="11062" max="11062" width="19.59765625" style="293" bestFit="1" customWidth="1"/>
    <col min="11063" max="11063" width="2" style="293" bestFit="1" customWidth="1"/>
    <col min="11064" max="11064" width="17.3984375" style="293" bestFit="1" customWidth="1"/>
    <col min="11065" max="11235" width="16.3984375" style="293"/>
    <col min="11236" max="11236" width="57.3984375" style="293" customWidth="1"/>
    <col min="11237" max="11237" width="62.3984375" style="293" customWidth="1"/>
    <col min="11238" max="11238" width="13.86328125" style="293" customWidth="1"/>
    <col min="11239" max="11239" width="12.86328125" style="293" customWidth="1"/>
    <col min="11240" max="11243" width="0" style="293" hidden="1" customWidth="1"/>
    <col min="11244" max="11244" width="12.86328125" style="293" bestFit="1" customWidth="1"/>
    <col min="11245" max="11248" width="0" style="293" hidden="1" customWidth="1"/>
    <col min="11249" max="11249" width="13.1328125" style="293" bestFit="1" customWidth="1"/>
    <col min="11250" max="11253" width="0" style="293" hidden="1" customWidth="1"/>
    <col min="11254" max="11254" width="13.1328125" style="293" bestFit="1" customWidth="1"/>
    <col min="11255" max="11258" width="11.59765625" style="293" bestFit="1" customWidth="1"/>
    <col min="11259" max="11259" width="14.3984375" style="293" bestFit="1" customWidth="1"/>
    <col min="11260" max="11289" width="16.3984375" style="293"/>
    <col min="11290" max="11290" width="57" style="293" customWidth="1"/>
    <col min="11291" max="11291" width="19.3984375" style="293" bestFit="1" customWidth="1"/>
    <col min="11292" max="11292" width="14.59765625" style="293" bestFit="1" customWidth="1"/>
    <col min="11293" max="11312" width="12.59765625" style="293" customWidth="1"/>
    <col min="11313" max="11316" width="16.3984375" style="293"/>
    <col min="11317" max="11317" width="1.59765625" style="293" bestFit="1" customWidth="1"/>
    <col min="11318" max="11318" width="19.59765625" style="293" bestFit="1" customWidth="1"/>
    <col min="11319" max="11319" width="2" style="293" bestFit="1" customWidth="1"/>
    <col min="11320" max="11320" width="17.3984375" style="293" bestFit="1" customWidth="1"/>
    <col min="11321" max="11491" width="16.3984375" style="293"/>
    <col min="11492" max="11492" width="57.3984375" style="293" customWidth="1"/>
    <col min="11493" max="11493" width="62.3984375" style="293" customWidth="1"/>
    <col min="11494" max="11494" width="13.86328125" style="293" customWidth="1"/>
    <col min="11495" max="11495" width="12.86328125" style="293" customWidth="1"/>
    <col min="11496" max="11499" width="0" style="293" hidden="1" customWidth="1"/>
    <col min="11500" max="11500" width="12.86328125" style="293" bestFit="1" customWidth="1"/>
    <col min="11501" max="11504" width="0" style="293" hidden="1" customWidth="1"/>
    <col min="11505" max="11505" width="13.1328125" style="293" bestFit="1" customWidth="1"/>
    <col min="11506" max="11509" width="0" style="293" hidden="1" customWidth="1"/>
    <col min="11510" max="11510" width="13.1328125" style="293" bestFit="1" customWidth="1"/>
    <col min="11511" max="11514" width="11.59765625" style="293" bestFit="1" customWidth="1"/>
    <col min="11515" max="11515" width="14.3984375" style="293" bestFit="1" customWidth="1"/>
    <col min="11516" max="11545" width="16.3984375" style="293"/>
    <col min="11546" max="11546" width="57" style="293" customWidth="1"/>
    <col min="11547" max="11547" width="19.3984375" style="293" bestFit="1" customWidth="1"/>
    <col min="11548" max="11548" width="14.59765625" style="293" bestFit="1" customWidth="1"/>
    <col min="11549" max="11568" width="12.59765625" style="293" customWidth="1"/>
    <col min="11569" max="11572" width="16.3984375" style="293"/>
    <col min="11573" max="11573" width="1.59765625" style="293" bestFit="1" customWidth="1"/>
    <col min="11574" max="11574" width="19.59765625" style="293" bestFit="1" customWidth="1"/>
    <col min="11575" max="11575" width="2" style="293" bestFit="1" customWidth="1"/>
    <col min="11576" max="11576" width="17.3984375" style="293" bestFit="1" customWidth="1"/>
    <col min="11577" max="11747" width="16.3984375" style="293"/>
    <col min="11748" max="11748" width="57.3984375" style="293" customWidth="1"/>
    <col min="11749" max="11749" width="62.3984375" style="293" customWidth="1"/>
    <col min="11750" max="11750" width="13.86328125" style="293" customWidth="1"/>
    <col min="11751" max="11751" width="12.86328125" style="293" customWidth="1"/>
    <col min="11752" max="11755" width="0" style="293" hidden="1" customWidth="1"/>
    <col min="11756" max="11756" width="12.86328125" style="293" bestFit="1" customWidth="1"/>
    <col min="11757" max="11760" width="0" style="293" hidden="1" customWidth="1"/>
    <col min="11761" max="11761" width="13.1328125" style="293" bestFit="1" customWidth="1"/>
    <col min="11762" max="11765" width="0" style="293" hidden="1" customWidth="1"/>
    <col min="11766" max="11766" width="13.1328125" style="293" bestFit="1" customWidth="1"/>
    <col min="11767" max="11770" width="11.59765625" style="293" bestFit="1" customWidth="1"/>
    <col min="11771" max="11771" width="14.3984375" style="293" bestFit="1" customWidth="1"/>
    <col min="11772" max="11801" width="16.3984375" style="293"/>
    <col min="11802" max="11802" width="57" style="293" customWidth="1"/>
    <col min="11803" max="11803" width="19.3984375" style="293" bestFit="1" customWidth="1"/>
    <col min="11804" max="11804" width="14.59765625" style="293" bestFit="1" customWidth="1"/>
    <col min="11805" max="11824" width="12.59765625" style="293" customWidth="1"/>
    <col min="11825" max="11828" width="16.3984375" style="293"/>
    <col min="11829" max="11829" width="1.59765625" style="293" bestFit="1" customWidth="1"/>
    <col min="11830" max="11830" width="19.59765625" style="293" bestFit="1" customWidth="1"/>
    <col min="11831" max="11831" width="2" style="293" bestFit="1" customWidth="1"/>
    <col min="11832" max="11832" width="17.3984375" style="293" bestFit="1" customWidth="1"/>
    <col min="11833" max="12003" width="16.3984375" style="293"/>
    <col min="12004" max="12004" width="57.3984375" style="293" customWidth="1"/>
    <col min="12005" max="12005" width="62.3984375" style="293" customWidth="1"/>
    <col min="12006" max="12006" width="13.86328125" style="293" customWidth="1"/>
    <col min="12007" max="12007" width="12.86328125" style="293" customWidth="1"/>
    <col min="12008" max="12011" width="0" style="293" hidden="1" customWidth="1"/>
    <col min="12012" max="12012" width="12.86328125" style="293" bestFit="1" customWidth="1"/>
    <col min="12013" max="12016" width="0" style="293" hidden="1" customWidth="1"/>
    <col min="12017" max="12017" width="13.1328125" style="293" bestFit="1" customWidth="1"/>
    <col min="12018" max="12021" width="0" style="293" hidden="1" customWidth="1"/>
    <col min="12022" max="12022" width="13.1328125" style="293" bestFit="1" customWidth="1"/>
    <col min="12023" max="12026" width="11.59765625" style="293" bestFit="1" customWidth="1"/>
    <col min="12027" max="12027" width="14.3984375" style="293" bestFit="1" customWidth="1"/>
    <col min="12028" max="12057" width="16.3984375" style="293"/>
    <col min="12058" max="12058" width="57" style="293" customWidth="1"/>
    <col min="12059" max="12059" width="19.3984375" style="293" bestFit="1" customWidth="1"/>
    <col min="12060" max="12060" width="14.59765625" style="293" bestFit="1" customWidth="1"/>
    <col min="12061" max="12080" width="12.59765625" style="293" customWidth="1"/>
    <col min="12081" max="12084" width="16.3984375" style="293"/>
    <col min="12085" max="12085" width="1.59765625" style="293" bestFit="1" customWidth="1"/>
    <col min="12086" max="12086" width="19.59765625" style="293" bestFit="1" customWidth="1"/>
    <col min="12087" max="12087" width="2" style="293" bestFit="1" customWidth="1"/>
    <col min="12088" max="12088" width="17.3984375" style="293" bestFit="1" customWidth="1"/>
    <col min="12089" max="12259" width="16.3984375" style="293"/>
    <col min="12260" max="12260" width="57.3984375" style="293" customWidth="1"/>
    <col min="12261" max="12261" width="62.3984375" style="293" customWidth="1"/>
    <col min="12262" max="12262" width="13.86328125" style="293" customWidth="1"/>
    <col min="12263" max="12263" width="12.86328125" style="293" customWidth="1"/>
    <col min="12264" max="12267" width="0" style="293" hidden="1" customWidth="1"/>
    <col min="12268" max="12268" width="12.86328125" style="293" bestFit="1" customWidth="1"/>
    <col min="12269" max="12272" width="0" style="293" hidden="1" customWidth="1"/>
    <col min="12273" max="12273" width="13.1328125" style="293" bestFit="1" customWidth="1"/>
    <col min="12274" max="12277" width="0" style="293" hidden="1" customWidth="1"/>
    <col min="12278" max="12278" width="13.1328125" style="293" bestFit="1" customWidth="1"/>
    <col min="12279" max="12282" width="11.59765625" style="293" bestFit="1" customWidth="1"/>
    <col min="12283" max="12283" width="14.3984375" style="293" bestFit="1" customWidth="1"/>
    <col min="12284" max="12313" width="16.3984375" style="293"/>
    <col min="12314" max="12314" width="57" style="293" customWidth="1"/>
    <col min="12315" max="12315" width="19.3984375" style="293" bestFit="1" customWidth="1"/>
    <col min="12316" max="12316" width="14.59765625" style="293" bestFit="1" customWidth="1"/>
    <col min="12317" max="12336" width="12.59765625" style="293" customWidth="1"/>
    <col min="12337" max="12340" width="16.3984375" style="293"/>
    <col min="12341" max="12341" width="1.59765625" style="293" bestFit="1" customWidth="1"/>
    <col min="12342" max="12342" width="19.59765625" style="293" bestFit="1" customWidth="1"/>
    <col min="12343" max="12343" width="2" style="293" bestFit="1" customWidth="1"/>
    <col min="12344" max="12344" width="17.3984375" style="293" bestFit="1" customWidth="1"/>
    <col min="12345" max="12515" width="16.3984375" style="293"/>
    <col min="12516" max="12516" width="57.3984375" style="293" customWidth="1"/>
    <col min="12517" max="12517" width="62.3984375" style="293" customWidth="1"/>
    <col min="12518" max="12518" width="13.86328125" style="293" customWidth="1"/>
    <col min="12519" max="12519" width="12.86328125" style="293" customWidth="1"/>
    <col min="12520" max="12523" width="0" style="293" hidden="1" customWidth="1"/>
    <col min="12524" max="12524" width="12.86328125" style="293" bestFit="1" customWidth="1"/>
    <col min="12525" max="12528" width="0" style="293" hidden="1" customWidth="1"/>
    <col min="12529" max="12529" width="13.1328125" style="293" bestFit="1" customWidth="1"/>
    <col min="12530" max="12533" width="0" style="293" hidden="1" customWidth="1"/>
    <col min="12534" max="12534" width="13.1328125" style="293" bestFit="1" customWidth="1"/>
    <col min="12535" max="12538" width="11.59765625" style="293" bestFit="1" customWidth="1"/>
    <col min="12539" max="12539" width="14.3984375" style="293" bestFit="1" customWidth="1"/>
    <col min="12540" max="12569" width="16.3984375" style="293"/>
    <col min="12570" max="12570" width="57" style="293" customWidth="1"/>
    <col min="12571" max="12571" width="19.3984375" style="293" bestFit="1" customWidth="1"/>
    <col min="12572" max="12572" width="14.59765625" style="293" bestFit="1" customWidth="1"/>
    <col min="12573" max="12592" width="12.59765625" style="293" customWidth="1"/>
    <col min="12593" max="12596" width="16.3984375" style="293"/>
    <col min="12597" max="12597" width="1.59765625" style="293" bestFit="1" customWidth="1"/>
    <col min="12598" max="12598" width="19.59765625" style="293" bestFit="1" customWidth="1"/>
    <col min="12599" max="12599" width="2" style="293" bestFit="1" customWidth="1"/>
    <col min="12600" max="12600" width="17.3984375" style="293" bestFit="1" customWidth="1"/>
    <col min="12601" max="12771" width="16.3984375" style="293"/>
    <col min="12772" max="12772" width="57.3984375" style="293" customWidth="1"/>
    <col min="12773" max="12773" width="62.3984375" style="293" customWidth="1"/>
    <col min="12774" max="12774" width="13.86328125" style="293" customWidth="1"/>
    <col min="12775" max="12775" width="12.86328125" style="293" customWidth="1"/>
    <col min="12776" max="12779" width="0" style="293" hidden="1" customWidth="1"/>
    <col min="12780" max="12780" width="12.86328125" style="293" bestFit="1" customWidth="1"/>
    <col min="12781" max="12784" width="0" style="293" hidden="1" customWidth="1"/>
    <col min="12785" max="12785" width="13.1328125" style="293" bestFit="1" customWidth="1"/>
    <col min="12786" max="12789" width="0" style="293" hidden="1" customWidth="1"/>
    <col min="12790" max="12790" width="13.1328125" style="293" bestFit="1" customWidth="1"/>
    <col min="12791" max="12794" width="11.59765625" style="293" bestFit="1" customWidth="1"/>
    <col min="12795" max="12795" width="14.3984375" style="293" bestFit="1" customWidth="1"/>
    <col min="12796" max="12825" width="16.3984375" style="293"/>
    <col min="12826" max="12826" width="57" style="293" customWidth="1"/>
    <col min="12827" max="12827" width="19.3984375" style="293" bestFit="1" customWidth="1"/>
    <col min="12828" max="12828" width="14.59765625" style="293" bestFit="1" customWidth="1"/>
    <col min="12829" max="12848" width="12.59765625" style="293" customWidth="1"/>
    <col min="12849" max="12852" width="16.3984375" style="293"/>
    <col min="12853" max="12853" width="1.59765625" style="293" bestFit="1" customWidth="1"/>
    <col min="12854" max="12854" width="19.59765625" style="293" bestFit="1" customWidth="1"/>
    <col min="12855" max="12855" width="2" style="293" bestFit="1" customWidth="1"/>
    <col min="12856" max="12856" width="17.3984375" style="293" bestFit="1" customWidth="1"/>
    <col min="12857" max="13027" width="16.3984375" style="293"/>
    <col min="13028" max="13028" width="57.3984375" style="293" customWidth="1"/>
    <col min="13029" max="13029" width="62.3984375" style="293" customWidth="1"/>
    <col min="13030" max="13030" width="13.86328125" style="293" customWidth="1"/>
    <col min="13031" max="13031" width="12.86328125" style="293" customWidth="1"/>
    <col min="13032" max="13035" width="0" style="293" hidden="1" customWidth="1"/>
    <col min="13036" max="13036" width="12.86328125" style="293" bestFit="1" customWidth="1"/>
    <col min="13037" max="13040" width="0" style="293" hidden="1" customWidth="1"/>
    <col min="13041" max="13041" width="13.1328125" style="293" bestFit="1" customWidth="1"/>
    <col min="13042" max="13045" width="0" style="293" hidden="1" customWidth="1"/>
    <col min="13046" max="13046" width="13.1328125" style="293" bestFit="1" customWidth="1"/>
    <col min="13047" max="13050" width="11.59765625" style="293" bestFit="1" customWidth="1"/>
    <col min="13051" max="13051" width="14.3984375" style="293" bestFit="1" customWidth="1"/>
    <col min="13052" max="13081" width="16.3984375" style="293"/>
    <col min="13082" max="13082" width="57" style="293" customWidth="1"/>
    <col min="13083" max="13083" width="19.3984375" style="293" bestFit="1" customWidth="1"/>
    <col min="13084" max="13084" width="14.59765625" style="293" bestFit="1" customWidth="1"/>
    <col min="13085" max="13104" width="12.59765625" style="293" customWidth="1"/>
    <col min="13105" max="13108" width="16.3984375" style="293"/>
    <col min="13109" max="13109" width="1.59765625" style="293" bestFit="1" customWidth="1"/>
    <col min="13110" max="13110" width="19.59765625" style="293" bestFit="1" customWidth="1"/>
    <col min="13111" max="13111" width="2" style="293" bestFit="1" customWidth="1"/>
    <col min="13112" max="13112" width="17.3984375" style="293" bestFit="1" customWidth="1"/>
    <col min="13113" max="13283" width="16.3984375" style="293"/>
    <col min="13284" max="13284" width="57.3984375" style="293" customWidth="1"/>
    <col min="13285" max="13285" width="62.3984375" style="293" customWidth="1"/>
    <col min="13286" max="13286" width="13.86328125" style="293" customWidth="1"/>
    <col min="13287" max="13287" width="12.86328125" style="293" customWidth="1"/>
    <col min="13288" max="13291" width="0" style="293" hidden="1" customWidth="1"/>
    <col min="13292" max="13292" width="12.86328125" style="293" bestFit="1" customWidth="1"/>
    <col min="13293" max="13296" width="0" style="293" hidden="1" customWidth="1"/>
    <col min="13297" max="13297" width="13.1328125" style="293" bestFit="1" customWidth="1"/>
    <col min="13298" max="13301" width="0" style="293" hidden="1" customWidth="1"/>
    <col min="13302" max="13302" width="13.1328125" style="293" bestFit="1" customWidth="1"/>
    <col min="13303" max="13306" width="11.59765625" style="293" bestFit="1" customWidth="1"/>
    <col min="13307" max="13307" width="14.3984375" style="293" bestFit="1" customWidth="1"/>
    <col min="13308" max="13337" width="16.3984375" style="293"/>
    <col min="13338" max="13338" width="57" style="293" customWidth="1"/>
    <col min="13339" max="13339" width="19.3984375" style="293" bestFit="1" customWidth="1"/>
    <col min="13340" max="13340" width="14.59765625" style="293" bestFit="1" customWidth="1"/>
    <col min="13341" max="13360" width="12.59765625" style="293" customWidth="1"/>
    <col min="13361" max="13364" width="16.3984375" style="293"/>
    <col min="13365" max="13365" width="1.59765625" style="293" bestFit="1" customWidth="1"/>
    <col min="13366" max="13366" width="19.59765625" style="293" bestFit="1" customWidth="1"/>
    <col min="13367" max="13367" width="2" style="293" bestFit="1" customWidth="1"/>
    <col min="13368" max="13368" width="17.3984375" style="293" bestFit="1" customWidth="1"/>
    <col min="13369" max="13539" width="16.3984375" style="293"/>
    <col min="13540" max="13540" width="57.3984375" style="293" customWidth="1"/>
    <col min="13541" max="13541" width="62.3984375" style="293" customWidth="1"/>
    <col min="13542" max="13542" width="13.86328125" style="293" customWidth="1"/>
    <col min="13543" max="13543" width="12.86328125" style="293" customWidth="1"/>
    <col min="13544" max="13547" width="0" style="293" hidden="1" customWidth="1"/>
    <col min="13548" max="13548" width="12.86328125" style="293" bestFit="1" customWidth="1"/>
    <col min="13549" max="13552" width="0" style="293" hidden="1" customWidth="1"/>
    <col min="13553" max="13553" width="13.1328125" style="293" bestFit="1" customWidth="1"/>
    <col min="13554" max="13557" width="0" style="293" hidden="1" customWidth="1"/>
    <col min="13558" max="13558" width="13.1328125" style="293" bestFit="1" customWidth="1"/>
    <col min="13559" max="13562" width="11.59765625" style="293" bestFit="1" customWidth="1"/>
    <col min="13563" max="13563" width="14.3984375" style="293" bestFit="1" customWidth="1"/>
    <col min="13564" max="13593" width="16.3984375" style="293"/>
    <col min="13594" max="13594" width="57" style="293" customWidth="1"/>
    <col min="13595" max="13595" width="19.3984375" style="293" bestFit="1" customWidth="1"/>
    <col min="13596" max="13596" width="14.59765625" style="293" bestFit="1" customWidth="1"/>
    <col min="13597" max="13616" width="12.59765625" style="293" customWidth="1"/>
    <col min="13617" max="13620" width="16.3984375" style="293"/>
    <col min="13621" max="13621" width="1.59765625" style="293" bestFit="1" customWidth="1"/>
    <col min="13622" max="13622" width="19.59765625" style="293" bestFit="1" customWidth="1"/>
    <col min="13623" max="13623" width="2" style="293" bestFit="1" customWidth="1"/>
    <col min="13624" max="13624" width="17.3984375" style="293" bestFit="1" customWidth="1"/>
    <col min="13625" max="13795" width="16.3984375" style="293"/>
    <col min="13796" max="13796" width="57.3984375" style="293" customWidth="1"/>
    <col min="13797" max="13797" width="62.3984375" style="293" customWidth="1"/>
    <col min="13798" max="13798" width="13.86328125" style="293" customWidth="1"/>
    <col min="13799" max="13799" width="12.86328125" style="293" customWidth="1"/>
    <col min="13800" max="13803" width="0" style="293" hidden="1" customWidth="1"/>
    <col min="13804" max="13804" width="12.86328125" style="293" bestFit="1" customWidth="1"/>
    <col min="13805" max="13808" width="0" style="293" hidden="1" customWidth="1"/>
    <col min="13809" max="13809" width="13.1328125" style="293" bestFit="1" customWidth="1"/>
    <col min="13810" max="13813" width="0" style="293" hidden="1" customWidth="1"/>
    <col min="13814" max="13814" width="13.1328125" style="293" bestFit="1" customWidth="1"/>
    <col min="13815" max="13818" width="11.59765625" style="293" bestFit="1" customWidth="1"/>
    <col min="13819" max="13819" width="14.3984375" style="293" bestFit="1" customWidth="1"/>
    <col min="13820" max="13849" width="16.3984375" style="293"/>
    <col min="13850" max="13850" width="57" style="293" customWidth="1"/>
    <col min="13851" max="13851" width="19.3984375" style="293" bestFit="1" customWidth="1"/>
    <col min="13852" max="13852" width="14.59765625" style="293" bestFit="1" customWidth="1"/>
    <col min="13853" max="13872" width="12.59765625" style="293" customWidth="1"/>
    <col min="13873" max="13876" width="16.3984375" style="293"/>
    <col min="13877" max="13877" width="1.59765625" style="293" bestFit="1" customWidth="1"/>
    <col min="13878" max="13878" width="19.59765625" style="293" bestFit="1" customWidth="1"/>
    <col min="13879" max="13879" width="2" style="293" bestFit="1" customWidth="1"/>
    <col min="13880" max="13880" width="17.3984375" style="293" bestFit="1" customWidth="1"/>
    <col min="13881" max="14051" width="16.3984375" style="293"/>
    <col min="14052" max="14052" width="57.3984375" style="293" customWidth="1"/>
    <col min="14053" max="14053" width="62.3984375" style="293" customWidth="1"/>
    <col min="14054" max="14054" width="13.86328125" style="293" customWidth="1"/>
    <col min="14055" max="14055" width="12.86328125" style="293" customWidth="1"/>
    <col min="14056" max="14059" width="0" style="293" hidden="1" customWidth="1"/>
    <col min="14060" max="14060" width="12.86328125" style="293" bestFit="1" customWidth="1"/>
    <col min="14061" max="14064" width="0" style="293" hidden="1" customWidth="1"/>
    <col min="14065" max="14065" width="13.1328125" style="293" bestFit="1" customWidth="1"/>
    <col min="14066" max="14069" width="0" style="293" hidden="1" customWidth="1"/>
    <col min="14070" max="14070" width="13.1328125" style="293" bestFit="1" customWidth="1"/>
    <col min="14071" max="14074" width="11.59765625" style="293" bestFit="1" customWidth="1"/>
    <col min="14075" max="14075" width="14.3984375" style="293" bestFit="1" customWidth="1"/>
    <col min="14076" max="14105" width="16.3984375" style="293"/>
    <col min="14106" max="14106" width="57" style="293" customWidth="1"/>
    <col min="14107" max="14107" width="19.3984375" style="293" bestFit="1" customWidth="1"/>
    <col min="14108" max="14108" width="14.59765625" style="293" bestFit="1" customWidth="1"/>
    <col min="14109" max="14128" width="12.59765625" style="293" customWidth="1"/>
    <col min="14129" max="14132" width="16.3984375" style="293"/>
    <col min="14133" max="14133" width="1.59765625" style="293" bestFit="1" customWidth="1"/>
    <col min="14134" max="14134" width="19.59765625" style="293" bestFit="1" customWidth="1"/>
    <col min="14135" max="14135" width="2" style="293" bestFit="1" customWidth="1"/>
    <col min="14136" max="14136" width="17.3984375" style="293" bestFit="1" customWidth="1"/>
    <col min="14137" max="14307" width="16.3984375" style="293"/>
    <col min="14308" max="14308" width="57.3984375" style="293" customWidth="1"/>
    <col min="14309" max="14309" width="62.3984375" style="293" customWidth="1"/>
    <col min="14310" max="14310" width="13.86328125" style="293" customWidth="1"/>
    <col min="14311" max="14311" width="12.86328125" style="293" customWidth="1"/>
    <col min="14312" max="14315" width="0" style="293" hidden="1" customWidth="1"/>
    <col min="14316" max="14316" width="12.86328125" style="293" bestFit="1" customWidth="1"/>
    <col min="14317" max="14320" width="0" style="293" hidden="1" customWidth="1"/>
    <col min="14321" max="14321" width="13.1328125" style="293" bestFit="1" customWidth="1"/>
    <col min="14322" max="14325" width="0" style="293" hidden="1" customWidth="1"/>
    <col min="14326" max="14326" width="13.1328125" style="293" bestFit="1" customWidth="1"/>
    <col min="14327" max="14330" width="11.59765625" style="293" bestFit="1" customWidth="1"/>
    <col min="14331" max="14331" width="14.3984375" style="293" bestFit="1" customWidth="1"/>
    <col min="14332" max="14361" width="16.3984375" style="293"/>
    <col min="14362" max="14362" width="57" style="293" customWidth="1"/>
    <col min="14363" max="14363" width="19.3984375" style="293" bestFit="1" customWidth="1"/>
    <col min="14364" max="14364" width="14.59765625" style="293" bestFit="1" customWidth="1"/>
    <col min="14365" max="14384" width="12.59765625" style="293" customWidth="1"/>
    <col min="14385" max="14388" width="16.3984375" style="293"/>
    <col min="14389" max="14389" width="1.59765625" style="293" bestFit="1" customWidth="1"/>
    <col min="14390" max="14390" width="19.59765625" style="293" bestFit="1" customWidth="1"/>
    <col min="14391" max="14391" width="2" style="293" bestFit="1" customWidth="1"/>
    <col min="14392" max="14392" width="17.3984375" style="293" bestFit="1" customWidth="1"/>
    <col min="14393" max="14563" width="16.3984375" style="293"/>
    <col min="14564" max="14564" width="57.3984375" style="293" customWidth="1"/>
    <col min="14565" max="14565" width="62.3984375" style="293" customWidth="1"/>
    <col min="14566" max="14566" width="13.86328125" style="293" customWidth="1"/>
    <col min="14567" max="14567" width="12.86328125" style="293" customWidth="1"/>
    <col min="14568" max="14571" width="0" style="293" hidden="1" customWidth="1"/>
    <col min="14572" max="14572" width="12.86328125" style="293" bestFit="1" customWidth="1"/>
    <col min="14573" max="14576" width="0" style="293" hidden="1" customWidth="1"/>
    <col min="14577" max="14577" width="13.1328125" style="293" bestFit="1" customWidth="1"/>
    <col min="14578" max="14581" width="0" style="293" hidden="1" customWidth="1"/>
    <col min="14582" max="14582" width="13.1328125" style="293" bestFit="1" customWidth="1"/>
    <col min="14583" max="14586" width="11.59765625" style="293" bestFit="1" customWidth="1"/>
    <col min="14587" max="14587" width="14.3984375" style="293" bestFit="1" customWidth="1"/>
    <col min="14588" max="14617" width="16.3984375" style="293"/>
    <col min="14618" max="14618" width="57" style="293" customWidth="1"/>
    <col min="14619" max="14619" width="19.3984375" style="293" bestFit="1" customWidth="1"/>
    <col min="14620" max="14620" width="14.59765625" style="293" bestFit="1" customWidth="1"/>
    <col min="14621" max="14640" width="12.59765625" style="293" customWidth="1"/>
    <col min="14641" max="14644" width="16.3984375" style="293"/>
    <col min="14645" max="14645" width="1.59765625" style="293" bestFit="1" customWidth="1"/>
    <col min="14646" max="14646" width="19.59765625" style="293" bestFit="1" customWidth="1"/>
    <col min="14647" max="14647" width="2" style="293" bestFit="1" customWidth="1"/>
    <col min="14648" max="14648" width="17.3984375" style="293" bestFit="1" customWidth="1"/>
    <col min="14649" max="14819" width="16.3984375" style="293"/>
    <col min="14820" max="14820" width="57.3984375" style="293" customWidth="1"/>
    <col min="14821" max="14821" width="62.3984375" style="293" customWidth="1"/>
    <col min="14822" max="14822" width="13.86328125" style="293" customWidth="1"/>
    <col min="14823" max="14823" width="12.86328125" style="293" customWidth="1"/>
    <col min="14824" max="14827" width="0" style="293" hidden="1" customWidth="1"/>
    <col min="14828" max="14828" width="12.86328125" style="293" bestFit="1" customWidth="1"/>
    <col min="14829" max="14832" width="0" style="293" hidden="1" customWidth="1"/>
    <col min="14833" max="14833" width="13.1328125" style="293" bestFit="1" customWidth="1"/>
    <col min="14834" max="14837" width="0" style="293" hidden="1" customWidth="1"/>
    <col min="14838" max="14838" width="13.1328125" style="293" bestFit="1" customWidth="1"/>
    <col min="14839" max="14842" width="11.59765625" style="293" bestFit="1" customWidth="1"/>
    <col min="14843" max="14843" width="14.3984375" style="293" bestFit="1" customWidth="1"/>
    <col min="14844" max="14873" width="16.3984375" style="293"/>
    <col min="14874" max="14874" width="57" style="293" customWidth="1"/>
    <col min="14875" max="14875" width="19.3984375" style="293" bestFit="1" customWidth="1"/>
    <col min="14876" max="14876" width="14.59765625" style="293" bestFit="1" customWidth="1"/>
    <col min="14877" max="14896" width="12.59765625" style="293" customWidth="1"/>
    <col min="14897" max="14900" width="16.3984375" style="293"/>
    <col min="14901" max="14901" width="1.59765625" style="293" bestFit="1" customWidth="1"/>
    <col min="14902" max="14902" width="19.59765625" style="293" bestFit="1" customWidth="1"/>
    <col min="14903" max="14903" width="2" style="293" bestFit="1" customWidth="1"/>
    <col min="14904" max="14904" width="17.3984375" style="293" bestFit="1" customWidth="1"/>
    <col min="14905" max="15075" width="16.3984375" style="293"/>
    <col min="15076" max="15076" width="57.3984375" style="293" customWidth="1"/>
    <col min="15077" max="15077" width="62.3984375" style="293" customWidth="1"/>
    <col min="15078" max="15078" width="13.86328125" style="293" customWidth="1"/>
    <col min="15079" max="15079" width="12.86328125" style="293" customWidth="1"/>
    <col min="15080" max="15083" width="0" style="293" hidden="1" customWidth="1"/>
    <col min="15084" max="15084" width="12.86328125" style="293" bestFit="1" customWidth="1"/>
    <col min="15085" max="15088" width="0" style="293" hidden="1" customWidth="1"/>
    <col min="15089" max="15089" width="13.1328125" style="293" bestFit="1" customWidth="1"/>
    <col min="15090" max="15093" width="0" style="293" hidden="1" customWidth="1"/>
    <col min="15094" max="15094" width="13.1328125" style="293" bestFit="1" customWidth="1"/>
    <col min="15095" max="15098" width="11.59765625" style="293" bestFit="1" customWidth="1"/>
    <col min="15099" max="15099" width="14.3984375" style="293" bestFit="1" customWidth="1"/>
    <col min="15100" max="15129" width="16.3984375" style="293"/>
    <col min="15130" max="15130" width="57" style="293" customWidth="1"/>
    <col min="15131" max="15131" width="19.3984375" style="293" bestFit="1" customWidth="1"/>
    <col min="15132" max="15132" width="14.59765625" style="293" bestFit="1" customWidth="1"/>
    <col min="15133" max="15152" width="12.59765625" style="293" customWidth="1"/>
    <col min="15153" max="15156" width="16.3984375" style="293"/>
    <col min="15157" max="15157" width="1.59765625" style="293" bestFit="1" customWidth="1"/>
    <col min="15158" max="15158" width="19.59765625" style="293" bestFit="1" customWidth="1"/>
    <col min="15159" max="15159" width="2" style="293" bestFit="1" customWidth="1"/>
    <col min="15160" max="15160" width="17.3984375" style="293" bestFit="1" customWidth="1"/>
    <col min="15161" max="15331" width="16.3984375" style="293"/>
    <col min="15332" max="15332" width="57.3984375" style="293" customWidth="1"/>
    <col min="15333" max="15333" width="62.3984375" style="293" customWidth="1"/>
    <col min="15334" max="15334" width="13.86328125" style="293" customWidth="1"/>
    <col min="15335" max="15335" width="12.86328125" style="293" customWidth="1"/>
    <col min="15336" max="15339" width="0" style="293" hidden="1" customWidth="1"/>
    <col min="15340" max="15340" width="12.86328125" style="293" bestFit="1" customWidth="1"/>
    <col min="15341" max="15344" width="0" style="293" hidden="1" customWidth="1"/>
    <col min="15345" max="15345" width="13.1328125" style="293" bestFit="1" customWidth="1"/>
    <col min="15346" max="15349" width="0" style="293" hidden="1" customWidth="1"/>
    <col min="15350" max="15350" width="13.1328125" style="293" bestFit="1" customWidth="1"/>
    <col min="15351" max="15354" width="11.59765625" style="293" bestFit="1" customWidth="1"/>
    <col min="15355" max="15355" width="14.3984375" style="293" bestFit="1" customWidth="1"/>
    <col min="15356" max="15385" width="16.3984375" style="293"/>
    <col min="15386" max="15386" width="57" style="293" customWidth="1"/>
    <col min="15387" max="15387" width="19.3984375" style="293" bestFit="1" customWidth="1"/>
    <col min="15388" max="15388" width="14.59765625" style="293" bestFit="1" customWidth="1"/>
    <col min="15389" max="15408" width="12.59765625" style="293" customWidth="1"/>
    <col min="15409" max="15412" width="16.3984375" style="293"/>
    <col min="15413" max="15413" width="1.59765625" style="293" bestFit="1" customWidth="1"/>
    <col min="15414" max="15414" width="19.59765625" style="293" bestFit="1" customWidth="1"/>
    <col min="15415" max="15415" width="2" style="293" bestFit="1" customWidth="1"/>
    <col min="15416" max="15416" width="17.3984375" style="293" bestFit="1" customWidth="1"/>
    <col min="15417" max="15587" width="16.3984375" style="293"/>
    <col min="15588" max="15588" width="57.3984375" style="293" customWidth="1"/>
    <col min="15589" max="15589" width="62.3984375" style="293" customWidth="1"/>
    <col min="15590" max="15590" width="13.86328125" style="293" customWidth="1"/>
    <col min="15591" max="15591" width="12.86328125" style="293" customWidth="1"/>
    <col min="15592" max="15595" width="0" style="293" hidden="1" customWidth="1"/>
    <col min="15596" max="15596" width="12.86328125" style="293" bestFit="1" customWidth="1"/>
    <col min="15597" max="15600" width="0" style="293" hidden="1" customWidth="1"/>
    <col min="15601" max="15601" width="13.1328125" style="293" bestFit="1" customWidth="1"/>
    <col min="15602" max="15605" width="0" style="293" hidden="1" customWidth="1"/>
    <col min="15606" max="15606" width="13.1328125" style="293" bestFit="1" customWidth="1"/>
    <col min="15607" max="15610" width="11.59765625" style="293" bestFit="1" customWidth="1"/>
    <col min="15611" max="15611" width="14.3984375" style="293" bestFit="1" customWidth="1"/>
    <col min="15612" max="15641" width="16.3984375" style="293"/>
    <col min="15642" max="15642" width="57" style="293" customWidth="1"/>
    <col min="15643" max="15643" width="19.3984375" style="293" bestFit="1" customWidth="1"/>
    <col min="15644" max="15644" width="14.59765625" style="293" bestFit="1" customWidth="1"/>
    <col min="15645" max="15664" width="12.59765625" style="293" customWidth="1"/>
    <col min="15665" max="15668" width="16.3984375" style="293"/>
    <col min="15669" max="15669" width="1.59765625" style="293" bestFit="1" customWidth="1"/>
    <col min="15670" max="15670" width="19.59765625" style="293" bestFit="1" customWidth="1"/>
    <col min="15671" max="15671" width="2" style="293" bestFit="1" customWidth="1"/>
    <col min="15672" max="15672" width="17.3984375" style="293" bestFit="1" customWidth="1"/>
    <col min="15673" max="15843" width="16.3984375" style="293"/>
    <col min="15844" max="15844" width="57.3984375" style="293" customWidth="1"/>
    <col min="15845" max="15845" width="62.3984375" style="293" customWidth="1"/>
    <col min="15846" max="15846" width="13.86328125" style="293" customWidth="1"/>
    <col min="15847" max="15847" width="12.86328125" style="293" customWidth="1"/>
    <col min="15848" max="15851" width="0" style="293" hidden="1" customWidth="1"/>
    <col min="15852" max="15852" width="12.86328125" style="293" bestFit="1" customWidth="1"/>
    <col min="15853" max="15856" width="0" style="293" hidden="1" customWidth="1"/>
    <col min="15857" max="15857" width="13.1328125" style="293" bestFit="1" customWidth="1"/>
    <col min="15858" max="15861" width="0" style="293" hidden="1" customWidth="1"/>
    <col min="15862" max="15862" width="13.1328125" style="293" bestFit="1" customWidth="1"/>
    <col min="15863" max="15866" width="11.59765625" style="293" bestFit="1" customWidth="1"/>
    <col min="15867" max="15867" width="14.3984375" style="293" bestFit="1" customWidth="1"/>
    <col min="15868" max="15897" width="16.3984375" style="293"/>
    <col min="15898" max="15898" width="57" style="293" customWidth="1"/>
    <col min="15899" max="15899" width="19.3984375" style="293" bestFit="1" customWidth="1"/>
    <col min="15900" max="15900" width="14.59765625" style="293" bestFit="1" customWidth="1"/>
    <col min="15901" max="15920" width="12.59765625" style="293" customWidth="1"/>
    <col min="15921" max="15924" width="16.3984375" style="293"/>
    <col min="15925" max="15925" width="1.59765625" style="293" bestFit="1" customWidth="1"/>
    <col min="15926" max="15926" width="19.59765625" style="293" bestFit="1" customWidth="1"/>
    <col min="15927" max="15927" width="2" style="293" bestFit="1" customWidth="1"/>
    <col min="15928" max="15928" width="17.3984375" style="293" bestFit="1" customWidth="1"/>
    <col min="15929" max="16099" width="16.3984375" style="293"/>
    <col min="16100" max="16100" width="57.3984375" style="293" customWidth="1"/>
    <col min="16101" max="16101" width="62.3984375" style="293" customWidth="1"/>
    <col min="16102" max="16102" width="13.86328125" style="293" customWidth="1"/>
    <col min="16103" max="16103" width="12.86328125" style="293" customWidth="1"/>
    <col min="16104" max="16107" width="0" style="293" hidden="1" customWidth="1"/>
    <col min="16108" max="16108" width="12.86328125" style="293" bestFit="1" customWidth="1"/>
    <col min="16109" max="16112" width="0" style="293" hidden="1" customWidth="1"/>
    <col min="16113" max="16113" width="13.1328125" style="293" bestFit="1" customWidth="1"/>
    <col min="16114" max="16117" width="0" style="293" hidden="1" customWidth="1"/>
    <col min="16118" max="16118" width="13.1328125" style="293" bestFit="1" customWidth="1"/>
    <col min="16119" max="16122" width="11.59765625" style="293" bestFit="1" customWidth="1"/>
    <col min="16123" max="16123" width="14.3984375" style="293" bestFit="1" customWidth="1"/>
    <col min="16124" max="16153" width="16.3984375" style="293"/>
    <col min="16154" max="16154" width="57" style="293" customWidth="1"/>
    <col min="16155" max="16155" width="19.3984375" style="293" bestFit="1" customWidth="1"/>
    <col min="16156" max="16156" width="14.59765625" style="293" bestFit="1" customWidth="1"/>
    <col min="16157" max="16176" width="12.59765625" style="293" customWidth="1"/>
    <col min="16177" max="16180" width="16.3984375" style="293"/>
    <col min="16181" max="16181" width="1.59765625" style="293" bestFit="1" customWidth="1"/>
    <col min="16182" max="16182" width="19.59765625" style="293" bestFit="1" customWidth="1"/>
    <col min="16183" max="16183" width="2" style="293" bestFit="1" customWidth="1"/>
    <col min="16184" max="16184" width="17.3984375" style="293" bestFit="1" customWidth="1"/>
    <col min="16185" max="16355" width="16.3984375" style="293"/>
    <col min="16356" max="16356" width="57.3984375" style="293" customWidth="1"/>
    <col min="16357" max="16357" width="62.3984375" style="293" customWidth="1"/>
    <col min="16358" max="16358" width="13.86328125" style="293" customWidth="1"/>
    <col min="16359" max="16359" width="12.86328125" style="293" customWidth="1"/>
    <col min="16360" max="16363" width="0" style="293" hidden="1" customWidth="1"/>
    <col min="16364" max="16364" width="12.86328125" style="293" bestFit="1" customWidth="1"/>
    <col min="16365" max="16368" width="0" style="293" hidden="1" customWidth="1"/>
    <col min="16369" max="16369" width="13.1328125" style="293" bestFit="1" customWidth="1"/>
    <col min="16370" max="16373" width="0" style="293" hidden="1" customWidth="1"/>
    <col min="16374" max="16374" width="13.1328125" style="293" bestFit="1" customWidth="1"/>
    <col min="16375" max="16378" width="11.59765625" style="293" bestFit="1" customWidth="1"/>
    <col min="16379" max="16379" width="14.3984375" style="293" bestFit="1" customWidth="1"/>
    <col min="16380" max="16384" width="16.3984375" style="293"/>
  </cols>
  <sheetData>
    <row r="1" spans="1:281" ht="15.4">
      <c r="A1" s="289" t="s">
        <v>527</v>
      </c>
      <c r="B1" s="290"/>
      <c r="C1" s="291"/>
      <c r="D1" s="291"/>
      <c r="E1" s="291"/>
      <c r="F1" s="291"/>
      <c r="G1" s="291"/>
      <c r="H1" s="291"/>
      <c r="I1" s="291"/>
      <c r="J1" s="291"/>
      <c r="K1" s="291"/>
      <c r="L1" s="291"/>
      <c r="M1" s="291"/>
      <c r="N1" s="291"/>
      <c r="O1" s="291"/>
      <c r="P1" s="291"/>
      <c r="Q1" s="291"/>
      <c r="R1" s="291"/>
      <c r="S1" s="291"/>
      <c r="T1" s="291"/>
      <c r="U1" s="291"/>
      <c r="V1" s="291"/>
      <c r="W1" s="291"/>
      <c r="X1" s="291"/>
      <c r="Y1" s="291"/>
      <c r="Z1" s="291"/>
      <c r="AA1" s="291"/>
      <c r="AB1" s="291"/>
      <c r="AC1" s="291"/>
      <c r="AD1" s="291"/>
      <c r="AE1" s="291"/>
      <c r="AF1" s="291"/>
      <c r="AG1" s="291"/>
      <c r="AH1" s="291"/>
      <c r="AI1" s="291"/>
      <c r="AJ1" s="291"/>
      <c r="AK1" s="291"/>
      <c r="AL1" s="291"/>
      <c r="AM1" s="291"/>
      <c r="AN1" s="291"/>
      <c r="AO1" s="291"/>
      <c r="AP1" s="291"/>
      <c r="AQ1" s="291"/>
      <c r="AR1" s="291"/>
      <c r="AS1" s="291"/>
      <c r="AT1" s="291"/>
      <c r="AU1" s="291"/>
      <c r="AV1" s="291"/>
      <c r="AW1" s="291"/>
      <c r="AX1" s="291"/>
      <c r="AY1" s="291"/>
      <c r="AZ1" s="291"/>
      <c r="BA1" s="291"/>
      <c r="BB1" s="291"/>
      <c r="BC1" s="291"/>
      <c r="BD1" t="s">
        <v>528</v>
      </c>
      <c r="BE1" s="292"/>
      <c r="BF1" s="291"/>
      <c r="BG1" s="291"/>
      <c r="BH1" s="291"/>
      <c r="BI1" s="291"/>
      <c r="BJ1" s="291"/>
      <c r="BK1" s="291"/>
      <c r="BL1" s="291"/>
      <c r="BM1" s="291"/>
      <c r="BN1" s="291"/>
      <c r="BO1" s="291"/>
      <c r="BP1" s="291"/>
      <c r="BQ1" s="291"/>
      <c r="BR1" s="291"/>
      <c r="BS1" s="291"/>
      <c r="BT1" s="291"/>
      <c r="BU1" s="291"/>
      <c r="BV1" s="291"/>
      <c r="BW1" s="291"/>
      <c r="BX1" s="291"/>
      <c r="BY1" s="291"/>
      <c r="BZ1" s="291"/>
      <c r="CA1" s="291"/>
      <c r="CB1" s="291"/>
      <c r="CC1" s="291"/>
      <c r="CD1" s="291"/>
      <c r="CE1" s="291"/>
      <c r="CF1" s="291"/>
      <c r="CG1" s="291"/>
      <c r="CH1" s="291"/>
      <c r="CI1" s="291"/>
      <c r="CJ1" s="291"/>
      <c r="CK1" s="291"/>
      <c r="CL1" s="291"/>
      <c r="CM1" s="291"/>
      <c r="CN1" s="291"/>
      <c r="CO1" s="291"/>
      <c r="CP1" s="291"/>
      <c r="CQ1" s="291"/>
      <c r="CR1" s="291"/>
      <c r="CS1" s="291"/>
      <c r="CT1" s="291"/>
      <c r="CU1" s="291"/>
      <c r="CV1" s="291"/>
      <c r="CW1" s="291"/>
      <c r="CX1" s="291"/>
      <c r="CY1" s="291"/>
      <c r="CZ1" s="291"/>
      <c r="DA1" s="291"/>
      <c r="DB1" s="291"/>
      <c r="DC1" s="291"/>
      <c r="DD1" s="291"/>
      <c r="DE1" s="291"/>
      <c r="DF1" s="291"/>
      <c r="DG1" s="291"/>
      <c r="DH1" s="291"/>
      <c r="DI1" s="291"/>
      <c r="DJ1" s="291"/>
      <c r="DK1" s="291"/>
      <c r="DL1" s="291"/>
      <c r="DM1" s="291"/>
      <c r="DN1" s="291"/>
      <c r="DO1" s="291"/>
      <c r="DP1" s="291"/>
      <c r="DQ1" s="291"/>
      <c r="DR1" s="291"/>
      <c r="DS1" s="291"/>
      <c r="DT1" s="291"/>
      <c r="DU1" s="291"/>
      <c r="DV1" s="291"/>
      <c r="DW1" s="291"/>
      <c r="DX1" s="291"/>
      <c r="DY1" s="291"/>
      <c r="DZ1" s="291"/>
      <c r="EA1" s="291"/>
      <c r="EB1" s="291"/>
      <c r="EC1" s="291"/>
      <c r="ED1" s="291"/>
      <c r="EE1" s="291"/>
      <c r="EF1" s="291"/>
      <c r="EG1" s="291"/>
      <c r="EH1" s="291"/>
      <c r="EI1" s="291"/>
      <c r="EJ1" s="291"/>
      <c r="EK1" s="291"/>
      <c r="EL1" s="291"/>
      <c r="EM1" s="291"/>
      <c r="EN1" s="291"/>
      <c r="EO1" s="291"/>
      <c r="EP1" s="291"/>
      <c r="EQ1" s="291"/>
      <c r="ER1" s="291"/>
      <c r="ES1" s="291"/>
      <c r="ET1" s="291"/>
      <c r="EU1" s="291"/>
      <c r="EV1" s="291"/>
      <c r="EW1" s="291"/>
      <c r="EX1" s="291"/>
      <c r="EY1" s="291"/>
      <c r="EZ1" s="291"/>
      <c r="FA1" s="291"/>
      <c r="FB1" s="291"/>
      <c r="FC1" s="291"/>
      <c r="FD1" s="291"/>
      <c r="FE1" s="291"/>
      <c r="FF1" s="291"/>
      <c r="FG1" s="291"/>
      <c r="FH1" s="291"/>
      <c r="FI1" s="291"/>
      <c r="FJ1" s="291"/>
      <c r="FK1" s="291"/>
      <c r="FL1" s="291"/>
      <c r="FM1" s="291"/>
      <c r="FN1" s="291"/>
      <c r="FO1" s="291"/>
      <c r="FP1" s="291"/>
      <c r="FQ1" s="291"/>
      <c r="FR1" s="291"/>
      <c r="FS1" s="291"/>
      <c r="FT1" s="291"/>
      <c r="FU1" s="291"/>
      <c r="FV1" s="291"/>
      <c r="FW1" s="291"/>
      <c r="FX1" s="291"/>
      <c r="FY1" s="291"/>
      <c r="FZ1" s="291"/>
      <c r="GA1" s="291"/>
      <c r="GB1" s="291"/>
      <c r="GC1" s="291"/>
      <c r="GD1" s="291"/>
      <c r="GE1" s="291"/>
      <c r="GF1" s="291"/>
      <c r="GG1" s="291"/>
      <c r="GH1" s="291"/>
      <c r="GI1" s="291"/>
      <c r="GJ1" s="291"/>
      <c r="GK1" s="291"/>
      <c r="GL1" s="291"/>
      <c r="GM1" s="291"/>
      <c r="GN1" s="291"/>
      <c r="GO1" s="291"/>
      <c r="GP1" s="291"/>
      <c r="GQ1" s="291"/>
      <c r="GR1" s="291"/>
      <c r="GS1" s="291"/>
      <c r="GT1" s="291"/>
      <c r="GU1" s="291"/>
      <c r="GV1" s="291"/>
      <c r="GW1" s="291"/>
      <c r="GX1" s="291"/>
      <c r="GY1" s="291"/>
      <c r="GZ1" s="291"/>
      <c r="HA1" s="291"/>
      <c r="HB1" s="291"/>
      <c r="HC1" s="291"/>
      <c r="HD1" s="291"/>
      <c r="HE1" s="291"/>
      <c r="HF1" s="291"/>
      <c r="HG1" s="291"/>
      <c r="HH1" s="291"/>
      <c r="HI1" s="291"/>
      <c r="HJ1" s="291"/>
      <c r="HK1" s="291"/>
      <c r="HL1" s="291"/>
      <c r="HM1" s="291"/>
      <c r="HN1" s="291"/>
      <c r="HO1" s="291"/>
      <c r="HP1" s="291"/>
      <c r="HQ1" s="291"/>
      <c r="HR1" s="291"/>
      <c r="HS1" s="291"/>
      <c r="HT1" s="291"/>
      <c r="HU1" s="291"/>
      <c r="HV1" s="291"/>
      <c r="HW1" s="291"/>
      <c r="HX1" s="291"/>
      <c r="HY1" s="291"/>
      <c r="HZ1" s="291"/>
      <c r="IA1" s="291"/>
      <c r="IB1" s="291"/>
      <c r="IC1" s="291"/>
      <c r="ID1" s="291"/>
      <c r="IE1" s="291"/>
      <c r="IF1" s="291"/>
      <c r="IG1" s="291"/>
      <c r="IH1" s="291"/>
      <c r="II1" s="291"/>
      <c r="IJ1" s="291"/>
      <c r="IK1" s="291"/>
      <c r="IL1" s="291"/>
      <c r="IM1" s="291"/>
      <c r="IN1" s="291"/>
      <c r="IO1" s="291"/>
      <c r="IP1" s="291"/>
      <c r="IQ1" s="291"/>
      <c r="IR1" s="291"/>
      <c r="IS1" s="291"/>
      <c r="IT1" s="291"/>
      <c r="IU1" s="291"/>
      <c r="IV1" s="291"/>
      <c r="IW1" s="291"/>
      <c r="IX1" s="291"/>
      <c r="IY1" s="291"/>
      <c r="IZ1" s="291"/>
      <c r="JA1" s="291"/>
      <c r="JB1" s="291"/>
      <c r="JC1" s="291"/>
      <c r="JD1" s="291"/>
      <c r="JE1" s="291"/>
      <c r="JF1" s="291"/>
      <c r="JG1" s="291"/>
      <c r="JH1" s="291"/>
      <c r="JI1" s="291"/>
      <c r="JJ1" s="291"/>
      <c r="JK1" s="291"/>
      <c r="JL1" s="291"/>
      <c r="JM1" s="291"/>
      <c r="JN1" s="291"/>
      <c r="JO1" s="291"/>
      <c r="JP1" s="291"/>
      <c r="JQ1" s="291"/>
      <c r="JR1" s="291"/>
      <c r="JS1" s="291"/>
      <c r="JT1" s="291"/>
      <c r="JU1" s="291"/>
    </row>
    <row r="2" spans="1:281" ht="15.4">
      <c r="A2" s="289" t="s">
        <v>529</v>
      </c>
      <c r="B2" s="290"/>
      <c r="C2" s="291"/>
      <c r="D2" s="291"/>
      <c r="E2" s="291"/>
      <c r="F2" s="291"/>
      <c r="G2" s="291"/>
      <c r="H2" s="291"/>
      <c r="I2" s="291"/>
      <c r="J2" s="291"/>
      <c r="K2" s="291"/>
      <c r="L2" s="291"/>
      <c r="M2" s="291"/>
      <c r="N2" s="291"/>
      <c r="O2" s="291"/>
      <c r="P2" s="291"/>
      <c r="Q2" s="291"/>
      <c r="R2" s="291"/>
      <c r="S2" s="291"/>
      <c r="T2" s="291"/>
      <c r="U2" s="291"/>
      <c r="V2" s="291"/>
      <c r="W2" s="291"/>
      <c r="X2" s="291"/>
      <c r="Y2" s="291"/>
      <c r="Z2" s="291"/>
      <c r="AA2" s="291"/>
      <c r="AB2" s="291"/>
      <c r="AC2" s="291"/>
      <c r="AD2" s="291"/>
      <c r="AE2" s="291"/>
      <c r="AF2" s="291"/>
      <c r="AG2" s="291"/>
      <c r="AH2" s="291"/>
      <c r="AI2" s="291"/>
      <c r="AJ2" s="291"/>
      <c r="AK2" s="291"/>
      <c r="AL2" s="291"/>
      <c r="AM2" s="291"/>
      <c r="AN2" s="291"/>
      <c r="AO2" s="291"/>
      <c r="AP2" s="291"/>
      <c r="AQ2" s="291"/>
      <c r="AR2" s="291"/>
      <c r="AS2" s="291"/>
      <c r="AT2" s="291"/>
      <c r="AU2" s="291"/>
      <c r="AV2" s="291"/>
      <c r="AW2" s="291"/>
      <c r="AX2" s="291"/>
      <c r="AY2" s="291"/>
      <c r="AZ2" s="291"/>
      <c r="BA2" s="291"/>
      <c r="BB2" s="291"/>
      <c r="BC2" s="291"/>
      <c r="BD2" t="s">
        <v>530</v>
      </c>
      <c r="BE2" s="292"/>
      <c r="BF2" s="291"/>
      <c r="BG2" s="291"/>
      <c r="BH2" s="291"/>
      <c r="BI2" s="291"/>
      <c r="BJ2" s="291"/>
      <c r="BK2" s="291"/>
      <c r="BL2" s="291"/>
      <c r="BM2" s="291"/>
      <c r="BN2" s="291"/>
      <c r="BO2" s="291"/>
      <c r="BP2" s="291"/>
      <c r="BQ2" s="291"/>
      <c r="BR2" s="291"/>
      <c r="BS2" s="291"/>
      <c r="BT2" s="291"/>
      <c r="BU2" s="291"/>
      <c r="BV2" s="291"/>
      <c r="BW2" s="291"/>
      <c r="BX2" s="291"/>
      <c r="BY2" s="291"/>
      <c r="BZ2" s="291"/>
      <c r="CA2" s="291"/>
      <c r="CB2" s="291"/>
      <c r="CC2" s="291"/>
      <c r="CD2" s="291"/>
      <c r="CE2" s="291"/>
      <c r="CF2" s="291"/>
      <c r="CG2" s="291"/>
      <c r="CH2" s="291"/>
      <c r="CI2" s="291"/>
      <c r="CJ2" s="291"/>
      <c r="CK2" s="291"/>
      <c r="CL2" s="291"/>
      <c r="CM2" s="291"/>
      <c r="CN2" s="291"/>
      <c r="CO2" s="291"/>
      <c r="CP2" s="291"/>
      <c r="CQ2" s="291"/>
      <c r="CR2" s="291"/>
      <c r="CS2" s="291"/>
      <c r="CT2" s="291"/>
      <c r="CU2" s="291"/>
      <c r="CV2" s="291"/>
      <c r="CW2" s="291"/>
      <c r="CX2" s="291"/>
      <c r="CY2" s="291"/>
      <c r="CZ2" s="291"/>
      <c r="DA2" s="291"/>
      <c r="DB2" s="291"/>
      <c r="DC2" s="291"/>
      <c r="DD2" s="291"/>
      <c r="DE2" s="291"/>
      <c r="DF2" s="291"/>
      <c r="DG2" s="291"/>
      <c r="DH2" s="291"/>
      <c r="DI2" s="291"/>
      <c r="DJ2" s="291"/>
      <c r="DK2" s="291"/>
      <c r="DL2" s="291"/>
      <c r="DM2" s="291"/>
      <c r="DN2" s="291"/>
      <c r="DO2" s="291"/>
      <c r="DP2" s="291"/>
      <c r="DQ2" s="291"/>
      <c r="DR2" s="291"/>
      <c r="DS2" s="291"/>
      <c r="DT2" s="291"/>
      <c r="DU2" s="291"/>
      <c r="DV2" s="291"/>
      <c r="DW2" s="291"/>
      <c r="DX2" s="291"/>
      <c r="DY2" s="291"/>
      <c r="DZ2" s="291"/>
      <c r="EA2" s="291"/>
      <c r="EB2" s="291"/>
      <c r="EC2" s="291"/>
      <c r="ED2" s="291"/>
      <c r="EE2" s="291"/>
      <c r="EF2" s="291"/>
      <c r="EG2" s="291"/>
      <c r="EH2" s="291"/>
      <c r="EI2" s="291"/>
      <c r="EJ2" s="291"/>
      <c r="EK2" s="291"/>
      <c r="EL2" s="291"/>
      <c r="EM2" s="291"/>
      <c r="EN2" s="291"/>
      <c r="EO2" s="291"/>
      <c r="EP2" s="291"/>
      <c r="EQ2" s="291"/>
      <c r="ER2" s="291"/>
      <c r="ES2" s="291"/>
      <c r="ET2" s="291"/>
      <c r="EU2" s="291"/>
      <c r="EV2" s="291"/>
      <c r="EW2" s="291"/>
      <c r="EX2" s="291"/>
      <c r="EY2" s="291"/>
      <c r="EZ2" s="291"/>
      <c r="FA2" s="291"/>
      <c r="FB2" s="291"/>
      <c r="FC2" s="291"/>
      <c r="FD2" s="291"/>
      <c r="FE2" s="291"/>
      <c r="FF2" s="291"/>
      <c r="FG2" s="291"/>
      <c r="FH2" s="291"/>
      <c r="FI2" s="291"/>
      <c r="FJ2" s="291"/>
      <c r="FK2" s="291"/>
      <c r="FL2" s="291"/>
      <c r="FM2" s="291"/>
      <c r="FN2" s="291"/>
      <c r="FO2" s="291"/>
      <c r="FP2" s="291"/>
      <c r="FQ2" s="291"/>
      <c r="FR2" s="291"/>
      <c r="FS2" s="291"/>
      <c r="FT2" s="291"/>
      <c r="FU2" s="291"/>
      <c r="FV2" s="291"/>
      <c r="FW2" s="291"/>
      <c r="FX2" s="291"/>
      <c r="FY2" s="291"/>
      <c r="FZ2" s="291"/>
      <c r="GA2" s="291"/>
      <c r="GB2" s="291"/>
      <c r="GC2" s="291"/>
      <c r="GD2" s="291"/>
      <c r="GE2" s="291"/>
      <c r="GF2" s="291"/>
      <c r="GG2" s="291"/>
      <c r="GH2" s="291"/>
      <c r="GI2" s="291"/>
      <c r="GJ2" s="291"/>
      <c r="GK2" s="291"/>
      <c r="GL2" s="291"/>
      <c r="GM2" s="291"/>
      <c r="GN2" s="291"/>
      <c r="GO2" s="291"/>
      <c r="GP2" s="291"/>
      <c r="GQ2" s="291"/>
      <c r="GR2" s="291"/>
      <c r="GS2" s="291"/>
      <c r="GT2" s="291"/>
      <c r="GU2" s="291"/>
      <c r="GV2" s="291"/>
      <c r="GW2" s="291"/>
      <c r="GX2" s="291"/>
      <c r="GY2" s="291"/>
      <c r="GZ2" s="291"/>
      <c r="HA2" s="291"/>
      <c r="HB2" s="291"/>
      <c r="HC2" s="291"/>
      <c r="HD2" s="291"/>
      <c r="HE2" s="291"/>
      <c r="HF2" s="291"/>
      <c r="HG2" s="291"/>
      <c r="HH2" s="291"/>
      <c r="HI2" s="291"/>
      <c r="HJ2" s="291"/>
      <c r="HK2" s="291"/>
      <c r="HL2" s="291"/>
      <c r="HM2" s="291"/>
      <c r="HN2" s="291"/>
      <c r="HO2" s="291"/>
      <c r="HP2" s="291"/>
      <c r="HQ2" s="291"/>
      <c r="HR2" s="291"/>
      <c r="HS2" s="291"/>
      <c r="HT2" s="291"/>
      <c r="HU2" s="291"/>
      <c r="HV2" s="291"/>
      <c r="HW2" s="291"/>
      <c r="HX2" s="291"/>
      <c r="HY2" s="291"/>
      <c r="HZ2" s="291"/>
      <c r="IA2" s="291"/>
      <c r="IB2" s="291"/>
      <c r="IC2" s="291"/>
      <c r="ID2" s="291"/>
      <c r="IE2" s="291"/>
      <c r="IF2" s="291"/>
      <c r="IG2" s="291"/>
      <c r="IH2" s="291"/>
      <c r="II2" s="291"/>
      <c r="IJ2" s="291"/>
      <c r="IK2" s="291"/>
      <c r="IL2" s="291"/>
      <c r="IM2" s="291"/>
      <c r="IN2" s="291"/>
      <c r="IO2" s="291"/>
      <c r="IP2" s="291"/>
      <c r="IQ2" s="291"/>
      <c r="IR2" s="291"/>
      <c r="IS2" s="291"/>
      <c r="IT2" s="291"/>
      <c r="IU2" s="291"/>
      <c r="IV2" s="291"/>
      <c r="IW2" s="291"/>
      <c r="IX2" s="291"/>
      <c r="IY2" s="291"/>
      <c r="IZ2" s="291"/>
      <c r="JA2" s="291"/>
      <c r="JB2" s="291"/>
      <c r="JC2" s="291"/>
      <c r="JD2" s="291"/>
      <c r="JE2" s="291"/>
      <c r="JF2" s="291"/>
      <c r="JG2" s="291"/>
      <c r="JH2" s="291"/>
      <c r="JI2" s="291"/>
      <c r="JJ2" s="291"/>
      <c r="JK2" s="291"/>
      <c r="JL2" s="291"/>
      <c r="JM2" s="291"/>
      <c r="JN2" s="291"/>
      <c r="JO2" s="291"/>
      <c r="JP2" s="291"/>
      <c r="JQ2" s="291"/>
      <c r="JR2" s="291"/>
      <c r="JS2" s="291"/>
      <c r="JT2" s="291"/>
      <c r="JU2" s="291"/>
    </row>
    <row r="3" spans="1:281" ht="15.4">
      <c r="A3" s="289" t="s">
        <v>531</v>
      </c>
      <c r="B3" s="290"/>
      <c r="C3" s="291"/>
      <c r="D3" s="291"/>
      <c r="E3" s="291"/>
      <c r="F3" s="291"/>
      <c r="G3" s="291"/>
      <c r="H3" s="291"/>
      <c r="I3" s="291"/>
      <c r="J3" s="291"/>
      <c r="K3" s="291"/>
      <c r="L3" s="291"/>
      <c r="M3" s="291"/>
      <c r="N3" s="291"/>
      <c r="O3" s="291"/>
      <c r="P3" s="291"/>
      <c r="Q3" s="291"/>
      <c r="R3" s="291"/>
      <c r="S3" s="291"/>
      <c r="T3" s="291"/>
      <c r="U3" s="291"/>
      <c r="V3" s="291"/>
      <c r="W3" s="291"/>
      <c r="X3" s="291"/>
      <c r="Y3" s="291"/>
      <c r="Z3" s="291"/>
      <c r="AA3" s="291"/>
      <c r="AB3" s="291"/>
      <c r="AC3" s="291"/>
      <c r="AD3" s="291"/>
      <c r="AE3" s="291"/>
      <c r="AF3" s="291"/>
      <c r="AG3" s="291"/>
      <c r="AH3" s="291"/>
      <c r="AI3" s="291"/>
      <c r="AJ3" s="291"/>
      <c r="AK3" s="291"/>
      <c r="AL3" s="291"/>
      <c r="AM3" s="291"/>
      <c r="AN3" s="291"/>
      <c r="AO3" s="291"/>
      <c r="AP3" s="291"/>
      <c r="AQ3" s="291"/>
      <c r="AR3" s="291"/>
      <c r="AS3" s="291"/>
      <c r="AT3" s="291"/>
      <c r="AU3" s="291"/>
      <c r="AV3" s="291"/>
      <c r="AW3" s="291"/>
      <c r="AX3" s="291"/>
      <c r="AY3" s="291"/>
      <c r="AZ3" s="291"/>
      <c r="BA3" s="291"/>
      <c r="BB3" s="291"/>
      <c r="BC3" s="291"/>
      <c r="BD3" t="s">
        <v>532</v>
      </c>
      <c r="BE3" s="292"/>
      <c r="BF3" s="291"/>
      <c r="BG3" s="291"/>
      <c r="BH3" s="291"/>
      <c r="BI3" s="291"/>
      <c r="BJ3" s="291"/>
      <c r="BK3" s="291"/>
      <c r="BL3" s="291"/>
      <c r="BM3" s="291"/>
      <c r="BN3" s="291"/>
      <c r="BO3" s="291"/>
      <c r="BP3" s="291"/>
      <c r="BQ3" s="291"/>
      <c r="BR3" s="291"/>
      <c r="BS3" s="291"/>
      <c r="BT3" s="291"/>
      <c r="BU3" s="291"/>
      <c r="BV3" s="291"/>
      <c r="BW3" s="291"/>
      <c r="BX3" s="291"/>
      <c r="BY3" s="291"/>
      <c r="BZ3" s="291"/>
      <c r="CA3" s="291"/>
      <c r="CB3" s="291"/>
      <c r="CC3" s="291"/>
      <c r="CD3" s="291"/>
      <c r="CE3" s="291"/>
      <c r="CF3" s="291"/>
      <c r="CG3" s="291"/>
      <c r="CH3" s="291"/>
      <c r="CI3" s="291"/>
      <c r="CJ3" s="291"/>
      <c r="CK3" s="291"/>
      <c r="CL3" s="291"/>
      <c r="CM3" s="291"/>
      <c r="CN3" s="291"/>
      <c r="CO3" s="291"/>
      <c r="CP3" s="291"/>
      <c r="CQ3" s="291"/>
      <c r="CR3" s="291"/>
      <c r="CS3" s="291"/>
      <c r="CT3" s="291"/>
      <c r="CU3" s="291"/>
      <c r="CV3" s="291"/>
      <c r="CW3" s="291"/>
      <c r="CX3" s="291"/>
      <c r="CY3" s="291"/>
      <c r="CZ3" s="291"/>
      <c r="DA3" s="291"/>
      <c r="DB3" s="291"/>
      <c r="DC3" s="291"/>
      <c r="DD3" s="291"/>
      <c r="DE3" s="291"/>
      <c r="DF3" s="291"/>
      <c r="DG3" s="291"/>
      <c r="DH3" s="291"/>
      <c r="DI3" s="291"/>
      <c r="DJ3" s="291"/>
      <c r="DK3" s="291"/>
      <c r="DL3" s="291"/>
      <c r="DM3" s="291"/>
      <c r="DN3" s="291"/>
      <c r="DO3" s="291"/>
      <c r="DP3" s="291"/>
      <c r="DQ3" s="291"/>
      <c r="DR3" s="291"/>
      <c r="DS3" s="291"/>
      <c r="DT3" s="291"/>
      <c r="DU3" s="291"/>
      <c r="DV3" s="291"/>
      <c r="DW3" s="291"/>
      <c r="DX3" s="291"/>
      <c r="DY3" s="291"/>
      <c r="DZ3" s="291"/>
      <c r="EA3" s="291"/>
      <c r="EB3" s="291"/>
      <c r="EC3" s="291"/>
      <c r="ED3" s="291"/>
      <c r="EE3" s="291"/>
      <c r="EF3" s="291"/>
      <c r="EG3" s="291"/>
      <c r="EH3" s="291"/>
      <c r="EI3" s="291"/>
      <c r="EJ3" s="291"/>
      <c r="EK3" s="291"/>
      <c r="EL3" s="291"/>
      <c r="EM3" s="291"/>
      <c r="EN3" s="291"/>
      <c r="EO3" s="291"/>
      <c r="EP3" s="291"/>
      <c r="EQ3" s="291"/>
      <c r="ER3" s="291"/>
      <c r="ES3" s="291"/>
      <c r="ET3" s="291"/>
      <c r="EU3" s="291"/>
      <c r="EV3" s="291"/>
      <c r="EW3" s="291"/>
      <c r="EX3" s="291"/>
      <c r="EY3" s="291"/>
      <c r="EZ3" s="291"/>
      <c r="FA3" s="291"/>
      <c r="FB3" s="291"/>
      <c r="FC3" s="291"/>
      <c r="FD3" s="291"/>
      <c r="FE3" s="291"/>
      <c r="FF3" s="291"/>
      <c r="FG3" s="291"/>
      <c r="FH3" s="291"/>
      <c r="FI3" s="291"/>
      <c r="FJ3" s="291"/>
      <c r="FK3" s="291"/>
      <c r="FL3" s="291"/>
      <c r="FM3" s="291"/>
      <c r="FN3" s="291"/>
      <c r="FO3" s="291"/>
      <c r="FP3" s="291"/>
      <c r="FQ3" s="291"/>
      <c r="FR3" s="291"/>
      <c r="FS3" s="291"/>
      <c r="FT3" s="291"/>
      <c r="FU3" s="291"/>
      <c r="FV3" s="291"/>
      <c r="FW3" s="291"/>
      <c r="FX3" s="291"/>
      <c r="FY3" s="291"/>
      <c r="FZ3" s="291"/>
      <c r="GA3" s="291"/>
      <c r="GB3" s="291"/>
      <c r="GC3" s="291"/>
      <c r="GD3" s="291"/>
      <c r="GE3" s="291"/>
      <c r="GF3" s="291"/>
      <c r="GG3" s="291"/>
      <c r="GH3" s="291"/>
      <c r="GI3" s="291"/>
      <c r="GJ3" s="291"/>
      <c r="GK3" s="291"/>
      <c r="GL3" s="291"/>
      <c r="GM3" s="291"/>
      <c r="GN3" s="291"/>
      <c r="GO3" s="291"/>
      <c r="GP3" s="291"/>
      <c r="GQ3" s="291"/>
      <c r="GR3" s="291"/>
      <c r="GS3" s="291"/>
      <c r="GT3" s="291"/>
      <c r="GU3" s="291"/>
      <c r="GV3" s="291"/>
      <c r="GW3" s="291"/>
      <c r="GX3" s="291"/>
      <c r="GY3" s="291"/>
      <c r="GZ3" s="291"/>
      <c r="HA3" s="291"/>
      <c r="HB3" s="291"/>
      <c r="HC3" s="291"/>
      <c r="HD3" s="291"/>
      <c r="HE3" s="291"/>
      <c r="HF3" s="291"/>
      <c r="HG3" s="291"/>
      <c r="HH3" s="291"/>
      <c r="HI3" s="291"/>
      <c r="HJ3" s="291"/>
      <c r="HK3" s="291"/>
      <c r="HL3" s="291"/>
      <c r="HM3" s="291"/>
      <c r="HN3" s="291"/>
      <c r="HO3" s="291"/>
      <c r="HP3" s="291"/>
      <c r="HQ3" s="291"/>
      <c r="HR3" s="291"/>
      <c r="HS3" s="291"/>
      <c r="HT3" s="291"/>
      <c r="HU3" s="291"/>
      <c r="HV3" s="291"/>
      <c r="HW3" s="291"/>
      <c r="HX3" s="291"/>
      <c r="HY3" s="291"/>
      <c r="HZ3" s="291"/>
      <c r="IA3" s="291"/>
      <c r="IB3" s="291"/>
      <c r="IC3" s="291"/>
      <c r="ID3" s="291"/>
      <c r="IE3" s="291"/>
      <c r="IF3" s="291"/>
      <c r="IG3" s="291"/>
      <c r="IH3" s="291"/>
      <c r="II3" s="291"/>
      <c r="IJ3" s="291"/>
      <c r="IK3" s="291"/>
      <c r="IL3" s="291"/>
      <c r="IM3" s="291"/>
      <c r="IN3" s="291"/>
      <c r="IO3" s="291"/>
      <c r="IP3" s="291"/>
      <c r="IQ3" s="291"/>
      <c r="IR3" s="291"/>
      <c r="IS3" s="291"/>
      <c r="IT3" s="291"/>
      <c r="IU3" s="291"/>
      <c r="IV3" s="291"/>
      <c r="IW3" s="291"/>
      <c r="IX3" s="291"/>
      <c r="IY3" s="291"/>
      <c r="IZ3" s="291"/>
      <c r="JA3" s="291"/>
      <c r="JB3" s="291"/>
      <c r="JC3" s="291"/>
      <c r="JD3" s="291"/>
      <c r="JE3" s="291"/>
      <c r="JF3" s="291"/>
      <c r="JG3" s="291"/>
      <c r="JH3" s="291"/>
      <c r="JI3" s="291"/>
      <c r="JJ3" s="291"/>
      <c r="JK3" s="291"/>
      <c r="JL3" s="291"/>
      <c r="JM3" s="291"/>
      <c r="JN3" s="291"/>
      <c r="JO3" s="291"/>
      <c r="JP3" s="291"/>
      <c r="JQ3" s="291"/>
      <c r="JR3" s="291"/>
      <c r="JS3" s="291"/>
      <c r="JT3" s="291"/>
      <c r="JU3" s="291"/>
    </row>
    <row r="4" spans="1:281" ht="21">
      <c r="A4" s="294" t="s">
        <v>533</v>
      </c>
      <c r="B4" s="290"/>
      <c r="C4" s="295"/>
      <c r="D4" s="291"/>
      <c r="E4" s="291"/>
      <c r="F4" s="291"/>
      <c r="G4" s="291"/>
      <c r="H4" s="291"/>
      <c r="I4" s="291"/>
      <c r="J4" s="291"/>
      <c r="K4" s="291"/>
      <c r="L4" s="291"/>
      <c r="M4" s="291"/>
      <c r="N4" s="291"/>
      <c r="O4" s="291"/>
      <c r="P4" s="291"/>
      <c r="Q4" s="291"/>
      <c r="R4" s="291"/>
      <c r="S4" s="291"/>
      <c r="T4" s="291"/>
      <c r="U4" s="291"/>
      <c r="V4" s="291"/>
      <c r="W4" s="291"/>
      <c r="X4" s="291"/>
      <c r="Y4" s="291"/>
      <c r="Z4" s="291"/>
      <c r="AA4" s="291"/>
      <c r="AB4" s="291"/>
      <c r="AC4" s="291"/>
      <c r="AD4" s="291"/>
      <c r="AE4" s="291"/>
      <c r="AF4" s="291"/>
      <c r="AG4" s="291"/>
      <c r="AH4" s="291"/>
      <c r="AI4" s="291"/>
      <c r="AJ4" s="291"/>
      <c r="AK4" s="291"/>
      <c r="AL4" s="291"/>
      <c r="AM4" s="291"/>
      <c r="AN4" s="291"/>
      <c r="AO4" s="291"/>
      <c r="AP4" s="291"/>
      <c r="AQ4" s="291"/>
      <c r="AR4" s="291"/>
      <c r="AS4" s="291"/>
      <c r="AT4" s="291"/>
      <c r="AU4" s="291"/>
      <c r="AV4" s="291"/>
      <c r="AW4" s="291"/>
      <c r="AX4" s="291"/>
      <c r="AY4" s="291"/>
      <c r="AZ4" s="291"/>
      <c r="BA4" s="291"/>
      <c r="BB4" s="291"/>
      <c r="BC4" s="291"/>
      <c r="BD4" t="s">
        <v>534</v>
      </c>
      <c r="BE4" s="292"/>
      <c r="BF4" s="291"/>
      <c r="BG4" s="291"/>
      <c r="BH4" s="291"/>
      <c r="BI4" s="291"/>
      <c r="BJ4" s="291"/>
      <c r="BK4" s="291"/>
      <c r="BL4" s="291"/>
      <c r="BM4" s="291"/>
      <c r="BN4" s="291"/>
      <c r="BO4" s="291"/>
      <c r="BP4" s="291"/>
      <c r="BQ4" s="291"/>
      <c r="BR4" s="291"/>
      <c r="BS4" s="291"/>
      <c r="BT4" s="291"/>
      <c r="BU4" s="291"/>
      <c r="BV4" s="291"/>
      <c r="BW4" s="291"/>
      <c r="BX4" s="291"/>
      <c r="BY4" s="291"/>
      <c r="BZ4" s="291"/>
      <c r="CA4" s="291"/>
      <c r="CB4" s="291"/>
      <c r="CC4" s="291"/>
      <c r="CD4" s="291"/>
      <c r="CE4" s="291"/>
      <c r="CF4" s="291"/>
      <c r="CG4" s="291"/>
      <c r="CH4" s="291"/>
      <c r="CI4" s="291"/>
      <c r="CJ4" s="291"/>
      <c r="CK4" s="291"/>
      <c r="CL4" s="291"/>
      <c r="CM4" s="291"/>
      <c r="CN4" s="291"/>
      <c r="CO4" s="291"/>
      <c r="CP4" s="291"/>
      <c r="CQ4" s="291"/>
      <c r="CR4" s="291"/>
      <c r="CS4" s="291"/>
      <c r="CT4" s="291"/>
      <c r="CU4" s="291"/>
      <c r="CV4" s="291"/>
      <c r="CW4" s="291"/>
      <c r="CX4" s="291"/>
      <c r="CY4" s="291"/>
      <c r="CZ4" s="291"/>
      <c r="DA4" s="291"/>
      <c r="DB4" s="291"/>
      <c r="DC4" s="291"/>
      <c r="DD4" s="291"/>
      <c r="DE4" s="291"/>
      <c r="DF4" s="291"/>
      <c r="DG4" s="291"/>
      <c r="DH4" s="291"/>
      <c r="DI4" s="291"/>
      <c r="DJ4" s="291"/>
      <c r="DK4" s="291"/>
      <c r="DL4" s="291"/>
      <c r="DM4" s="291"/>
      <c r="DN4" s="291"/>
      <c r="DO4" s="291"/>
      <c r="DP4" s="291"/>
      <c r="DQ4" s="291"/>
      <c r="DR4" s="291"/>
      <c r="DS4" s="291"/>
      <c r="DT4" s="291"/>
      <c r="DU4" s="291"/>
      <c r="DV4" s="291"/>
      <c r="DW4" s="291"/>
      <c r="DX4" s="291"/>
      <c r="DY4" s="291"/>
      <c r="DZ4" s="291"/>
      <c r="EA4" s="291"/>
      <c r="EB4" s="291"/>
      <c r="EC4" s="291"/>
      <c r="ED4" s="291"/>
      <c r="EE4" s="291"/>
      <c r="EF4" s="291"/>
      <c r="EG4" s="291"/>
      <c r="EH4" s="291"/>
      <c r="EI4" s="291"/>
      <c r="EJ4" s="291"/>
      <c r="EK4" s="291"/>
      <c r="EL4" s="291"/>
      <c r="EM4" s="291"/>
      <c r="EN4" s="291"/>
      <c r="EO4" s="291"/>
      <c r="EP4" s="291"/>
      <c r="EQ4" s="291"/>
      <c r="ER4" s="291"/>
      <c r="ES4" s="291"/>
      <c r="ET4" s="291"/>
      <c r="EU4" s="291"/>
      <c r="EV4" s="291"/>
      <c r="EW4" s="291"/>
      <c r="EX4" s="291"/>
      <c r="EY4" s="291"/>
      <c r="EZ4" s="291"/>
      <c r="FA4" s="291"/>
      <c r="FB4" s="291"/>
      <c r="FC4" s="291"/>
      <c r="FD4" s="291"/>
      <c r="FE4" s="291"/>
      <c r="FF4" s="291"/>
      <c r="FG4" s="291"/>
      <c r="FH4" s="291"/>
      <c r="FI4" s="291"/>
      <c r="FJ4" s="291"/>
      <c r="FK4" s="291"/>
      <c r="FL4" s="291"/>
      <c r="FM4" s="291"/>
      <c r="FN4" s="291"/>
      <c r="FO4" s="291"/>
      <c r="FP4" s="291"/>
      <c r="FQ4" s="291"/>
      <c r="FR4" s="291"/>
      <c r="FS4" s="291"/>
      <c r="FT4" s="291"/>
      <c r="FU4" s="291"/>
      <c r="FV4" s="291"/>
      <c r="FW4" s="291"/>
      <c r="FX4" s="291"/>
      <c r="FY4" s="291"/>
      <c r="FZ4" s="291"/>
      <c r="GA4" s="291"/>
      <c r="GB4" s="291"/>
      <c r="GC4" s="291"/>
      <c r="GD4" s="291"/>
      <c r="GE4" s="291"/>
      <c r="GF4" s="291"/>
      <c r="GG4" s="291"/>
      <c r="GH4" s="291"/>
      <c r="GI4" s="291"/>
      <c r="GJ4" s="291"/>
      <c r="GK4" s="291"/>
      <c r="GL4" s="291"/>
      <c r="GM4" s="291"/>
      <c r="GN4" s="291"/>
      <c r="GO4" s="291"/>
      <c r="GP4" s="291"/>
      <c r="GQ4" s="291"/>
      <c r="GR4" s="291"/>
      <c r="GS4" s="291"/>
      <c r="GT4" s="291"/>
      <c r="GU4" s="291"/>
      <c r="GV4" s="291"/>
      <c r="GW4" s="291"/>
      <c r="GX4" s="291"/>
      <c r="GY4" s="291"/>
      <c r="GZ4" s="291"/>
      <c r="HA4" s="291"/>
      <c r="HB4" s="291"/>
      <c r="HC4" s="291"/>
      <c r="HD4" s="291"/>
      <c r="HE4" s="291"/>
      <c r="HF4" s="291"/>
      <c r="HG4" s="291"/>
      <c r="HH4" s="291"/>
      <c r="HI4" s="291"/>
      <c r="HJ4" s="291"/>
      <c r="HK4" s="291"/>
      <c r="HL4" s="291"/>
      <c r="HM4" s="291"/>
      <c r="HN4" s="291"/>
      <c r="HO4" s="291"/>
      <c r="HP4" s="291"/>
      <c r="HQ4" s="291"/>
      <c r="HR4" s="291"/>
      <c r="HS4" s="291"/>
      <c r="HT4" s="291"/>
      <c r="HU4" s="291"/>
      <c r="HV4" s="291"/>
      <c r="HW4" s="291"/>
      <c r="HX4" s="291"/>
      <c r="HY4" s="291"/>
      <c r="HZ4" s="291"/>
      <c r="IA4" s="291"/>
      <c r="IB4" s="291"/>
      <c r="IC4" s="291"/>
      <c r="ID4" s="291"/>
      <c r="IE4" s="291"/>
      <c r="IF4" s="291"/>
      <c r="IG4" s="291"/>
      <c r="IH4" s="291"/>
      <c r="II4" s="291"/>
      <c r="IJ4" s="291"/>
      <c r="IK4" s="291"/>
      <c r="IL4" s="291"/>
      <c r="IM4" s="291"/>
      <c r="IN4" s="291"/>
      <c r="IO4" s="291"/>
      <c r="IP4" s="291"/>
      <c r="IQ4" s="291"/>
      <c r="IR4" s="291"/>
      <c r="IS4" s="291"/>
      <c r="IT4" s="291"/>
      <c r="IU4" s="291"/>
      <c r="IV4" s="291"/>
      <c r="IW4" s="291"/>
      <c r="IX4" s="291"/>
      <c r="IY4" s="291"/>
      <c r="IZ4" s="291"/>
      <c r="JA4" s="291"/>
      <c r="JB4" s="291"/>
      <c r="JC4" s="291"/>
      <c r="JD4" s="291"/>
      <c r="JE4" s="291"/>
      <c r="JF4" s="291"/>
      <c r="JG4" s="291"/>
      <c r="JH4" s="291"/>
      <c r="JI4" s="291"/>
      <c r="JJ4" s="291"/>
      <c r="JK4" s="291"/>
      <c r="JL4" s="291"/>
      <c r="JM4" s="291"/>
      <c r="JN4" s="291"/>
      <c r="JO4" s="291"/>
      <c r="JP4" s="291"/>
      <c r="JQ4" s="291"/>
      <c r="JR4" s="291"/>
      <c r="JS4" s="291"/>
      <c r="JT4" s="291"/>
      <c r="JU4" s="291"/>
    </row>
    <row r="5" spans="1:281" ht="21">
      <c r="A5" s="294"/>
      <c r="B5" s="290"/>
      <c r="C5" s="295"/>
      <c r="D5" s="291"/>
      <c r="E5" s="291"/>
      <c r="F5" s="291"/>
      <c r="G5" s="291"/>
      <c r="H5" s="291"/>
      <c r="I5" s="290"/>
      <c r="J5" s="291"/>
      <c r="K5" s="291"/>
      <c r="L5" s="291"/>
      <c r="M5" s="291"/>
      <c r="N5" s="291"/>
      <c r="O5" s="291"/>
      <c r="P5" s="291"/>
      <c r="Q5" s="291"/>
      <c r="R5" s="291"/>
      <c r="S5" s="291"/>
      <c r="T5" s="291"/>
      <c r="U5" s="291"/>
      <c r="V5" s="291"/>
      <c r="W5" s="291"/>
      <c r="X5" s="291"/>
      <c r="Y5" s="291"/>
      <c r="Z5" s="291"/>
      <c r="AA5" s="291"/>
      <c r="AB5" s="291"/>
      <c r="AC5" s="290"/>
      <c r="AD5" s="290"/>
      <c r="AE5" s="290"/>
      <c r="AF5" s="290"/>
      <c r="AG5" s="290"/>
      <c r="AH5" s="290"/>
      <c r="AI5" s="290"/>
      <c r="AJ5" s="290"/>
      <c r="AK5" s="290"/>
      <c r="AL5" s="290"/>
      <c r="AM5" s="290"/>
      <c r="AN5" s="290"/>
      <c r="AO5" s="290"/>
      <c r="AP5" s="290"/>
      <c r="AQ5" s="290"/>
      <c r="AR5" s="290"/>
      <c r="AS5" s="290"/>
      <c r="AT5" s="290"/>
      <c r="AU5" s="290"/>
      <c r="AV5" s="290"/>
      <c r="AW5" s="290"/>
      <c r="AX5" s="290"/>
      <c r="AY5" s="290"/>
      <c r="AZ5" s="290"/>
      <c r="BA5" s="290"/>
      <c r="BB5" s="296" t="s">
        <v>535</v>
      </c>
      <c r="BC5" s="290"/>
      <c r="BD5" t="s">
        <v>536</v>
      </c>
      <c r="BE5" s="292"/>
      <c r="BF5" s="290"/>
      <c r="BG5" s="290"/>
      <c r="BH5" s="290"/>
      <c r="BI5" s="290"/>
      <c r="BJ5" s="290"/>
      <c r="BK5" s="290"/>
      <c r="BL5" s="290"/>
      <c r="BM5" s="290"/>
      <c r="BN5" s="290"/>
      <c r="BO5" s="290"/>
      <c r="BP5" s="290"/>
      <c r="BQ5" s="290"/>
      <c r="BR5" s="290"/>
      <c r="BS5" s="290"/>
      <c r="BT5" s="290"/>
      <c r="BU5" s="290"/>
      <c r="BV5" s="290"/>
      <c r="BW5" s="290"/>
      <c r="BX5" s="290"/>
      <c r="BY5" s="290"/>
      <c r="BZ5" s="290"/>
      <c r="CA5" s="290"/>
      <c r="CB5" s="290"/>
      <c r="CC5" s="290"/>
      <c r="CD5" s="290"/>
      <c r="CE5" s="290"/>
      <c r="CF5" s="290"/>
      <c r="CG5" s="290"/>
      <c r="CH5" s="290"/>
      <c r="CI5" s="290"/>
      <c r="CJ5" s="290"/>
      <c r="CK5" s="290"/>
      <c r="CL5" s="290"/>
      <c r="CM5" s="290"/>
      <c r="CN5" s="290"/>
      <c r="CO5" s="290"/>
      <c r="CP5" s="290"/>
      <c r="CQ5" s="290"/>
      <c r="CR5" s="290"/>
      <c r="CS5" s="290"/>
      <c r="CT5" s="290"/>
      <c r="CU5" s="290"/>
      <c r="CV5" s="290"/>
      <c r="CW5" s="290"/>
      <c r="CX5" s="290"/>
      <c r="CY5" s="290"/>
      <c r="CZ5" s="290"/>
      <c r="DA5" s="290"/>
      <c r="DB5" s="290"/>
      <c r="DC5" s="290"/>
      <c r="DD5" s="290"/>
      <c r="DE5" s="290"/>
      <c r="DF5" s="290"/>
      <c r="DG5" s="290"/>
      <c r="DH5" s="290"/>
      <c r="DI5" s="290"/>
      <c r="DJ5" s="290"/>
      <c r="DK5" s="290"/>
      <c r="DL5" s="290"/>
      <c r="DM5" s="290"/>
      <c r="DN5" s="290"/>
      <c r="DO5" s="290"/>
      <c r="DP5" s="290"/>
      <c r="DQ5" s="290"/>
      <c r="DR5" s="290"/>
      <c r="DS5" s="290"/>
      <c r="DT5" s="290"/>
      <c r="DU5" s="290"/>
      <c r="DV5" s="290"/>
      <c r="DW5" s="290"/>
      <c r="DX5" s="290"/>
      <c r="DY5" s="290"/>
      <c r="DZ5" s="290"/>
      <c r="EA5" s="290"/>
      <c r="EB5" s="290"/>
      <c r="EC5" s="290"/>
      <c r="ED5" s="290"/>
      <c r="EE5" s="290"/>
      <c r="EF5" s="290"/>
      <c r="EG5" s="290"/>
      <c r="EH5" s="290"/>
      <c r="EI5" s="290"/>
      <c r="EJ5" s="290"/>
      <c r="EK5" s="290"/>
      <c r="EL5" s="290"/>
      <c r="EM5" s="290"/>
      <c r="EN5" s="290"/>
      <c r="EO5" s="290"/>
      <c r="EP5" s="290"/>
      <c r="EQ5" s="290"/>
      <c r="ER5" s="290"/>
      <c r="ES5" s="290"/>
      <c r="ET5" s="290"/>
      <c r="EU5" s="290"/>
      <c r="EV5" s="290"/>
      <c r="EW5" s="290"/>
      <c r="EX5" s="290"/>
      <c r="EY5" s="290"/>
      <c r="EZ5" s="290"/>
      <c r="FA5" s="290"/>
      <c r="FB5" s="290"/>
      <c r="FC5" s="290"/>
      <c r="FD5" s="290"/>
      <c r="FE5" s="290"/>
      <c r="FF5" s="290"/>
      <c r="FG5" s="290"/>
      <c r="FH5" s="290"/>
      <c r="FI5" s="290"/>
      <c r="FJ5" s="290"/>
      <c r="FK5" s="290"/>
      <c r="FL5" s="290"/>
      <c r="FM5" s="290"/>
      <c r="FN5" s="290"/>
      <c r="FO5" s="290"/>
      <c r="FP5" s="290"/>
      <c r="FQ5" s="290"/>
      <c r="FR5" s="290"/>
      <c r="FS5" s="290"/>
      <c r="FT5" s="290"/>
      <c r="FU5" s="290"/>
      <c r="FV5" s="290"/>
      <c r="FW5" s="290"/>
      <c r="FX5" s="290"/>
      <c r="FY5" s="290"/>
      <c r="FZ5" s="290"/>
      <c r="GA5" s="290"/>
      <c r="GB5" s="290"/>
      <c r="GC5" s="290"/>
      <c r="GD5" s="290"/>
      <c r="GE5" s="290"/>
      <c r="GF5" s="290"/>
      <c r="GG5" s="290"/>
      <c r="GH5" s="290"/>
      <c r="GI5" s="290"/>
      <c r="GJ5" s="290"/>
      <c r="GK5" s="290"/>
      <c r="GL5" s="290"/>
      <c r="GM5" s="290"/>
      <c r="GN5" s="290"/>
      <c r="GO5" s="290"/>
      <c r="GP5" s="290"/>
      <c r="GQ5" s="290"/>
      <c r="GR5" s="290"/>
      <c r="GS5" s="290"/>
      <c r="GT5" s="290"/>
      <c r="GU5" s="290"/>
      <c r="GV5" s="290"/>
      <c r="GW5" s="290"/>
      <c r="GX5" s="290"/>
      <c r="GY5" s="290"/>
      <c r="GZ5" s="290"/>
      <c r="HA5" s="290"/>
      <c r="HB5" s="290"/>
      <c r="HC5" s="290"/>
      <c r="HD5" s="290"/>
      <c r="HE5" s="290"/>
      <c r="HF5" s="290"/>
      <c r="HG5" s="290"/>
      <c r="HH5" s="290"/>
      <c r="HI5" s="290"/>
      <c r="HJ5" s="290"/>
      <c r="HK5" s="290"/>
      <c r="HL5" s="290"/>
      <c r="HM5" s="290"/>
      <c r="HN5" s="290"/>
      <c r="HO5" s="290"/>
      <c r="HP5" s="290"/>
      <c r="HQ5" s="290"/>
      <c r="HR5" s="290"/>
      <c r="HS5" s="290"/>
      <c r="HT5" s="290"/>
      <c r="HU5" s="290"/>
      <c r="HV5" s="290"/>
      <c r="HW5" s="290"/>
      <c r="HX5" s="290"/>
      <c r="HY5" s="290"/>
      <c r="HZ5" s="290"/>
      <c r="IA5" s="290"/>
      <c r="IB5" s="290"/>
      <c r="IC5" s="290"/>
      <c r="ID5" s="290"/>
      <c r="IE5" s="290"/>
      <c r="IF5" s="290"/>
      <c r="IG5" s="290"/>
      <c r="IH5" s="290"/>
      <c r="II5" s="290"/>
      <c r="IJ5" s="290"/>
      <c r="IK5" s="290"/>
      <c r="IL5" s="290"/>
      <c r="IM5" s="290"/>
      <c r="IN5" s="290"/>
      <c r="IO5" s="290"/>
      <c r="IP5" s="290"/>
      <c r="IQ5" s="290"/>
      <c r="IR5" s="290"/>
      <c r="IS5" s="290"/>
      <c r="IT5" s="290"/>
      <c r="IU5" s="290"/>
      <c r="IV5" s="290"/>
      <c r="IW5" s="290"/>
      <c r="IX5" s="290"/>
      <c r="IY5" s="290"/>
      <c r="IZ5" s="290"/>
      <c r="JA5" s="290"/>
      <c r="JB5" s="290"/>
      <c r="JC5" s="290"/>
      <c r="JD5" s="290"/>
      <c r="JE5" s="290"/>
      <c r="JF5" s="290"/>
      <c r="JG5" s="290"/>
      <c r="JH5" s="290"/>
      <c r="JI5" s="290"/>
      <c r="JJ5" s="290"/>
      <c r="JK5" s="290"/>
      <c r="JL5" s="290"/>
      <c r="JM5" s="290"/>
      <c r="JN5" s="290"/>
      <c r="JO5" s="290"/>
      <c r="JP5" s="290"/>
      <c r="JQ5" s="290"/>
      <c r="JR5" s="290"/>
      <c r="JS5" s="290"/>
      <c r="JT5" s="290"/>
      <c r="JU5" s="290"/>
    </row>
    <row r="6" spans="1:281" ht="21">
      <c r="A6" s="294"/>
      <c r="B6" s="290"/>
      <c r="C6" s="295"/>
      <c r="D6" s="291"/>
      <c r="E6" s="291"/>
      <c r="F6" s="291"/>
      <c r="G6" s="291"/>
      <c r="H6" s="291"/>
      <c r="I6" s="291"/>
      <c r="J6" s="291"/>
      <c r="K6" s="291"/>
      <c r="L6" s="291"/>
      <c r="M6" s="291"/>
      <c r="N6" s="291"/>
      <c r="O6" s="291"/>
      <c r="P6" s="291"/>
      <c r="Q6" s="291"/>
      <c r="R6" s="291"/>
      <c r="S6" s="291"/>
      <c r="T6" s="291"/>
      <c r="U6" s="291"/>
      <c r="V6" s="291"/>
      <c r="W6" s="291"/>
      <c r="X6" s="291"/>
      <c r="Y6" s="291"/>
      <c r="Z6" s="291"/>
      <c r="AA6" s="291"/>
      <c r="AB6" s="291"/>
      <c r="AC6" s="291"/>
      <c r="AD6" s="291"/>
      <c r="AE6" s="291"/>
      <c r="AF6" s="291"/>
      <c r="AG6" s="291"/>
      <c r="AH6" s="291"/>
      <c r="AI6" s="291"/>
      <c r="AJ6" s="291"/>
      <c r="AK6" s="291"/>
      <c r="AL6" s="291"/>
      <c r="AM6" s="291"/>
      <c r="AN6" s="291"/>
      <c r="AO6" s="291"/>
      <c r="AP6" s="291"/>
      <c r="AQ6" s="291"/>
      <c r="AR6" s="291"/>
      <c r="AS6" s="291"/>
      <c r="AT6" s="291"/>
      <c r="AU6" s="291"/>
      <c r="AV6" s="291"/>
      <c r="AW6" s="291"/>
      <c r="AX6" s="291"/>
      <c r="AY6" s="291"/>
      <c r="AZ6" s="291"/>
      <c r="BA6" s="291"/>
      <c r="BB6" s="296" t="s">
        <v>537</v>
      </c>
      <c r="BC6" s="291"/>
      <c r="BD6" t="s">
        <v>538</v>
      </c>
      <c r="BE6" s="292"/>
      <c r="BF6" s="291"/>
      <c r="BG6" s="291"/>
      <c r="BH6" s="291"/>
      <c r="BI6" s="291"/>
      <c r="BJ6" s="291"/>
      <c r="BK6" s="291"/>
      <c r="BL6" s="291"/>
      <c r="BM6" s="291"/>
      <c r="BN6" s="291"/>
      <c r="BO6" s="291"/>
      <c r="BP6" s="291"/>
      <c r="BQ6" s="291"/>
      <c r="BR6" s="291"/>
      <c r="BS6" s="291"/>
      <c r="BT6" s="291"/>
      <c r="BU6" s="291"/>
      <c r="BV6" s="291"/>
      <c r="BW6" s="291"/>
      <c r="BX6" s="291"/>
      <c r="BY6" s="291"/>
      <c r="BZ6" s="291"/>
      <c r="CA6" s="291"/>
      <c r="CB6" s="291"/>
      <c r="CC6" s="291"/>
      <c r="CD6" s="291"/>
      <c r="CE6" s="291"/>
      <c r="CF6" s="291"/>
      <c r="CG6" s="291"/>
      <c r="CH6" s="291"/>
      <c r="CI6" s="291"/>
      <c r="CJ6" s="291"/>
      <c r="CK6" s="291"/>
      <c r="CL6" s="291"/>
      <c r="CM6" s="291"/>
      <c r="CN6" s="291"/>
      <c r="CO6" s="291"/>
      <c r="CP6" s="291"/>
      <c r="CQ6" s="291"/>
      <c r="CR6" s="291"/>
      <c r="CS6" s="291"/>
      <c r="CT6" s="291"/>
      <c r="CU6" s="291"/>
      <c r="CV6" s="291"/>
      <c r="CW6" s="291"/>
      <c r="CX6" s="291"/>
      <c r="CY6" s="291"/>
      <c r="CZ6" s="291"/>
      <c r="DA6" s="291"/>
      <c r="DB6" s="291"/>
      <c r="DC6" s="291"/>
      <c r="DD6" s="291"/>
      <c r="DE6" s="291"/>
      <c r="DF6" s="291"/>
      <c r="DG6" s="291"/>
      <c r="DH6" s="291"/>
      <c r="DI6" s="291"/>
      <c r="DJ6" s="291"/>
      <c r="DK6" s="291"/>
      <c r="DL6" s="291"/>
      <c r="DM6" s="291"/>
      <c r="DN6" s="291"/>
      <c r="DO6" s="291"/>
      <c r="DP6" s="291"/>
      <c r="DQ6" s="291"/>
      <c r="DR6" s="291"/>
      <c r="DS6" s="291"/>
      <c r="DT6" s="291"/>
      <c r="DU6" s="291"/>
      <c r="DV6" s="291"/>
      <c r="DW6" s="291"/>
      <c r="DX6" s="291"/>
      <c r="DY6" s="291"/>
      <c r="DZ6" s="291"/>
      <c r="EA6" s="291"/>
      <c r="EB6" s="291"/>
      <c r="EC6" s="291"/>
      <c r="ED6" s="291"/>
      <c r="EE6" s="291"/>
      <c r="EF6" s="291"/>
      <c r="EG6" s="291"/>
      <c r="EH6" s="291"/>
      <c r="EI6" s="291"/>
      <c r="EJ6" s="291"/>
      <c r="EK6" s="291"/>
      <c r="EL6" s="291"/>
      <c r="EM6" s="291"/>
      <c r="EN6" s="291"/>
      <c r="EO6" s="291"/>
      <c r="EP6" s="291"/>
      <c r="EQ6" s="291"/>
      <c r="ER6" s="291"/>
      <c r="ES6" s="291"/>
      <c r="ET6" s="291"/>
      <c r="EU6" s="291"/>
      <c r="EV6" s="291"/>
      <c r="EW6" s="291"/>
      <c r="EX6" s="291"/>
      <c r="EY6" s="291"/>
      <c r="EZ6" s="291"/>
      <c r="FA6" s="291"/>
      <c r="FB6" s="291"/>
      <c r="FC6" s="291"/>
      <c r="FD6" s="291"/>
      <c r="FE6" s="291"/>
      <c r="FF6" s="291"/>
      <c r="FG6" s="291"/>
      <c r="FH6" s="291"/>
      <c r="FI6" s="291"/>
      <c r="FJ6" s="291"/>
      <c r="FK6" s="291"/>
      <c r="FL6" s="291"/>
      <c r="FM6" s="291"/>
      <c r="FN6" s="291"/>
      <c r="FO6" s="291"/>
      <c r="FP6" s="291"/>
      <c r="FQ6" s="291"/>
      <c r="FR6" s="291"/>
      <c r="FS6" s="291"/>
      <c r="FT6" s="291"/>
      <c r="FU6" s="291"/>
      <c r="FV6" s="291"/>
      <c r="FW6" s="291"/>
      <c r="FX6" s="291"/>
      <c r="FY6" s="291"/>
      <c r="FZ6" s="291"/>
      <c r="GA6" s="291"/>
      <c r="GB6" s="291"/>
      <c r="GC6" s="291"/>
      <c r="GD6" s="291"/>
      <c r="GE6" s="291"/>
      <c r="GF6" s="291"/>
      <c r="GG6" s="291"/>
      <c r="GH6" s="291"/>
      <c r="GI6" s="291"/>
      <c r="GJ6" s="291"/>
      <c r="GK6" s="291"/>
      <c r="GL6" s="291"/>
      <c r="GM6" s="291"/>
      <c r="GN6" s="291"/>
      <c r="GO6" s="291"/>
      <c r="GP6" s="291"/>
      <c r="GQ6" s="291"/>
      <c r="GR6" s="291"/>
      <c r="GS6" s="291"/>
      <c r="GT6" s="291"/>
      <c r="GU6" s="291"/>
      <c r="GV6" s="291"/>
      <c r="GW6" s="291"/>
      <c r="GX6" s="291"/>
      <c r="GY6" s="291"/>
      <c r="GZ6" s="291"/>
      <c r="HA6" s="291"/>
      <c r="HB6" s="291"/>
      <c r="HC6" s="291"/>
      <c r="HD6" s="291"/>
      <c r="HE6" s="291"/>
      <c r="HF6" s="291"/>
      <c r="HG6" s="291"/>
      <c r="HH6" s="291"/>
      <c r="HI6" s="291"/>
      <c r="HJ6" s="291"/>
      <c r="HK6" s="291"/>
      <c r="HL6" s="291"/>
      <c r="HM6" s="291"/>
      <c r="HN6" s="291"/>
      <c r="HO6" s="291"/>
      <c r="HP6" s="291"/>
      <c r="HQ6" s="291"/>
      <c r="HR6" s="291"/>
      <c r="HS6" s="291"/>
      <c r="HT6" s="291"/>
      <c r="HU6" s="291"/>
      <c r="HV6" s="291"/>
      <c r="HW6" s="291"/>
      <c r="HX6" s="291"/>
      <c r="HY6" s="291"/>
      <c r="HZ6" s="291"/>
      <c r="IA6" s="291"/>
      <c r="IB6" s="291"/>
      <c r="IC6" s="291"/>
      <c r="ID6" s="291"/>
      <c r="IE6" s="291"/>
      <c r="IF6" s="291"/>
      <c r="IG6" s="291"/>
      <c r="IH6" s="291"/>
      <c r="II6" s="291"/>
      <c r="IJ6" s="291"/>
      <c r="IK6" s="291"/>
      <c r="IL6" s="291"/>
      <c r="IM6" s="291"/>
      <c r="IN6" s="291"/>
      <c r="IO6" s="291"/>
      <c r="IP6" s="291"/>
      <c r="IQ6" s="291"/>
      <c r="IR6" s="291"/>
      <c r="IS6" s="291"/>
      <c r="IT6" s="291"/>
      <c r="IU6" s="291"/>
      <c r="IV6" s="291"/>
      <c r="IW6" s="291"/>
      <c r="IX6" s="291"/>
      <c r="IY6" s="291"/>
      <c r="IZ6" s="291"/>
      <c r="JA6" s="291"/>
      <c r="JB6" s="291"/>
      <c r="JC6" s="291"/>
      <c r="JD6" s="291"/>
      <c r="JE6" s="291"/>
      <c r="JF6" s="291"/>
      <c r="JG6" s="291"/>
      <c r="JH6" s="291"/>
      <c r="JI6" s="291"/>
      <c r="JJ6" s="291"/>
      <c r="JK6" s="291"/>
      <c r="JL6" s="291"/>
      <c r="JM6" s="291"/>
      <c r="JN6" s="291"/>
      <c r="JO6" s="291"/>
      <c r="JP6" s="291"/>
      <c r="JQ6" s="291"/>
      <c r="JR6" s="291"/>
      <c r="JS6" s="291"/>
      <c r="JT6" s="291"/>
      <c r="JU6" s="291"/>
    </row>
    <row r="7" spans="1:281" ht="21">
      <c r="A7" s="294"/>
      <c r="B7" s="290"/>
      <c r="C7" s="295"/>
      <c r="D7" s="291"/>
      <c r="E7" s="291"/>
      <c r="F7" s="291"/>
      <c r="G7" s="291"/>
      <c r="H7" s="291"/>
      <c r="I7" s="291"/>
      <c r="J7" s="291"/>
      <c r="K7" s="291"/>
      <c r="L7" s="291"/>
      <c r="M7" s="291"/>
      <c r="N7" s="291"/>
      <c r="O7" s="291"/>
      <c r="P7" s="291"/>
      <c r="Q7" s="291"/>
      <c r="R7" s="291"/>
      <c r="S7" s="291"/>
      <c r="T7" s="291"/>
      <c r="U7" s="291"/>
      <c r="V7" s="291"/>
      <c r="W7" s="291"/>
      <c r="X7" s="291"/>
      <c r="Y7" s="291"/>
      <c r="Z7" s="291"/>
      <c r="AA7" s="291"/>
      <c r="AB7" s="291"/>
      <c r="AC7" s="291"/>
      <c r="AD7" s="291"/>
      <c r="AE7" s="291"/>
      <c r="AF7" s="291"/>
      <c r="AG7" s="291"/>
      <c r="AH7" s="291"/>
      <c r="AI7" s="291"/>
      <c r="AJ7" s="291"/>
      <c r="AK7" s="291"/>
      <c r="AL7" s="291"/>
      <c r="AM7" s="291"/>
      <c r="AN7" s="291"/>
      <c r="AO7" s="291"/>
      <c r="AP7" s="291"/>
      <c r="AQ7" s="291"/>
      <c r="AR7" s="291"/>
      <c r="AS7" s="291"/>
      <c r="AT7" s="291"/>
      <c r="AU7" s="291"/>
      <c r="AV7" s="291"/>
      <c r="AW7" s="291"/>
      <c r="AX7" s="291"/>
      <c r="AY7" s="291"/>
      <c r="AZ7" s="291"/>
      <c r="BA7" s="291"/>
      <c r="BB7" s="296" t="s">
        <v>539</v>
      </c>
      <c r="BC7" s="291"/>
      <c r="BD7" t="s">
        <v>540</v>
      </c>
      <c r="BE7" s="292"/>
      <c r="BF7" s="291"/>
      <c r="BG7" s="291"/>
      <c r="BH7" s="291"/>
      <c r="BI7" s="291"/>
      <c r="BJ7" s="291"/>
      <c r="BK7" s="291"/>
      <c r="BL7" s="291"/>
      <c r="BM7" s="291"/>
      <c r="BN7" s="291"/>
      <c r="BO7" s="291"/>
      <c r="BP7" s="291"/>
      <c r="BQ7" s="291"/>
      <c r="BR7" s="291"/>
      <c r="BS7" s="291"/>
      <c r="BT7" s="291"/>
      <c r="BU7" s="291"/>
      <c r="BV7" s="291"/>
      <c r="BW7" s="291"/>
      <c r="BX7" s="291"/>
      <c r="BY7" s="291"/>
      <c r="BZ7" s="291"/>
      <c r="CA7" s="291"/>
      <c r="CB7" s="291"/>
      <c r="CC7" s="291"/>
      <c r="CD7" s="291"/>
      <c r="CE7" s="291"/>
      <c r="CF7" s="291"/>
      <c r="CG7" s="291"/>
      <c r="CH7" s="291"/>
      <c r="CI7" s="291"/>
      <c r="CJ7" s="291"/>
      <c r="CK7" s="291"/>
      <c r="CL7" s="291"/>
      <c r="CM7" s="291"/>
      <c r="CN7" s="291"/>
      <c r="CO7" s="291"/>
      <c r="CP7" s="291"/>
      <c r="CQ7" s="291"/>
      <c r="CR7" s="291"/>
      <c r="CS7" s="291"/>
      <c r="CT7" s="291"/>
      <c r="CU7" s="291"/>
      <c r="CV7" s="291"/>
      <c r="CW7" s="291"/>
      <c r="CX7" s="291"/>
      <c r="CY7" s="291"/>
      <c r="CZ7" s="291"/>
      <c r="DA7" s="291"/>
      <c r="DB7" s="291"/>
      <c r="DC7" s="291"/>
      <c r="DD7" s="291"/>
      <c r="DE7" s="291"/>
      <c r="DF7" s="291"/>
      <c r="DG7" s="291"/>
      <c r="DH7" s="291"/>
      <c r="DI7" s="291"/>
      <c r="DJ7" s="291"/>
      <c r="DK7" s="291"/>
      <c r="DL7" s="291"/>
      <c r="DM7" s="291"/>
      <c r="DN7" s="291"/>
      <c r="DO7" s="291"/>
      <c r="DP7" s="291"/>
      <c r="DQ7" s="291"/>
      <c r="DR7" s="291"/>
      <c r="DS7" s="291"/>
      <c r="DT7" s="291"/>
      <c r="DU7" s="291"/>
      <c r="DV7" s="291"/>
      <c r="DW7" s="291"/>
      <c r="DX7" s="291"/>
      <c r="DY7" s="291"/>
      <c r="DZ7" s="291"/>
      <c r="EA7" s="291"/>
      <c r="EB7" s="291"/>
      <c r="EC7" s="291"/>
      <c r="ED7" s="291"/>
      <c r="EE7" s="291"/>
      <c r="EF7" s="291"/>
      <c r="EG7" s="291"/>
      <c r="EH7" s="291"/>
      <c r="EI7" s="291"/>
      <c r="EJ7" s="291"/>
      <c r="EK7" s="291"/>
      <c r="EL7" s="291"/>
      <c r="EM7" s="291"/>
      <c r="EN7" s="291"/>
      <c r="EO7" s="291"/>
      <c r="EP7" s="291"/>
      <c r="EQ7" s="291"/>
      <c r="ER7" s="291"/>
      <c r="ES7" s="291"/>
      <c r="ET7" s="291"/>
      <c r="EU7" s="291"/>
      <c r="EV7" s="291"/>
      <c r="EW7" s="291"/>
      <c r="EX7" s="291"/>
      <c r="EY7" s="291"/>
      <c r="EZ7" s="291"/>
      <c r="FA7" s="291"/>
      <c r="FB7" s="291"/>
      <c r="FC7" s="291"/>
      <c r="FD7" s="291"/>
      <c r="FE7" s="291"/>
      <c r="FF7" s="291"/>
      <c r="FG7" s="291"/>
      <c r="FH7" s="291"/>
      <c r="FI7" s="291"/>
      <c r="FJ7" s="291"/>
      <c r="FK7" s="291"/>
      <c r="FL7" s="291"/>
      <c r="FM7" s="291"/>
      <c r="FN7" s="291"/>
      <c r="FO7" s="291"/>
      <c r="FP7" s="291"/>
      <c r="FQ7" s="291"/>
      <c r="FR7" s="291"/>
      <c r="FS7" s="291"/>
      <c r="FT7" s="291"/>
      <c r="FU7" s="291"/>
      <c r="FV7" s="291"/>
      <c r="FW7" s="291"/>
      <c r="FX7" s="291"/>
      <c r="FY7" s="291"/>
      <c r="FZ7" s="291"/>
      <c r="GA7" s="291"/>
      <c r="GB7" s="291"/>
      <c r="GC7" s="291"/>
      <c r="GD7" s="291"/>
      <c r="GE7" s="291"/>
      <c r="GF7" s="291"/>
      <c r="GG7" s="291"/>
      <c r="GH7" s="291"/>
      <c r="GI7" s="291"/>
      <c r="GJ7" s="291"/>
      <c r="GK7" s="291"/>
      <c r="GL7" s="291"/>
      <c r="GM7" s="291"/>
      <c r="GN7" s="291"/>
      <c r="GO7" s="291"/>
      <c r="GP7" s="291"/>
      <c r="GQ7" s="291"/>
      <c r="GR7" s="291"/>
      <c r="GS7" s="291"/>
      <c r="GT7" s="291"/>
      <c r="GU7" s="291"/>
      <c r="GV7" s="291"/>
      <c r="GW7" s="291"/>
      <c r="GX7" s="291"/>
      <c r="GY7" s="291"/>
      <c r="GZ7" s="291"/>
      <c r="HA7" s="291"/>
      <c r="HB7" s="291"/>
      <c r="HC7" s="291"/>
      <c r="HD7" s="291"/>
      <c r="HE7" s="291"/>
      <c r="HF7" s="291"/>
      <c r="HG7" s="291"/>
      <c r="HH7" s="291"/>
      <c r="HI7" s="291"/>
      <c r="HJ7" s="291"/>
      <c r="HK7" s="291"/>
      <c r="HL7" s="291"/>
      <c r="HM7" s="291"/>
      <c r="HN7" s="291"/>
      <c r="HO7" s="291"/>
      <c r="HP7" s="291"/>
      <c r="HQ7" s="291"/>
      <c r="HR7" s="291"/>
      <c r="HS7" s="291"/>
      <c r="HT7" s="291"/>
      <c r="HU7" s="291"/>
      <c r="HV7" s="291"/>
      <c r="HW7" s="291"/>
      <c r="HX7" s="291"/>
      <c r="HY7" s="291"/>
      <c r="HZ7" s="291"/>
      <c r="IA7" s="291"/>
      <c r="IB7" s="291"/>
      <c r="IC7" s="291"/>
      <c r="ID7" s="291"/>
      <c r="IE7" s="291"/>
      <c r="IF7" s="291"/>
      <c r="IG7" s="291"/>
      <c r="IH7" s="291"/>
      <c r="II7" s="291"/>
      <c r="IJ7" s="291"/>
      <c r="IK7" s="291"/>
      <c r="IL7" s="291"/>
      <c r="IM7" s="291"/>
      <c r="IN7" s="291"/>
      <c r="IO7" s="291"/>
      <c r="IP7" s="291"/>
      <c r="IQ7" s="291"/>
      <c r="IR7" s="291"/>
      <c r="IS7" s="291"/>
      <c r="IT7" s="291"/>
      <c r="IU7" s="291"/>
      <c r="IV7" s="291"/>
      <c r="IW7" s="291"/>
      <c r="IX7" s="291"/>
      <c r="IY7" s="291"/>
      <c r="IZ7" s="291"/>
      <c r="JA7" s="291"/>
      <c r="JB7" s="291"/>
      <c r="JC7" s="291"/>
      <c r="JD7" s="291"/>
      <c r="JE7" s="291"/>
      <c r="JF7" s="291"/>
      <c r="JG7" s="291"/>
      <c r="JH7" s="291"/>
      <c r="JI7" s="291"/>
      <c r="JJ7" s="291"/>
      <c r="JK7" s="291"/>
      <c r="JL7" s="291"/>
      <c r="JM7" s="291"/>
      <c r="JN7" s="291"/>
      <c r="JO7" s="291"/>
      <c r="JP7" s="291"/>
      <c r="JQ7" s="291"/>
      <c r="JR7" s="291"/>
      <c r="JS7" s="291"/>
      <c r="JT7" s="291"/>
      <c r="JU7" s="291"/>
    </row>
    <row r="8" spans="1:281" ht="21">
      <c r="A8" s="294"/>
      <c r="B8" s="290"/>
      <c r="C8" s="295"/>
      <c r="D8" s="291"/>
      <c r="E8" s="291"/>
      <c r="F8" s="291"/>
      <c r="G8" s="291"/>
      <c r="H8" s="291"/>
      <c r="I8" s="291"/>
      <c r="J8" s="291"/>
      <c r="K8" s="291"/>
      <c r="L8" s="291"/>
      <c r="M8" s="291"/>
      <c r="N8" s="291"/>
      <c r="O8" s="291"/>
      <c r="P8" s="291"/>
      <c r="Q8" s="291"/>
      <c r="R8" s="291"/>
      <c r="S8" s="291"/>
      <c r="T8" s="291"/>
      <c r="U8" s="291"/>
      <c r="V8" s="291"/>
      <c r="W8" s="291"/>
      <c r="X8" s="291"/>
      <c r="Y8" s="291"/>
      <c r="Z8" s="291"/>
      <c r="AA8" s="291"/>
      <c r="AB8" s="291"/>
      <c r="AC8" s="291"/>
      <c r="AD8" s="291"/>
      <c r="AE8" s="291"/>
      <c r="AF8" s="291"/>
      <c r="AG8" s="291"/>
      <c r="AH8" s="291"/>
      <c r="AI8" s="291"/>
      <c r="AJ8" s="291"/>
      <c r="AK8" s="291"/>
      <c r="AL8" s="291"/>
      <c r="AM8" s="291"/>
      <c r="AN8" s="291"/>
      <c r="AO8" s="291"/>
      <c r="AP8" s="291"/>
      <c r="AQ8" s="291"/>
      <c r="AR8" s="291"/>
      <c r="AS8" s="291"/>
      <c r="AT8" s="291"/>
      <c r="AU8" s="291"/>
      <c r="AV8" s="291"/>
      <c r="AW8" s="291"/>
      <c r="AX8" s="291"/>
      <c r="AY8" s="291"/>
      <c r="AZ8" s="291"/>
      <c r="BA8" s="291"/>
      <c r="BB8" s="296" t="s">
        <v>541</v>
      </c>
      <c r="BC8" s="291"/>
      <c r="BD8" t="s">
        <v>542</v>
      </c>
      <c r="BE8" s="292"/>
      <c r="BF8" s="291"/>
      <c r="BG8" s="291"/>
      <c r="BH8" s="291"/>
      <c r="BI8" s="291"/>
      <c r="BJ8" s="291"/>
      <c r="BK8" s="291"/>
      <c r="BL8" s="291"/>
      <c r="BM8" s="291"/>
      <c r="BN8" s="291"/>
      <c r="BO8" s="291"/>
      <c r="BP8" s="291"/>
      <c r="BQ8" s="291"/>
      <c r="BR8" s="291"/>
      <c r="BS8" s="291"/>
      <c r="BT8" s="291"/>
      <c r="BU8" s="291"/>
      <c r="BV8" s="291"/>
      <c r="BW8" s="291"/>
      <c r="BX8" s="291"/>
      <c r="BY8" s="291"/>
      <c r="BZ8" s="291"/>
      <c r="CA8" s="291"/>
      <c r="CB8" s="291"/>
      <c r="CC8" s="291"/>
      <c r="CD8" s="291"/>
      <c r="CE8" s="291"/>
      <c r="CF8" s="291"/>
      <c r="CG8" s="291"/>
      <c r="CH8" s="291"/>
      <c r="CI8" s="291"/>
      <c r="CJ8" s="291"/>
      <c r="CK8" s="291"/>
      <c r="CL8" s="291"/>
      <c r="CM8" s="291"/>
      <c r="CN8" s="291"/>
      <c r="CO8" s="291"/>
      <c r="CP8" s="291"/>
      <c r="CQ8" s="291"/>
      <c r="CR8" s="291"/>
      <c r="CS8" s="291"/>
      <c r="CT8" s="291"/>
      <c r="CU8" s="291"/>
      <c r="CV8" s="291"/>
      <c r="CW8" s="291"/>
      <c r="CX8" s="291"/>
      <c r="CY8" s="291"/>
      <c r="CZ8" s="291"/>
      <c r="DA8" s="291"/>
      <c r="DB8" s="291"/>
      <c r="DC8" s="291"/>
      <c r="DD8" s="291"/>
      <c r="DE8" s="291"/>
      <c r="DF8" s="291"/>
      <c r="DG8" s="291"/>
      <c r="DH8" s="291"/>
      <c r="DI8" s="291"/>
      <c r="DJ8" s="291"/>
      <c r="DK8" s="291"/>
      <c r="DL8" s="291"/>
      <c r="DM8" s="291"/>
      <c r="DN8" s="291"/>
      <c r="DO8" s="291"/>
      <c r="DP8" s="291"/>
      <c r="DQ8" s="291"/>
      <c r="DR8" s="291"/>
      <c r="DS8" s="291"/>
      <c r="DT8" s="291"/>
      <c r="DU8" s="291"/>
      <c r="DV8" s="291"/>
      <c r="DW8" s="291"/>
      <c r="DX8" s="291"/>
      <c r="DY8" s="291"/>
      <c r="DZ8" s="291"/>
      <c r="EA8" s="291"/>
      <c r="EB8" s="291"/>
      <c r="EC8" s="291"/>
      <c r="ED8" s="291"/>
      <c r="EE8" s="291"/>
      <c r="EF8" s="291"/>
      <c r="EG8" s="291"/>
      <c r="EH8" s="291"/>
      <c r="EI8" s="291"/>
      <c r="EJ8" s="291"/>
      <c r="EK8" s="291"/>
      <c r="EL8" s="291"/>
      <c r="EM8" s="291"/>
      <c r="EN8" s="291"/>
      <c r="EO8" s="291"/>
      <c r="EP8" s="291"/>
      <c r="EQ8" s="291"/>
      <c r="ER8" s="291"/>
      <c r="ES8" s="291"/>
      <c r="ET8" s="291"/>
      <c r="EU8" s="291"/>
      <c r="EV8" s="291"/>
      <c r="EW8" s="291"/>
      <c r="EX8" s="291"/>
      <c r="EY8" s="291"/>
      <c r="EZ8" s="291"/>
      <c r="FA8" s="291"/>
      <c r="FB8" s="291"/>
      <c r="FC8" s="291"/>
      <c r="FD8" s="291"/>
      <c r="FE8" s="291"/>
      <c r="FF8" s="291"/>
      <c r="FG8" s="291"/>
      <c r="FH8" s="291"/>
      <c r="FI8" s="291"/>
      <c r="FJ8" s="291"/>
      <c r="FK8" s="291"/>
      <c r="FL8" s="291"/>
      <c r="FM8" s="291"/>
      <c r="FN8" s="291"/>
      <c r="FO8" s="291"/>
      <c r="FP8" s="291"/>
      <c r="FQ8" s="291"/>
      <c r="FR8" s="291"/>
      <c r="FS8" s="291"/>
      <c r="FT8" s="291"/>
      <c r="FU8" s="291"/>
      <c r="FV8" s="291"/>
      <c r="FW8" s="291"/>
      <c r="FX8" s="291"/>
      <c r="FY8" s="291"/>
      <c r="FZ8" s="291"/>
      <c r="GA8" s="291"/>
      <c r="GB8" s="291"/>
      <c r="GC8" s="291"/>
      <c r="GD8" s="291"/>
      <c r="GE8" s="291"/>
      <c r="GF8" s="291"/>
      <c r="GG8" s="291"/>
      <c r="GH8" s="291"/>
      <c r="GI8" s="291"/>
      <c r="GJ8" s="291"/>
      <c r="GK8" s="291"/>
      <c r="GL8" s="291"/>
      <c r="GM8" s="291"/>
      <c r="GN8" s="291"/>
      <c r="GO8" s="291"/>
      <c r="GP8" s="291"/>
      <c r="GQ8" s="291"/>
      <c r="GR8" s="291"/>
      <c r="GS8" s="291"/>
      <c r="GT8" s="291"/>
      <c r="GU8" s="291"/>
      <c r="GV8" s="291"/>
      <c r="GW8" s="291"/>
      <c r="GX8" s="291"/>
      <c r="GY8" s="291"/>
      <c r="GZ8" s="291"/>
      <c r="HA8" s="291"/>
      <c r="HB8" s="291"/>
      <c r="HC8" s="291"/>
      <c r="HD8" s="291"/>
      <c r="HE8" s="291"/>
      <c r="HF8" s="291"/>
      <c r="HG8" s="291"/>
      <c r="HH8" s="291"/>
      <c r="HI8" s="291"/>
      <c r="HJ8" s="291"/>
      <c r="HK8" s="291"/>
      <c r="HL8" s="291"/>
      <c r="HM8" s="291"/>
      <c r="HN8" s="291"/>
      <c r="HO8" s="291"/>
      <c r="HP8" s="291"/>
      <c r="HQ8" s="291"/>
      <c r="HR8" s="291"/>
      <c r="HS8" s="291"/>
      <c r="HT8" s="291"/>
      <c r="HU8" s="291"/>
      <c r="HV8" s="291"/>
      <c r="HW8" s="291"/>
      <c r="HX8" s="291"/>
      <c r="HY8" s="291"/>
      <c r="HZ8" s="291"/>
      <c r="IA8" s="291"/>
      <c r="IB8" s="291"/>
      <c r="IC8" s="291"/>
      <c r="ID8" s="291"/>
      <c r="IE8" s="291"/>
      <c r="IF8" s="291"/>
      <c r="IG8" s="291"/>
      <c r="IH8" s="291"/>
      <c r="II8" s="291"/>
      <c r="IJ8" s="291"/>
      <c r="IK8" s="291"/>
      <c r="IL8" s="291"/>
      <c r="IM8" s="291"/>
      <c r="IN8" s="291"/>
      <c r="IO8" s="291"/>
      <c r="IP8" s="291"/>
      <c r="IQ8" s="291"/>
      <c r="IR8" s="291"/>
      <c r="IS8" s="291"/>
      <c r="IT8" s="291"/>
      <c r="IU8" s="291"/>
      <c r="IV8" s="291"/>
      <c r="IW8" s="291"/>
      <c r="IX8" s="291"/>
      <c r="IY8" s="291"/>
      <c r="IZ8" s="291"/>
      <c r="JA8" s="291"/>
      <c r="JB8" s="291"/>
      <c r="JC8" s="291"/>
      <c r="JD8" s="291"/>
      <c r="JE8" s="291"/>
      <c r="JF8" s="291"/>
      <c r="JG8" s="291"/>
      <c r="JH8" s="291"/>
      <c r="JI8" s="291"/>
      <c r="JJ8" s="291"/>
      <c r="JK8" s="291"/>
      <c r="JL8" s="291"/>
      <c r="JM8" s="291"/>
      <c r="JN8" s="291"/>
      <c r="JO8" s="291"/>
      <c r="JP8" s="291"/>
      <c r="JQ8" s="291"/>
      <c r="JR8" s="291"/>
      <c r="JS8" s="291"/>
      <c r="JT8" s="291"/>
      <c r="JU8" s="291"/>
    </row>
    <row r="9" spans="1:281" ht="17.649999999999999">
      <c r="A9" s="297" t="s">
        <v>543</v>
      </c>
      <c r="B9" s="298"/>
      <c r="C9" s="299" t="s">
        <v>544</v>
      </c>
      <c r="D9" s="290"/>
      <c r="E9" s="290"/>
      <c r="F9" s="290"/>
      <c r="G9" s="290"/>
      <c r="H9" s="290"/>
      <c r="I9" s="290"/>
      <c r="J9" s="290"/>
      <c r="K9" s="290"/>
      <c r="L9" s="290"/>
      <c r="M9" s="290"/>
      <c r="N9" s="290"/>
      <c r="O9" s="290"/>
      <c r="P9" s="290"/>
      <c r="Q9" s="290"/>
      <c r="R9" s="290"/>
      <c r="S9" s="290"/>
      <c r="T9" s="290"/>
      <c r="U9" s="290"/>
      <c r="V9" s="290"/>
      <c r="W9" s="290"/>
      <c r="X9" s="290"/>
      <c r="Y9" s="290"/>
      <c r="Z9" s="290"/>
      <c r="AA9" s="290"/>
      <c r="AB9" s="290"/>
      <c r="AC9" s="291"/>
      <c r="AD9" s="291"/>
      <c r="AE9" s="291"/>
      <c r="AF9" s="291"/>
      <c r="AG9" s="291"/>
      <c r="AH9" s="291"/>
      <c r="AI9" s="291"/>
      <c r="AJ9" s="291"/>
      <c r="AK9" s="291"/>
      <c r="AL9" s="291"/>
      <c r="AM9" s="291"/>
      <c r="AN9" s="291"/>
      <c r="AO9" s="291"/>
      <c r="AP9" s="291"/>
      <c r="AQ9" s="291"/>
      <c r="AR9" s="291"/>
      <c r="AS9" s="291"/>
      <c r="AT9" s="291"/>
      <c r="AU9" s="291"/>
      <c r="AV9" s="291"/>
      <c r="AW9" s="291"/>
      <c r="AX9" s="291"/>
      <c r="AY9" s="291"/>
      <c r="AZ9" s="291"/>
      <c r="BA9" s="291"/>
      <c r="BB9" s="296" t="s">
        <v>545</v>
      </c>
      <c r="BC9" s="291"/>
      <c r="BD9" t="s">
        <v>546</v>
      </c>
      <c r="BE9" s="292"/>
      <c r="BF9" s="291"/>
      <c r="BG9" s="291"/>
      <c r="BH9" s="291"/>
      <c r="BI9" s="291"/>
      <c r="BJ9" s="291"/>
      <c r="BK9" s="291"/>
      <c r="BL9" s="291"/>
      <c r="BM9" s="291"/>
      <c r="BN9" s="291"/>
      <c r="BO9" s="291"/>
      <c r="BP9" s="291"/>
      <c r="BQ9" s="291"/>
      <c r="BR9" s="291"/>
      <c r="BS9" s="291"/>
      <c r="BT9" s="291"/>
      <c r="BU9" s="291"/>
      <c r="BV9" s="291"/>
      <c r="BW9" s="291"/>
      <c r="BX9" s="291"/>
      <c r="BY9" s="291"/>
      <c r="BZ9" s="291"/>
      <c r="CA9" s="291"/>
      <c r="CB9" s="291"/>
      <c r="CC9" s="291"/>
      <c r="CD9" s="291"/>
      <c r="CE9" s="291"/>
      <c r="CF9" s="291"/>
      <c r="CG9" s="291"/>
      <c r="CH9" s="291"/>
      <c r="CI9" s="291"/>
      <c r="CJ9" s="291"/>
      <c r="CK9" s="291"/>
      <c r="CL9" s="291"/>
      <c r="CM9" s="291"/>
      <c r="CN9" s="291"/>
      <c r="CO9" s="291"/>
      <c r="CP9" s="291"/>
      <c r="CQ9" s="291"/>
      <c r="CR9" s="291"/>
      <c r="CS9" s="291"/>
      <c r="CT9" s="291"/>
      <c r="CU9" s="291"/>
      <c r="CV9" s="291"/>
      <c r="CW9" s="291"/>
      <c r="CX9" s="291"/>
      <c r="CY9" s="291"/>
      <c r="CZ9" s="291"/>
      <c r="DA9" s="291"/>
      <c r="DB9" s="291"/>
      <c r="DC9" s="291"/>
      <c r="DD9" s="291"/>
      <c r="DE9" s="291"/>
      <c r="DF9" s="291"/>
      <c r="DG9" s="291"/>
      <c r="DH9" s="291"/>
      <c r="DI9" s="291"/>
      <c r="DJ9" s="291"/>
      <c r="DK9" s="291"/>
      <c r="DL9" s="291"/>
      <c r="DM9" s="291"/>
      <c r="DN9" s="291"/>
      <c r="DO9" s="291"/>
      <c r="DP9" s="291"/>
      <c r="DQ9" s="291"/>
      <c r="DR9" s="291"/>
      <c r="DS9" s="291"/>
      <c r="DT9" s="291"/>
      <c r="DU9" s="291"/>
      <c r="DV9" s="291"/>
      <c r="DW9" s="291"/>
      <c r="DX9" s="291"/>
      <c r="DY9" s="291"/>
      <c r="DZ9" s="291"/>
      <c r="EA9" s="291"/>
      <c r="EB9" s="291"/>
      <c r="EC9" s="291"/>
      <c r="ED9" s="291"/>
      <c r="EE9" s="291"/>
      <c r="EF9" s="291"/>
      <c r="EG9" s="291"/>
      <c r="EH9" s="291"/>
      <c r="EI9" s="291"/>
      <c r="EJ9" s="291"/>
      <c r="EK9" s="291"/>
      <c r="EL9" s="291"/>
      <c r="EM9" s="291"/>
      <c r="EN9" s="291"/>
      <c r="EO9" s="291"/>
      <c r="EP9" s="291"/>
      <c r="EQ9" s="291"/>
      <c r="ER9" s="291"/>
      <c r="ES9" s="291"/>
      <c r="ET9" s="291"/>
      <c r="EU9" s="291"/>
      <c r="EV9" s="291"/>
      <c r="EW9" s="291"/>
      <c r="EX9" s="291"/>
      <c r="EY9" s="291"/>
      <c r="EZ9" s="291"/>
      <c r="FA9" s="291"/>
      <c r="FB9" s="291"/>
      <c r="FC9" s="291"/>
      <c r="FD9" s="291"/>
      <c r="FE9" s="291"/>
      <c r="FF9" s="291"/>
      <c r="FG9" s="291"/>
      <c r="FH9" s="291"/>
      <c r="FI9" s="291"/>
      <c r="FJ9" s="291"/>
      <c r="FK9" s="291"/>
      <c r="FL9" s="291"/>
      <c r="FM9" s="291"/>
      <c r="FN9" s="291"/>
      <c r="FO9" s="291"/>
      <c r="FP9" s="291"/>
      <c r="FQ9" s="291"/>
      <c r="FR9" s="291"/>
      <c r="FS9" s="291"/>
      <c r="FT9" s="291"/>
      <c r="FU9" s="291"/>
      <c r="FV9" s="291"/>
      <c r="FW9" s="291"/>
      <c r="FX9" s="291"/>
      <c r="FY9" s="291"/>
      <c r="FZ9" s="291"/>
      <c r="GA9" s="291"/>
      <c r="GB9" s="291"/>
      <c r="GC9" s="291"/>
      <c r="GD9" s="291"/>
      <c r="GE9" s="291"/>
      <c r="GF9" s="291"/>
      <c r="GG9" s="291"/>
      <c r="GH9" s="291"/>
      <c r="GI9" s="291"/>
      <c r="GJ9" s="291"/>
      <c r="GK9" s="291"/>
      <c r="GL9" s="291"/>
      <c r="GM9" s="291"/>
      <c r="GN9" s="291"/>
      <c r="GO9" s="291"/>
      <c r="GP9" s="291"/>
      <c r="GQ9" s="291"/>
      <c r="GR9" s="291"/>
      <c r="GS9" s="291"/>
      <c r="GT9" s="291"/>
      <c r="GU9" s="291"/>
      <c r="GV9" s="291"/>
      <c r="GW9" s="291"/>
      <c r="GX9" s="291"/>
      <c r="GY9" s="291"/>
      <c r="GZ9" s="291"/>
      <c r="HA9" s="291"/>
      <c r="HB9" s="291"/>
      <c r="HC9" s="291"/>
      <c r="HD9" s="291"/>
      <c r="HE9" s="291"/>
      <c r="HF9" s="291"/>
      <c r="HG9" s="291"/>
      <c r="HH9" s="291"/>
      <c r="HI9" s="291"/>
      <c r="HJ9" s="291"/>
      <c r="HK9" s="291"/>
      <c r="HL9" s="291"/>
      <c r="HM9" s="291"/>
      <c r="HN9" s="291"/>
      <c r="HO9" s="291"/>
      <c r="HP9" s="291"/>
      <c r="HQ9" s="291"/>
      <c r="HR9" s="291"/>
      <c r="HS9" s="291"/>
      <c r="HT9" s="291"/>
      <c r="HU9" s="291"/>
      <c r="HV9" s="291"/>
      <c r="HW9" s="291"/>
      <c r="HX9" s="291"/>
      <c r="HY9" s="291"/>
      <c r="HZ9" s="291"/>
      <c r="IA9" s="291"/>
      <c r="IB9" s="291"/>
      <c r="IC9" s="291"/>
      <c r="ID9" s="291"/>
      <c r="IE9" s="291"/>
      <c r="IF9" s="291"/>
      <c r="IG9" s="291"/>
      <c r="IH9" s="291"/>
      <c r="II9" s="291"/>
      <c r="IJ9" s="291"/>
      <c r="IK9" s="291"/>
      <c r="IL9" s="291"/>
      <c r="IM9" s="291"/>
      <c r="IN9" s="291"/>
      <c r="IO9" s="291"/>
      <c r="IP9" s="291"/>
      <c r="IQ9" s="291"/>
      <c r="IR9" s="291"/>
      <c r="IS9" s="291"/>
      <c r="IT9" s="291"/>
      <c r="IU9" s="291"/>
      <c r="IV9" s="291"/>
      <c r="IW9" s="291"/>
      <c r="IX9" s="291"/>
      <c r="IY9" s="291"/>
      <c r="IZ9" s="291"/>
      <c r="JA9" s="291"/>
      <c r="JB9" s="291"/>
      <c r="JC9" s="291"/>
      <c r="JD9" s="291"/>
      <c r="JE9" s="291"/>
      <c r="JF9" s="291"/>
      <c r="JG9" s="291"/>
      <c r="JH9" s="291"/>
      <c r="JI9" s="291"/>
      <c r="JJ9" s="291"/>
      <c r="JK9" s="291"/>
      <c r="JL9" s="291"/>
      <c r="JM9" s="291"/>
      <c r="JN9" s="291"/>
      <c r="JO9" s="291"/>
      <c r="JP9" s="291"/>
      <c r="JQ9" s="291"/>
      <c r="JR9" s="291"/>
      <c r="JS9" s="291"/>
      <c r="JT9" s="291"/>
      <c r="JU9" s="291"/>
    </row>
    <row r="10" spans="1:281" ht="15.4">
      <c r="A10" s="291" t="s">
        <v>547</v>
      </c>
      <c r="B10" s="300" t="s">
        <v>548</v>
      </c>
      <c r="C10" s="299" t="s">
        <v>537</v>
      </c>
      <c r="D10" s="301" t="e">
        <f ca="1">_xll.BLUEMATRIX2("/servlet/excelData",C10, $C$14,$B10)</f>
        <v>#NAME?</v>
      </c>
      <c r="E10" s="291"/>
      <c r="F10" s="291"/>
      <c r="G10" s="291"/>
      <c r="H10" s="291"/>
      <c r="I10" s="291"/>
      <c r="J10" s="291"/>
      <c r="K10" s="291"/>
      <c r="L10" s="291"/>
      <c r="M10" s="291"/>
      <c r="N10" s="291"/>
      <c r="O10" s="291"/>
      <c r="P10" s="291"/>
      <c r="Q10" s="291"/>
      <c r="R10" s="291"/>
      <c r="S10" s="291"/>
      <c r="T10" s="291"/>
      <c r="U10" s="291"/>
      <c r="V10" s="291"/>
      <c r="W10" s="291"/>
      <c r="X10" s="291"/>
      <c r="Y10" s="291"/>
      <c r="Z10" s="291"/>
      <c r="AA10" s="291"/>
      <c r="AB10" s="291"/>
      <c r="AC10" s="291"/>
      <c r="AD10" s="291"/>
      <c r="AE10" s="291"/>
      <c r="AF10" s="291"/>
      <c r="AG10" s="291"/>
      <c r="AH10" s="291"/>
      <c r="AI10" s="291"/>
      <c r="AJ10" s="291"/>
      <c r="AK10" s="291"/>
      <c r="AL10" s="291"/>
      <c r="AM10" s="291"/>
      <c r="AN10" s="291"/>
      <c r="AO10" s="291"/>
      <c r="AP10" s="291"/>
      <c r="AQ10" s="291"/>
      <c r="AR10" s="291"/>
      <c r="AS10" s="291"/>
      <c r="AT10" s="291"/>
      <c r="AU10" s="291"/>
      <c r="AV10" s="291"/>
      <c r="AW10" s="291"/>
      <c r="AX10" s="291"/>
      <c r="AY10" s="291"/>
      <c r="AZ10" s="291"/>
      <c r="BA10" s="291"/>
      <c r="BB10" s="296" t="s">
        <v>549</v>
      </c>
      <c r="BC10" s="291"/>
      <c r="BD10" t="s">
        <v>550</v>
      </c>
      <c r="BE10" s="292"/>
      <c r="BF10" s="291"/>
      <c r="BG10" s="291"/>
      <c r="BH10" s="291"/>
      <c r="BI10" s="291"/>
      <c r="BJ10" s="291"/>
      <c r="BK10" s="291"/>
      <c r="BL10" s="291"/>
      <c r="BM10" s="291"/>
      <c r="BN10" s="291"/>
      <c r="BO10" s="291"/>
      <c r="BP10" s="291"/>
      <c r="BQ10" s="291"/>
      <c r="BR10" s="291"/>
      <c r="BS10" s="291"/>
      <c r="BT10" s="291"/>
      <c r="BU10" s="291"/>
      <c r="BV10" s="291"/>
      <c r="BW10" s="291"/>
      <c r="BX10" s="291"/>
      <c r="BY10" s="291"/>
      <c r="BZ10" s="291"/>
      <c r="CA10" s="291"/>
      <c r="CB10" s="291"/>
      <c r="CC10" s="291"/>
      <c r="CD10" s="291"/>
      <c r="CE10" s="291"/>
      <c r="CF10" s="291"/>
      <c r="CG10" s="291"/>
      <c r="CH10" s="291"/>
      <c r="CI10" s="291"/>
      <c r="CJ10" s="291"/>
      <c r="CK10" s="291"/>
      <c r="CL10" s="291"/>
      <c r="CM10" s="291"/>
      <c r="CN10" s="291"/>
      <c r="CO10" s="291"/>
      <c r="CP10" s="291"/>
      <c r="CQ10" s="291"/>
      <c r="CR10" s="291"/>
      <c r="CS10" s="291"/>
      <c r="CT10" s="291"/>
      <c r="CU10" s="291"/>
      <c r="CV10" s="291"/>
      <c r="CW10" s="291"/>
      <c r="CX10" s="291"/>
      <c r="CY10" s="291"/>
      <c r="CZ10" s="291"/>
      <c r="DA10" s="291"/>
      <c r="DB10" s="291"/>
      <c r="DC10" s="291"/>
      <c r="DD10" s="291"/>
      <c r="DE10" s="291"/>
      <c r="DF10" s="291"/>
      <c r="DG10" s="291"/>
      <c r="DH10" s="291"/>
      <c r="DI10" s="291"/>
      <c r="DJ10" s="291"/>
      <c r="DK10" s="291"/>
      <c r="DL10" s="291"/>
      <c r="DM10" s="291"/>
      <c r="DN10" s="291"/>
      <c r="DO10" s="291"/>
      <c r="DP10" s="291"/>
      <c r="DQ10" s="291"/>
      <c r="DR10" s="291"/>
      <c r="DS10" s="291"/>
      <c r="DT10" s="291"/>
      <c r="DU10" s="291"/>
      <c r="DV10" s="291"/>
      <c r="DW10" s="291"/>
      <c r="DX10" s="291"/>
      <c r="DY10" s="291"/>
      <c r="DZ10" s="291"/>
      <c r="EA10" s="291"/>
      <c r="EB10" s="291"/>
      <c r="EC10" s="291"/>
      <c r="ED10" s="291"/>
      <c r="EE10" s="291"/>
      <c r="EF10" s="291"/>
      <c r="EG10" s="291"/>
      <c r="EH10" s="291"/>
      <c r="EI10" s="291"/>
      <c r="EJ10" s="291"/>
      <c r="EK10" s="291"/>
      <c r="EL10" s="291"/>
      <c r="EM10" s="291"/>
      <c r="EN10" s="291"/>
      <c r="EO10" s="291"/>
      <c r="EP10" s="291"/>
      <c r="EQ10" s="291"/>
      <c r="ER10" s="291"/>
      <c r="ES10" s="291"/>
      <c r="ET10" s="291"/>
      <c r="EU10" s="291"/>
      <c r="EV10" s="291"/>
      <c r="EW10" s="291"/>
      <c r="EX10" s="291"/>
      <c r="EY10" s="291"/>
      <c r="EZ10" s="291"/>
      <c r="FA10" s="291"/>
      <c r="FB10" s="291"/>
      <c r="FC10" s="291"/>
      <c r="FD10" s="291"/>
      <c r="FE10" s="291"/>
      <c r="FF10" s="291"/>
      <c r="FG10" s="291"/>
      <c r="FH10" s="291"/>
      <c r="FI10" s="291"/>
      <c r="FJ10" s="291"/>
      <c r="FK10" s="291"/>
      <c r="FL10" s="291"/>
      <c r="FM10" s="291"/>
      <c r="FN10" s="291"/>
      <c r="FO10" s="291"/>
      <c r="FP10" s="291"/>
      <c r="FQ10" s="291"/>
      <c r="FR10" s="291"/>
      <c r="FS10" s="291"/>
      <c r="FT10" s="291"/>
      <c r="FU10" s="291"/>
      <c r="FV10" s="291"/>
      <c r="FW10" s="291"/>
      <c r="FX10" s="291"/>
      <c r="FY10" s="291"/>
      <c r="FZ10" s="291"/>
      <c r="GA10" s="291"/>
      <c r="GB10" s="291"/>
      <c r="GC10" s="291"/>
      <c r="GD10" s="291"/>
      <c r="GE10" s="291"/>
      <c r="GF10" s="291"/>
      <c r="GG10" s="291"/>
      <c r="GH10" s="291"/>
      <c r="GI10" s="291"/>
      <c r="GJ10" s="291"/>
      <c r="GK10" s="291"/>
      <c r="GL10" s="291"/>
      <c r="GM10" s="291"/>
      <c r="GN10" s="291"/>
      <c r="GO10" s="291"/>
      <c r="GP10" s="291"/>
      <c r="GQ10" s="291"/>
      <c r="GR10" s="291"/>
      <c r="GS10" s="291"/>
      <c r="GT10" s="291"/>
      <c r="GU10" s="291"/>
      <c r="GV10" s="291"/>
      <c r="GW10" s="291"/>
      <c r="GX10" s="291"/>
      <c r="GY10" s="291"/>
      <c r="GZ10" s="291"/>
      <c r="HA10" s="291"/>
      <c r="HB10" s="291"/>
      <c r="HC10" s="291"/>
      <c r="HD10" s="291"/>
      <c r="HE10" s="291"/>
      <c r="HF10" s="291"/>
      <c r="HG10" s="291"/>
      <c r="HH10" s="291"/>
      <c r="HI10" s="291"/>
      <c r="HJ10" s="291"/>
      <c r="HK10" s="291"/>
      <c r="HL10" s="291"/>
      <c r="HM10" s="291"/>
      <c r="HN10" s="291"/>
      <c r="HO10" s="291"/>
      <c r="HP10" s="291"/>
      <c r="HQ10" s="291"/>
      <c r="HR10" s="291"/>
      <c r="HS10" s="291"/>
      <c r="HT10" s="291"/>
      <c r="HU10" s="291"/>
      <c r="HV10" s="291"/>
      <c r="HW10" s="291"/>
      <c r="HX10" s="291"/>
      <c r="HY10" s="291"/>
      <c r="HZ10" s="291"/>
      <c r="IA10" s="291"/>
      <c r="IB10" s="291"/>
      <c r="IC10" s="291"/>
      <c r="ID10" s="291"/>
      <c r="IE10" s="291"/>
      <c r="IF10" s="291"/>
      <c r="IG10" s="291"/>
      <c r="IH10" s="291"/>
      <c r="II10" s="291"/>
      <c r="IJ10" s="291"/>
      <c r="IK10" s="291"/>
      <c r="IL10" s="291"/>
      <c r="IM10" s="291"/>
      <c r="IN10" s="291"/>
      <c r="IO10" s="291"/>
      <c r="IP10" s="291"/>
      <c r="IQ10" s="291"/>
      <c r="IR10" s="291"/>
      <c r="IS10" s="291"/>
      <c r="IT10" s="291"/>
      <c r="IU10" s="291"/>
      <c r="IV10" s="291"/>
      <c r="IW10" s="291"/>
      <c r="IX10" s="291"/>
      <c r="IY10" s="291"/>
      <c r="IZ10" s="291"/>
      <c r="JA10" s="291"/>
      <c r="JB10" s="291"/>
      <c r="JC10" s="291"/>
      <c r="JD10" s="291"/>
      <c r="JE10" s="291"/>
      <c r="JF10" s="291"/>
      <c r="JG10" s="291"/>
      <c r="JH10" s="291"/>
      <c r="JI10" s="291"/>
      <c r="JJ10" s="291"/>
      <c r="JK10" s="291"/>
      <c r="JL10" s="291"/>
      <c r="JM10" s="291"/>
      <c r="JN10" s="291"/>
      <c r="JO10" s="291"/>
      <c r="JP10" s="291"/>
      <c r="JQ10" s="291"/>
      <c r="JR10" s="291"/>
      <c r="JS10" s="291"/>
      <c r="JT10" s="291"/>
      <c r="JU10" s="291"/>
    </row>
    <row r="11" spans="1:281" ht="15.4">
      <c r="A11" s="291" t="s">
        <v>551</v>
      </c>
      <c r="B11" s="300"/>
      <c r="C11" s="299" t="s">
        <v>552</v>
      </c>
      <c r="D11" s="291"/>
      <c r="E11" s="291"/>
      <c r="F11" s="291"/>
      <c r="G11" s="291"/>
      <c r="H11" s="291"/>
      <c r="I11" s="291"/>
      <c r="J11" s="291"/>
      <c r="K11" s="291"/>
      <c r="L11" s="291"/>
      <c r="M11" s="291"/>
      <c r="N11" s="291"/>
      <c r="O11" s="291"/>
      <c r="P11" s="291"/>
      <c r="Q11" s="291"/>
      <c r="R11" s="291"/>
      <c r="S11" s="291"/>
      <c r="T11" s="291"/>
      <c r="U11" s="291"/>
      <c r="V11" s="291"/>
      <c r="W11" s="291"/>
      <c r="X11" s="291"/>
      <c r="Y11" s="291"/>
      <c r="Z11" s="291"/>
      <c r="AA11" s="291"/>
      <c r="AB11" s="291"/>
      <c r="AC11" s="291"/>
      <c r="AD11" s="291"/>
      <c r="AE11" s="291"/>
      <c r="AF11" s="291"/>
      <c r="AG11" s="291"/>
      <c r="AH11" s="291"/>
      <c r="AI11" s="291"/>
      <c r="AJ11" s="291"/>
      <c r="AK11" s="291"/>
      <c r="AL11" s="291"/>
      <c r="AM11" s="291"/>
      <c r="AN11" s="291"/>
      <c r="AO11" s="291"/>
      <c r="AP11" s="291"/>
      <c r="AQ11" s="291"/>
      <c r="AR11" s="291"/>
      <c r="AS11" s="291"/>
      <c r="AT11" s="291"/>
      <c r="AU11" s="291"/>
      <c r="AV11" s="291"/>
      <c r="AW11" s="291"/>
      <c r="AX11" s="291"/>
      <c r="AY11" s="291"/>
      <c r="AZ11" s="291"/>
      <c r="BA11" s="291"/>
      <c r="BB11" s="296" t="s">
        <v>553</v>
      </c>
      <c r="BC11" s="291"/>
      <c r="BD11" t="s">
        <v>554</v>
      </c>
      <c r="BE11" s="291"/>
      <c r="BF11" s="291"/>
      <c r="BG11" s="291"/>
      <c r="BH11" s="291"/>
      <c r="BI11" s="291"/>
      <c r="BJ11" s="291"/>
      <c r="BK11" s="291"/>
      <c r="BL11" s="291"/>
      <c r="BM11" s="291"/>
      <c r="BN11" s="291"/>
      <c r="BO11" s="291"/>
      <c r="BP11" s="291"/>
      <c r="BQ11" s="291"/>
      <c r="BR11" s="291"/>
      <c r="BS11" s="291"/>
      <c r="BT11" s="291"/>
      <c r="BU11" s="291"/>
      <c r="BV11" s="291"/>
      <c r="BW11" s="291"/>
      <c r="BX11" s="291"/>
      <c r="BY11" s="291"/>
      <c r="BZ11" s="291"/>
      <c r="CA11" s="291"/>
      <c r="CB11" s="291"/>
      <c r="CC11" s="291"/>
      <c r="CD11" s="291"/>
      <c r="CE11" s="291"/>
      <c r="CF11" s="291"/>
      <c r="CG11" s="291"/>
      <c r="CH11" s="291"/>
      <c r="CI11" s="291"/>
      <c r="CJ11" s="291"/>
      <c r="CK11" s="291"/>
      <c r="CL11" s="291"/>
      <c r="CM11" s="291"/>
      <c r="CN11" s="291"/>
      <c r="CO11" s="291"/>
      <c r="CP11" s="291"/>
      <c r="CQ11" s="291"/>
      <c r="CR11" s="291"/>
      <c r="CS11" s="291"/>
      <c r="CT11" s="291"/>
      <c r="CU11" s="291"/>
      <c r="CV11" s="291"/>
      <c r="CW11" s="291"/>
      <c r="CX11" s="291"/>
      <c r="CY11" s="291"/>
      <c r="CZ11" s="291"/>
      <c r="DA11" s="291"/>
      <c r="DB11" s="291"/>
      <c r="DC11" s="291"/>
      <c r="DD11" s="291"/>
      <c r="DE11" s="291"/>
      <c r="DF11" s="291"/>
      <c r="DG11" s="291"/>
      <c r="DH11" s="291"/>
      <c r="DI11" s="291"/>
      <c r="DJ11" s="291"/>
      <c r="DK11" s="291"/>
      <c r="DL11" s="291"/>
      <c r="DM11" s="291"/>
      <c r="DN11" s="291"/>
      <c r="DO11" s="291"/>
      <c r="DP11" s="291"/>
      <c r="DQ11" s="291"/>
      <c r="DR11" s="291"/>
      <c r="DS11" s="291"/>
      <c r="DT11" s="291"/>
      <c r="DU11" s="291"/>
      <c r="DV11" s="291"/>
      <c r="DW11" s="291"/>
      <c r="DX11" s="291"/>
      <c r="DY11" s="291"/>
      <c r="DZ11" s="291"/>
      <c r="EA11" s="291"/>
      <c r="EB11" s="291"/>
      <c r="EC11" s="291"/>
      <c r="ED11" s="291"/>
      <c r="EE11" s="291"/>
      <c r="EF11" s="291"/>
      <c r="EG11" s="291"/>
      <c r="EH11" s="291"/>
      <c r="EI11" s="291"/>
      <c r="EJ11" s="291"/>
      <c r="EK11" s="291"/>
      <c r="EL11" s="291"/>
      <c r="EM11" s="291"/>
      <c r="EN11" s="291"/>
      <c r="EO11" s="291"/>
      <c r="EP11" s="291"/>
      <c r="EQ11" s="291"/>
      <c r="ER11" s="291"/>
      <c r="ES11" s="291"/>
      <c r="ET11" s="291"/>
      <c r="EU11" s="291"/>
      <c r="EV11" s="291"/>
      <c r="EW11" s="291"/>
      <c r="EX11" s="291"/>
      <c r="EY11" s="291"/>
      <c r="EZ11" s="291"/>
      <c r="FA11" s="291"/>
      <c r="FB11" s="291"/>
      <c r="FC11" s="291"/>
      <c r="FD11" s="291"/>
      <c r="FE11" s="291"/>
      <c r="FF11" s="291"/>
      <c r="FG11" s="291"/>
      <c r="FH11" s="291"/>
      <c r="FI11" s="291"/>
      <c r="FJ11" s="291"/>
      <c r="FK11" s="291"/>
      <c r="FL11" s="291"/>
      <c r="FM11" s="291"/>
      <c r="FN11" s="291"/>
      <c r="FO11" s="291"/>
      <c r="FP11" s="291"/>
      <c r="FQ11" s="291"/>
      <c r="FR11" s="291"/>
      <c r="FS11" s="291"/>
      <c r="FT11" s="291"/>
      <c r="FU11" s="291"/>
      <c r="FV11" s="291"/>
      <c r="FW11" s="291"/>
      <c r="FX11" s="291"/>
      <c r="FY11" s="291"/>
      <c r="FZ11" s="291"/>
      <c r="GA11" s="291"/>
      <c r="GB11" s="291"/>
      <c r="GC11" s="291"/>
      <c r="GD11" s="291"/>
      <c r="GE11" s="291"/>
      <c r="GF11" s="291"/>
      <c r="GG11" s="291"/>
      <c r="GH11" s="291"/>
      <c r="GI11" s="291"/>
      <c r="GJ11" s="291"/>
      <c r="GK11" s="291"/>
      <c r="GL11" s="291"/>
      <c r="GM11" s="291"/>
      <c r="GN11" s="291"/>
      <c r="GO11" s="291"/>
      <c r="GP11" s="291"/>
      <c r="GQ11" s="291"/>
      <c r="GR11" s="291"/>
      <c r="GS11" s="291"/>
      <c r="GT11" s="291"/>
      <c r="GU11" s="291"/>
      <c r="GV11" s="291"/>
      <c r="GW11" s="291"/>
      <c r="GX11" s="291"/>
      <c r="GY11" s="291"/>
      <c r="GZ11" s="291"/>
      <c r="HA11" s="291"/>
      <c r="HB11" s="291"/>
      <c r="HC11" s="291"/>
      <c r="HD11" s="291"/>
      <c r="HE11" s="291"/>
      <c r="HF11" s="291"/>
      <c r="HG11" s="291"/>
      <c r="HH11" s="291"/>
      <c r="HI11" s="291"/>
      <c r="HJ11" s="291"/>
      <c r="HK11" s="291"/>
      <c r="HL11" s="291"/>
      <c r="HM11" s="291"/>
      <c r="HN11" s="291"/>
      <c r="HO11" s="291"/>
      <c r="HP11" s="291"/>
      <c r="HQ11" s="291"/>
      <c r="HR11" s="291"/>
      <c r="HS11" s="291"/>
      <c r="HT11" s="291"/>
      <c r="HU11" s="291"/>
      <c r="HV11" s="291"/>
      <c r="HW11" s="291"/>
      <c r="HX11" s="291"/>
      <c r="HY11" s="291"/>
      <c r="HZ11" s="291"/>
      <c r="IA11" s="291"/>
      <c r="IB11" s="291"/>
      <c r="IC11" s="291"/>
      <c r="ID11" s="291"/>
      <c r="IE11" s="291"/>
      <c r="IF11" s="291"/>
      <c r="IG11" s="291"/>
      <c r="IH11" s="291"/>
      <c r="II11" s="291"/>
      <c r="IJ11" s="291"/>
      <c r="IK11" s="291"/>
      <c r="IL11" s="291"/>
      <c r="IM11" s="291"/>
      <c r="IN11" s="291"/>
      <c r="IO11" s="291"/>
      <c r="IP11" s="291"/>
      <c r="IQ11" s="291"/>
      <c r="IR11" s="291"/>
      <c r="IS11" s="291"/>
      <c r="IT11" s="291"/>
      <c r="IU11" s="291"/>
      <c r="IV11" s="291"/>
      <c r="IW11" s="291"/>
      <c r="IX11" s="291"/>
      <c r="IY11" s="291"/>
      <c r="IZ11" s="291"/>
      <c r="JA11" s="291"/>
      <c r="JB11" s="291"/>
      <c r="JC11" s="291"/>
      <c r="JD11" s="291"/>
      <c r="JE11" s="291"/>
      <c r="JF11" s="291"/>
      <c r="JG11" s="291"/>
      <c r="JH11" s="291"/>
      <c r="JI11" s="291"/>
      <c r="JJ11" s="291"/>
      <c r="JK11" s="291"/>
      <c r="JL11" s="291"/>
      <c r="JM11" s="291"/>
      <c r="JN11" s="291"/>
      <c r="JO11" s="291"/>
      <c r="JP11" s="291"/>
      <c r="JQ11" s="291"/>
      <c r="JR11" s="291"/>
      <c r="JS11" s="291"/>
      <c r="JT11" s="291"/>
      <c r="JU11" s="291"/>
    </row>
    <row r="12" spans="1:281" ht="15.4">
      <c r="A12" s="291"/>
      <c r="B12" s="300"/>
      <c r="C12" s="302"/>
      <c r="D12" s="291"/>
      <c r="E12" s="291"/>
      <c r="F12" s="291"/>
      <c r="G12" s="291"/>
      <c r="H12" s="291"/>
      <c r="I12" s="291"/>
      <c r="J12" s="291"/>
      <c r="K12" s="291"/>
      <c r="L12" s="291"/>
      <c r="M12" s="291"/>
      <c r="N12" s="291"/>
      <c r="O12" s="291"/>
      <c r="P12" s="291"/>
      <c r="Q12" s="291"/>
      <c r="R12" s="291"/>
      <c r="S12" s="291"/>
      <c r="T12" s="291"/>
      <c r="U12" s="291"/>
      <c r="V12" s="291"/>
      <c r="W12" s="291"/>
      <c r="X12" s="291"/>
      <c r="Y12" s="291"/>
      <c r="Z12" s="291"/>
      <c r="AA12" s="291"/>
      <c r="AB12" s="291"/>
      <c r="AC12" s="303"/>
      <c r="AD12" s="303"/>
      <c r="AE12" s="303"/>
      <c r="AF12" s="303"/>
      <c r="AG12" s="303"/>
      <c r="AH12" s="303"/>
      <c r="AI12" s="303"/>
      <c r="AJ12" s="303"/>
      <c r="AK12" s="303"/>
      <c r="AL12" s="303"/>
      <c r="AM12" s="303"/>
      <c r="AN12" s="303"/>
      <c r="AO12" s="303"/>
      <c r="AP12" s="303"/>
      <c r="AQ12" s="303"/>
      <c r="AR12" s="303"/>
      <c r="AS12" s="303"/>
      <c r="AT12" s="303"/>
      <c r="AU12" s="303"/>
      <c r="AV12" s="303"/>
      <c r="AW12" s="303"/>
      <c r="AX12" s="303"/>
      <c r="AY12" s="303"/>
      <c r="AZ12" s="303"/>
      <c r="BA12" s="303"/>
      <c r="BB12" s="293" t="s">
        <v>555</v>
      </c>
      <c r="BC12" s="303"/>
      <c r="BD12" t="s">
        <v>556</v>
      </c>
      <c r="BE12" s="303"/>
      <c r="BF12" s="303"/>
      <c r="BG12" s="303"/>
      <c r="BH12" s="303"/>
      <c r="BI12" s="303"/>
      <c r="BJ12" s="303"/>
      <c r="BK12" s="303"/>
      <c r="BL12" s="303"/>
      <c r="BM12" s="303"/>
      <c r="BN12" s="303"/>
      <c r="BO12" s="303"/>
      <c r="BP12" s="303"/>
      <c r="BQ12" s="303"/>
      <c r="BR12" s="303"/>
      <c r="BS12" s="303"/>
      <c r="BT12" s="303"/>
      <c r="BU12" s="303"/>
      <c r="BV12" s="303"/>
      <c r="BW12" s="303"/>
      <c r="BX12" s="303"/>
      <c r="BY12" s="303"/>
      <c r="BZ12" s="303"/>
      <c r="CA12" s="303"/>
      <c r="CB12" s="303"/>
      <c r="CC12" s="303"/>
      <c r="CD12" s="303"/>
      <c r="CE12" s="303"/>
      <c r="CF12" s="303"/>
      <c r="CG12" s="303"/>
      <c r="CH12" s="303"/>
      <c r="CI12" s="303"/>
      <c r="CJ12" s="303"/>
      <c r="CK12" s="303"/>
      <c r="CL12" s="303"/>
      <c r="CM12" s="303"/>
      <c r="CN12" s="303"/>
      <c r="CO12" s="303"/>
      <c r="CP12" s="303"/>
      <c r="CQ12" s="303"/>
      <c r="CR12" s="303"/>
      <c r="CS12" s="303"/>
      <c r="CT12" s="303"/>
      <c r="CU12" s="303"/>
      <c r="CV12" s="303"/>
      <c r="CW12" s="303"/>
      <c r="CX12" s="303"/>
      <c r="CY12" s="303"/>
      <c r="CZ12" s="303"/>
      <c r="DA12" s="303"/>
      <c r="DB12" s="303"/>
      <c r="DC12" s="303"/>
      <c r="DD12" s="303"/>
      <c r="DE12" s="303"/>
      <c r="DF12" s="303"/>
      <c r="DG12" s="303"/>
      <c r="DH12" s="303"/>
      <c r="DI12" s="303"/>
      <c r="DJ12" s="303"/>
      <c r="DK12" s="303"/>
      <c r="DL12" s="303"/>
      <c r="DM12" s="303"/>
      <c r="DN12" s="303"/>
      <c r="DO12" s="303"/>
      <c r="DP12" s="303"/>
      <c r="DQ12" s="303"/>
      <c r="DR12" s="303"/>
      <c r="DS12" s="303"/>
      <c r="DT12" s="303"/>
      <c r="DU12" s="303"/>
      <c r="DV12" s="303"/>
      <c r="DW12" s="303"/>
      <c r="DX12" s="303"/>
      <c r="DY12" s="303"/>
      <c r="DZ12" s="303"/>
      <c r="EA12" s="303"/>
      <c r="EB12" s="303"/>
      <c r="EC12" s="303"/>
      <c r="ED12" s="303"/>
      <c r="EE12" s="303"/>
      <c r="EF12" s="303"/>
      <c r="EG12" s="303"/>
      <c r="EH12" s="303"/>
      <c r="EI12" s="303"/>
      <c r="EJ12" s="303"/>
      <c r="EK12" s="303"/>
      <c r="EL12" s="303"/>
      <c r="EM12" s="303"/>
      <c r="EN12" s="303"/>
      <c r="EO12" s="303"/>
      <c r="EP12" s="303"/>
      <c r="EQ12" s="303"/>
      <c r="ER12" s="303"/>
      <c r="ES12" s="303"/>
      <c r="ET12" s="303"/>
      <c r="EU12" s="303"/>
      <c r="EV12" s="303"/>
      <c r="EW12" s="303"/>
      <c r="EX12" s="303"/>
      <c r="EY12" s="303"/>
      <c r="EZ12" s="303"/>
      <c r="FA12" s="303"/>
      <c r="FB12" s="303"/>
      <c r="FC12" s="303"/>
      <c r="FD12" s="303"/>
      <c r="FE12" s="303"/>
      <c r="FF12" s="303"/>
      <c r="FG12" s="303"/>
      <c r="FH12" s="303"/>
      <c r="FI12" s="303"/>
      <c r="FJ12" s="303"/>
      <c r="FK12" s="303"/>
      <c r="FL12" s="303"/>
      <c r="FM12" s="303"/>
      <c r="FN12" s="303"/>
      <c r="FO12" s="303"/>
      <c r="FP12" s="303"/>
      <c r="FQ12" s="303"/>
      <c r="FR12" s="303"/>
      <c r="FS12" s="303"/>
      <c r="FT12" s="303"/>
      <c r="FU12" s="303"/>
      <c r="FV12" s="303"/>
      <c r="FW12" s="303"/>
      <c r="FX12" s="303"/>
      <c r="FY12" s="303"/>
      <c r="FZ12" s="303"/>
      <c r="GA12" s="303"/>
      <c r="GB12" s="303"/>
      <c r="GC12" s="303"/>
      <c r="GD12" s="303"/>
      <c r="GE12" s="303"/>
      <c r="GF12" s="303"/>
      <c r="GG12" s="303"/>
      <c r="GH12" s="303"/>
      <c r="GI12" s="303"/>
      <c r="GJ12" s="303"/>
      <c r="GK12" s="303"/>
      <c r="GL12" s="303"/>
      <c r="GM12" s="303"/>
      <c r="GN12" s="303"/>
      <c r="GO12" s="303"/>
      <c r="GP12" s="303"/>
      <c r="GQ12" s="303"/>
      <c r="GR12" s="303"/>
      <c r="GS12" s="303"/>
      <c r="GT12" s="303"/>
      <c r="GU12" s="303"/>
      <c r="GV12" s="303"/>
      <c r="GW12" s="303"/>
      <c r="GX12" s="303"/>
      <c r="GY12" s="303"/>
      <c r="GZ12" s="303"/>
      <c r="HA12" s="303"/>
      <c r="HB12" s="303"/>
      <c r="HC12" s="303"/>
      <c r="HD12" s="303"/>
      <c r="HE12" s="303"/>
      <c r="HF12" s="303"/>
      <c r="HG12" s="303"/>
      <c r="HH12" s="303"/>
      <c r="HI12" s="303"/>
      <c r="HJ12" s="303"/>
      <c r="HK12" s="303"/>
      <c r="HL12" s="303"/>
      <c r="HM12" s="303"/>
      <c r="HN12" s="303"/>
      <c r="HO12" s="303"/>
      <c r="HP12" s="303"/>
      <c r="HQ12" s="303"/>
      <c r="HR12" s="303"/>
      <c r="HS12" s="303"/>
      <c r="HT12" s="303"/>
      <c r="HU12" s="303"/>
      <c r="HV12" s="303"/>
      <c r="HW12" s="303"/>
      <c r="HX12" s="303"/>
      <c r="HY12" s="303"/>
      <c r="HZ12" s="303"/>
      <c r="IA12" s="303"/>
      <c r="IB12" s="303"/>
      <c r="IC12" s="303"/>
      <c r="ID12" s="303"/>
      <c r="IE12" s="303"/>
      <c r="IF12" s="303"/>
      <c r="IG12" s="303"/>
      <c r="IH12" s="303"/>
      <c r="II12" s="303"/>
      <c r="IJ12" s="303"/>
      <c r="IK12" s="303"/>
      <c r="IL12" s="303"/>
      <c r="IM12" s="303"/>
      <c r="IN12" s="303"/>
      <c r="IO12" s="303"/>
      <c r="IP12" s="303"/>
      <c r="IQ12" s="303"/>
      <c r="IR12" s="303"/>
      <c r="IS12" s="303"/>
      <c r="IT12" s="303"/>
      <c r="IU12" s="303"/>
      <c r="IV12" s="303"/>
      <c r="IW12" s="303"/>
      <c r="IX12" s="303"/>
      <c r="IY12" s="303"/>
      <c r="IZ12" s="303"/>
      <c r="JA12" s="303"/>
      <c r="JB12" s="303"/>
      <c r="JC12" s="303"/>
      <c r="JD12" s="303"/>
      <c r="JE12" s="303"/>
      <c r="JF12" s="303"/>
      <c r="JG12" s="303"/>
      <c r="JH12" s="303"/>
      <c r="JI12" s="303"/>
      <c r="JJ12" s="303"/>
      <c r="JK12" s="303"/>
      <c r="JL12" s="303"/>
      <c r="JM12" s="303"/>
      <c r="JN12" s="303"/>
      <c r="JO12" s="303"/>
      <c r="JP12" s="303"/>
      <c r="JQ12" s="303"/>
      <c r="JR12" s="303"/>
      <c r="JS12" s="303"/>
      <c r="JT12" s="303"/>
      <c r="JU12" s="303"/>
    </row>
    <row r="13" spans="1:281" ht="15.4">
      <c r="A13" s="291" t="s">
        <v>557</v>
      </c>
      <c r="B13" s="300" t="s">
        <v>558</v>
      </c>
      <c r="C13" s="304">
        <v>400</v>
      </c>
      <c r="D13" s="301" t="e">
        <f ca="1">_xll.BLUEMATRIX2("/servlet/excelData",C13, $C$14,$B13)</f>
        <v>#NAME?</v>
      </c>
      <c r="E13" s="291"/>
      <c r="F13" s="291"/>
      <c r="G13" s="291"/>
      <c r="H13" s="291"/>
      <c r="I13" s="291"/>
      <c r="J13" s="291"/>
      <c r="K13" s="291"/>
      <c r="L13" s="291"/>
      <c r="M13" s="291"/>
      <c r="N13" s="291"/>
      <c r="O13" s="291"/>
      <c r="P13" s="291"/>
      <c r="Q13" s="291"/>
      <c r="R13" s="291"/>
      <c r="S13" s="291"/>
      <c r="T13" s="291"/>
      <c r="U13" s="291"/>
      <c r="V13" s="291"/>
      <c r="W13" s="291"/>
      <c r="X13" s="291"/>
      <c r="Y13" s="291"/>
      <c r="Z13" s="291"/>
      <c r="AA13" s="291"/>
      <c r="AB13" s="291"/>
      <c r="AC13" s="303"/>
      <c r="AD13" s="303"/>
      <c r="AE13" s="303"/>
      <c r="AF13" s="303"/>
      <c r="AG13" s="303"/>
      <c r="AH13" s="303"/>
      <c r="AI13" s="303"/>
      <c r="AJ13" s="303"/>
      <c r="AK13" s="303"/>
      <c r="AL13" s="303"/>
      <c r="AM13" s="303"/>
      <c r="AN13" s="303"/>
      <c r="AO13" s="303"/>
      <c r="AP13" s="303"/>
      <c r="AQ13" s="303"/>
      <c r="AR13" s="303"/>
      <c r="AS13" s="303"/>
      <c r="AT13" s="303"/>
      <c r="AU13" s="303"/>
      <c r="AV13" s="303"/>
      <c r="AW13" s="303"/>
      <c r="AX13" s="303"/>
      <c r="AY13" s="303"/>
      <c r="AZ13" s="303"/>
      <c r="BA13" s="303"/>
      <c r="BB13" s="303"/>
      <c r="BC13" s="303"/>
      <c r="BD13" t="s">
        <v>559</v>
      </c>
      <c r="BE13" s="303"/>
      <c r="BF13" s="303"/>
      <c r="BG13" s="303"/>
      <c r="BH13" s="303"/>
      <c r="BI13" s="303"/>
      <c r="BJ13" s="303"/>
      <c r="BK13" s="303"/>
      <c r="BL13" s="303"/>
      <c r="BM13" s="303"/>
      <c r="BN13" s="303"/>
      <c r="BO13" s="303"/>
      <c r="BP13" s="303"/>
      <c r="BQ13" s="303"/>
      <c r="BR13" s="303"/>
      <c r="BS13" s="303"/>
      <c r="BT13" s="303"/>
      <c r="BU13" s="303"/>
      <c r="BV13" s="303"/>
      <c r="BW13" s="303"/>
      <c r="BX13" s="303"/>
      <c r="BY13" s="303"/>
      <c r="BZ13" s="303"/>
      <c r="CA13" s="303"/>
      <c r="CB13" s="303"/>
      <c r="CC13" s="303"/>
      <c r="CD13" s="303"/>
      <c r="CE13" s="303"/>
      <c r="CF13" s="303"/>
      <c r="CG13" s="303"/>
      <c r="CH13" s="303"/>
      <c r="CI13" s="303"/>
      <c r="CJ13" s="303"/>
      <c r="CK13" s="303"/>
      <c r="CL13" s="303"/>
      <c r="CM13" s="303"/>
      <c r="CN13" s="303"/>
      <c r="CO13" s="303"/>
      <c r="CP13" s="303"/>
      <c r="CQ13" s="303"/>
      <c r="CR13" s="303"/>
      <c r="CS13" s="303"/>
      <c r="CT13" s="303"/>
      <c r="CU13" s="303"/>
      <c r="CV13" s="303"/>
      <c r="CW13" s="303"/>
      <c r="CX13" s="303"/>
      <c r="CY13" s="303"/>
      <c r="CZ13" s="303"/>
      <c r="DA13" s="303"/>
      <c r="DB13" s="303"/>
      <c r="DC13" s="303"/>
      <c r="DD13" s="303"/>
      <c r="DE13" s="303"/>
      <c r="DF13" s="303"/>
      <c r="DG13" s="303"/>
      <c r="DH13" s="303"/>
      <c r="DI13" s="303"/>
      <c r="DJ13" s="303"/>
      <c r="DK13" s="303"/>
      <c r="DL13" s="303"/>
      <c r="DM13" s="303"/>
      <c r="DN13" s="303"/>
      <c r="DO13" s="303"/>
      <c r="DP13" s="303"/>
      <c r="DQ13" s="303"/>
      <c r="DR13" s="303"/>
      <c r="DS13" s="303"/>
      <c r="DT13" s="303"/>
      <c r="DU13" s="303"/>
      <c r="DV13" s="303"/>
      <c r="DW13" s="303"/>
      <c r="DX13" s="303"/>
      <c r="DY13" s="303"/>
      <c r="DZ13" s="303"/>
      <c r="EA13" s="303"/>
      <c r="EB13" s="303"/>
      <c r="EC13" s="303"/>
      <c r="ED13" s="303"/>
      <c r="EE13" s="303"/>
      <c r="EF13" s="303"/>
      <c r="EG13" s="303"/>
      <c r="EH13" s="303"/>
      <c r="EI13" s="303"/>
      <c r="EJ13" s="303"/>
      <c r="EK13" s="303"/>
      <c r="EL13" s="303"/>
      <c r="EM13" s="303"/>
      <c r="EN13" s="303"/>
      <c r="EO13" s="303"/>
      <c r="EP13" s="303"/>
      <c r="EQ13" s="303"/>
      <c r="ER13" s="303"/>
      <c r="ES13" s="303"/>
      <c r="ET13" s="303"/>
      <c r="EU13" s="303"/>
      <c r="EV13" s="303"/>
      <c r="EW13" s="303"/>
      <c r="EX13" s="303"/>
      <c r="EY13" s="303"/>
      <c r="EZ13" s="303"/>
      <c r="FA13" s="303"/>
      <c r="FB13" s="303"/>
      <c r="FC13" s="303"/>
      <c r="FD13" s="303"/>
      <c r="FE13" s="303"/>
      <c r="FF13" s="303"/>
      <c r="FG13" s="303"/>
      <c r="FH13" s="303"/>
      <c r="FI13" s="303"/>
      <c r="FJ13" s="303"/>
      <c r="FK13" s="303"/>
      <c r="FL13" s="303"/>
      <c r="FM13" s="303"/>
      <c r="FN13" s="303"/>
      <c r="FO13" s="303"/>
      <c r="FP13" s="303"/>
      <c r="FQ13" s="303"/>
      <c r="FR13" s="303"/>
      <c r="FS13" s="303"/>
      <c r="FT13" s="303"/>
      <c r="FU13" s="303"/>
      <c r="FV13" s="303"/>
      <c r="FW13" s="303"/>
      <c r="FX13" s="303"/>
      <c r="FY13" s="303"/>
      <c r="FZ13" s="303"/>
      <c r="GA13" s="303"/>
      <c r="GB13" s="303"/>
      <c r="GC13" s="303"/>
      <c r="GD13" s="303"/>
      <c r="GE13" s="303"/>
      <c r="GF13" s="303"/>
      <c r="GG13" s="303"/>
      <c r="GH13" s="303"/>
      <c r="GI13" s="303"/>
      <c r="GJ13" s="303"/>
      <c r="GK13" s="303"/>
      <c r="GL13" s="303"/>
      <c r="GM13" s="303"/>
      <c r="GN13" s="303"/>
      <c r="GO13" s="303"/>
      <c r="GP13" s="303"/>
      <c r="GQ13" s="303"/>
      <c r="GR13" s="303"/>
      <c r="GS13" s="303"/>
      <c r="GT13" s="303"/>
      <c r="GU13" s="303"/>
      <c r="GV13" s="303"/>
      <c r="GW13" s="303"/>
      <c r="GX13" s="303"/>
      <c r="GY13" s="303"/>
      <c r="GZ13" s="303"/>
      <c r="HA13" s="303"/>
      <c r="HB13" s="303"/>
      <c r="HC13" s="303"/>
      <c r="HD13" s="303"/>
      <c r="HE13" s="303"/>
      <c r="HF13" s="303"/>
      <c r="HG13" s="303"/>
      <c r="HH13" s="303"/>
      <c r="HI13" s="303"/>
      <c r="HJ13" s="303"/>
      <c r="HK13" s="303"/>
      <c r="HL13" s="303"/>
      <c r="HM13" s="303"/>
      <c r="HN13" s="303"/>
      <c r="HO13" s="303"/>
      <c r="HP13" s="303"/>
      <c r="HQ13" s="303"/>
      <c r="HR13" s="303"/>
      <c r="HS13" s="303"/>
      <c r="HT13" s="303"/>
      <c r="HU13" s="303"/>
      <c r="HV13" s="303"/>
      <c r="HW13" s="303"/>
      <c r="HX13" s="303"/>
      <c r="HY13" s="303"/>
      <c r="HZ13" s="303"/>
      <c r="IA13" s="303"/>
      <c r="IB13" s="303"/>
      <c r="IC13" s="303"/>
      <c r="ID13" s="303"/>
      <c r="IE13" s="303"/>
      <c r="IF13" s="303"/>
      <c r="IG13" s="303"/>
      <c r="IH13" s="303"/>
      <c r="II13" s="303"/>
      <c r="IJ13" s="303"/>
      <c r="IK13" s="303"/>
      <c r="IL13" s="303"/>
      <c r="IM13" s="303"/>
      <c r="IN13" s="303"/>
      <c r="IO13" s="303"/>
      <c r="IP13" s="303"/>
      <c r="IQ13" s="303"/>
      <c r="IR13" s="303"/>
      <c r="IS13" s="303"/>
      <c r="IT13" s="303"/>
      <c r="IU13" s="303"/>
      <c r="IV13" s="303"/>
      <c r="IW13" s="303"/>
      <c r="IX13" s="303"/>
      <c r="IY13" s="303"/>
      <c r="IZ13" s="303"/>
      <c r="JA13" s="303"/>
      <c r="JB13" s="303"/>
      <c r="JC13" s="303"/>
      <c r="JD13" s="303"/>
      <c r="JE13" s="303"/>
      <c r="JF13" s="303"/>
      <c r="JG13" s="303"/>
      <c r="JH13" s="303"/>
      <c r="JI13" s="303"/>
      <c r="JJ13" s="303"/>
      <c r="JK13" s="303"/>
      <c r="JL13" s="303"/>
      <c r="JM13" s="303"/>
      <c r="JN13" s="303"/>
      <c r="JO13" s="303"/>
      <c r="JP13" s="303"/>
      <c r="JQ13" s="303"/>
      <c r="JR13" s="303"/>
      <c r="JS13" s="303"/>
      <c r="JT13" s="303"/>
      <c r="JU13" s="303"/>
    </row>
    <row r="14" spans="1:281" ht="15.4">
      <c r="A14" s="291" t="s">
        <v>560</v>
      </c>
      <c r="B14" s="305"/>
      <c r="C14" s="306" t="s">
        <v>561</v>
      </c>
      <c r="D14" s="291"/>
      <c r="E14" s="291"/>
      <c r="F14" s="291"/>
      <c r="G14" s="291"/>
      <c r="H14" s="291"/>
      <c r="I14" s="291"/>
      <c r="J14" s="291"/>
      <c r="K14" s="291"/>
      <c r="L14" s="291"/>
      <c r="M14" s="291"/>
      <c r="N14" s="291"/>
      <c r="O14" s="291"/>
      <c r="P14" s="291"/>
      <c r="Q14" s="291"/>
      <c r="R14" s="291"/>
      <c r="S14" s="291"/>
      <c r="T14" s="291"/>
      <c r="U14" s="291"/>
      <c r="V14" s="291"/>
      <c r="W14" s="291"/>
      <c r="X14" s="291"/>
      <c r="Y14" s="291"/>
      <c r="Z14" s="291"/>
      <c r="AA14" s="291"/>
      <c r="AB14" s="291"/>
      <c r="AC14" s="307"/>
      <c r="AD14" s="307"/>
      <c r="AE14" s="308"/>
      <c r="AF14" s="308"/>
      <c r="AG14" s="307" t="s">
        <v>562</v>
      </c>
      <c r="AH14" s="307"/>
      <c r="AI14" s="307"/>
      <c r="AJ14" s="307"/>
      <c r="AK14" s="307"/>
      <c r="AL14" s="307"/>
      <c r="AM14" s="307"/>
      <c r="AN14" s="307"/>
      <c r="AO14" s="307"/>
      <c r="AP14" s="307"/>
      <c r="AQ14" s="307"/>
      <c r="AR14" s="307"/>
      <c r="AS14" s="307"/>
      <c r="AT14" s="307"/>
      <c r="AU14" s="307"/>
      <c r="AV14" s="307"/>
      <c r="AW14" s="307"/>
      <c r="AX14" s="307"/>
      <c r="AY14" s="307"/>
      <c r="AZ14" s="307"/>
      <c r="BA14" s="307"/>
      <c r="BB14" s="307" t="s">
        <v>563</v>
      </c>
      <c r="BC14" s="307" t="s">
        <v>562</v>
      </c>
      <c r="BD14" t="s">
        <v>564</v>
      </c>
      <c r="BE14" s="308"/>
      <c r="BF14" s="308"/>
      <c r="BG14" s="308"/>
      <c r="BH14" s="308"/>
      <c r="BI14" s="308"/>
      <c r="BJ14" s="308"/>
      <c r="BK14" s="308"/>
      <c r="BL14" s="308"/>
      <c r="BM14" s="308"/>
      <c r="BN14" s="308"/>
      <c r="BO14" s="308"/>
      <c r="BP14" s="308"/>
      <c r="BQ14" s="308"/>
      <c r="BR14" s="308"/>
      <c r="BS14" s="308"/>
      <c r="BT14" s="308"/>
      <c r="BU14" s="308"/>
      <c r="BV14" s="308"/>
      <c r="BW14" s="308"/>
      <c r="BX14" s="308"/>
      <c r="BY14" s="308"/>
      <c r="BZ14" s="308"/>
      <c r="CA14" s="308"/>
      <c r="CB14" s="308"/>
      <c r="CC14" s="308"/>
      <c r="CD14" s="308"/>
      <c r="CE14" s="308"/>
      <c r="CF14" s="308"/>
      <c r="CG14" s="308"/>
      <c r="CH14" s="308"/>
      <c r="CI14" s="308"/>
      <c r="CJ14" s="308"/>
      <c r="CK14" s="308"/>
      <c r="CL14" s="308"/>
      <c r="CM14" s="308"/>
      <c r="CN14" s="308"/>
      <c r="CO14" s="308"/>
      <c r="CP14" s="308"/>
      <c r="CQ14" s="308"/>
      <c r="CR14" s="308"/>
      <c r="CS14" s="308"/>
      <c r="CT14" s="308"/>
      <c r="CU14" s="308"/>
      <c r="CV14" s="308"/>
      <c r="CW14" s="308"/>
      <c r="CX14" s="308"/>
      <c r="CY14" s="308"/>
      <c r="CZ14" s="308"/>
      <c r="DA14" s="308"/>
      <c r="DB14" s="308"/>
      <c r="DC14" s="308"/>
      <c r="DD14" s="308"/>
      <c r="DE14" s="308"/>
      <c r="DF14" s="308"/>
      <c r="DG14" s="308"/>
      <c r="DH14" s="308"/>
      <c r="DI14" s="308"/>
      <c r="DJ14" s="308"/>
      <c r="DK14" s="308"/>
      <c r="DL14" s="308"/>
      <c r="DM14" s="308"/>
      <c r="DN14" s="308"/>
      <c r="DO14" s="308"/>
      <c r="DP14" s="308"/>
      <c r="DQ14" s="308"/>
      <c r="DR14" s="308"/>
      <c r="DS14" s="308"/>
      <c r="DT14" s="308"/>
      <c r="DU14" s="308"/>
      <c r="DV14" s="308"/>
      <c r="DW14" s="308"/>
      <c r="DX14" s="308"/>
      <c r="DY14" s="308"/>
      <c r="DZ14" s="308"/>
      <c r="EA14" s="308"/>
      <c r="EB14" s="308"/>
      <c r="EC14" s="308"/>
      <c r="ED14" s="308"/>
      <c r="EE14" s="308"/>
      <c r="EF14" s="308"/>
      <c r="EG14" s="308"/>
      <c r="EH14" s="308"/>
      <c r="EI14" s="308"/>
      <c r="EJ14" s="308"/>
      <c r="EK14" s="308"/>
      <c r="EL14" s="308"/>
      <c r="EM14" s="308"/>
      <c r="EN14" s="308"/>
      <c r="EO14" s="308"/>
      <c r="EP14" s="308"/>
      <c r="EQ14" s="308"/>
      <c r="ER14" s="308"/>
      <c r="ES14" s="308"/>
      <c r="ET14" s="308"/>
      <c r="EU14" s="308"/>
      <c r="EV14" s="308"/>
      <c r="EW14" s="308"/>
      <c r="EX14" s="308"/>
      <c r="EY14" s="308"/>
      <c r="EZ14" s="308"/>
      <c r="FA14" s="308"/>
      <c r="FB14" s="308"/>
      <c r="FC14" s="308"/>
      <c r="FD14" s="308"/>
      <c r="FE14" s="308"/>
      <c r="FF14" s="308"/>
      <c r="FG14" s="308"/>
      <c r="FH14" s="308"/>
      <c r="FI14" s="308"/>
      <c r="FJ14" s="308"/>
      <c r="FK14" s="308"/>
      <c r="FL14" s="308"/>
      <c r="FM14" s="308"/>
      <c r="FN14" s="308"/>
      <c r="FO14" s="308"/>
      <c r="FP14" s="308"/>
      <c r="FQ14" s="308"/>
      <c r="FR14" s="308"/>
      <c r="FS14" s="308"/>
      <c r="FT14" s="308"/>
      <c r="FU14" s="308"/>
      <c r="FV14" s="308"/>
      <c r="FW14" s="308"/>
      <c r="FX14" s="308"/>
      <c r="FY14" s="308"/>
      <c r="FZ14" s="308"/>
      <c r="GA14" s="308"/>
      <c r="GB14" s="308"/>
      <c r="GC14" s="308"/>
      <c r="GD14" s="308"/>
      <c r="GE14" s="308"/>
      <c r="GF14" s="308"/>
      <c r="GG14" s="308"/>
      <c r="GH14" s="308"/>
      <c r="GI14" s="308"/>
      <c r="GJ14" s="308"/>
      <c r="GK14" s="308"/>
      <c r="GL14" s="308"/>
      <c r="GM14" s="308"/>
      <c r="GN14" s="308"/>
      <c r="GO14" s="308"/>
      <c r="GP14" s="308"/>
      <c r="GQ14" s="308"/>
      <c r="GR14" s="308"/>
      <c r="GS14" s="308"/>
      <c r="GT14" s="308"/>
      <c r="GU14" s="308"/>
      <c r="GV14" s="308"/>
      <c r="GW14" s="308"/>
      <c r="GX14" s="308"/>
      <c r="GY14" s="308"/>
      <c r="GZ14" s="308"/>
      <c r="HA14" s="308"/>
      <c r="HB14" s="308"/>
      <c r="HC14" s="308"/>
      <c r="HD14" s="308"/>
      <c r="HE14" s="308"/>
      <c r="HF14" s="308"/>
      <c r="HG14" s="308"/>
      <c r="HH14" s="308"/>
      <c r="HI14" s="308"/>
      <c r="HJ14" s="308"/>
      <c r="HK14" s="308"/>
      <c r="HL14" s="308"/>
      <c r="HM14" s="308"/>
      <c r="HN14" s="308"/>
      <c r="HO14" s="308"/>
      <c r="HP14" s="308"/>
      <c r="HQ14" s="308"/>
      <c r="HR14" s="308"/>
      <c r="HS14" s="308"/>
      <c r="HT14" s="308"/>
      <c r="HU14" s="308"/>
      <c r="HV14" s="308"/>
      <c r="HW14" s="308"/>
      <c r="HX14" s="308"/>
      <c r="HY14" s="308"/>
      <c r="HZ14" s="308"/>
      <c r="IA14" s="308"/>
      <c r="IB14" s="308"/>
      <c r="IC14" s="308"/>
      <c r="ID14" s="308"/>
      <c r="IE14" s="308"/>
      <c r="IF14" s="308"/>
      <c r="IG14" s="308"/>
      <c r="IH14" s="308"/>
      <c r="II14" s="308"/>
      <c r="IJ14" s="308"/>
      <c r="IK14" s="308"/>
      <c r="IL14" s="308"/>
      <c r="IM14" s="308"/>
      <c r="IN14" s="308"/>
      <c r="IO14" s="308"/>
      <c r="IP14" s="308"/>
      <c r="IQ14" s="308"/>
      <c r="IR14" s="308"/>
      <c r="IS14" s="308"/>
      <c r="IT14" s="308"/>
      <c r="IU14" s="308"/>
      <c r="IV14" s="308"/>
      <c r="IW14" s="308"/>
      <c r="IX14" s="308"/>
      <c r="IY14" s="308"/>
      <c r="IZ14" s="308"/>
      <c r="JA14" s="308"/>
      <c r="JB14" s="308"/>
      <c r="JC14" s="308"/>
      <c r="JD14" s="308"/>
      <c r="JE14" s="308"/>
      <c r="JF14" s="308"/>
      <c r="JG14" s="308"/>
      <c r="JH14" s="308"/>
      <c r="JI14" s="308"/>
      <c r="JJ14" s="308"/>
      <c r="JK14" s="308"/>
      <c r="JL14" s="308"/>
      <c r="JM14" s="308"/>
      <c r="JN14" s="308"/>
      <c r="JO14" s="308"/>
      <c r="JP14" s="308"/>
      <c r="JQ14" s="308"/>
      <c r="JR14" s="308"/>
      <c r="JS14" s="308"/>
      <c r="JT14" s="308"/>
      <c r="JU14" s="308"/>
    </row>
    <row r="15" spans="1:281" ht="15.4">
      <c r="A15" s="308"/>
      <c r="B15" s="309"/>
      <c r="C15" s="310"/>
      <c r="D15" s="291"/>
      <c r="E15" s="291"/>
      <c r="F15" s="291"/>
      <c r="G15" s="291"/>
      <c r="H15" s="291"/>
      <c r="I15" s="291"/>
      <c r="J15" s="291"/>
      <c r="K15" s="291"/>
      <c r="L15" s="291"/>
      <c r="M15" s="291"/>
      <c r="N15" s="291"/>
      <c r="O15" s="291"/>
      <c r="P15" s="291"/>
      <c r="Q15" s="291"/>
      <c r="R15" s="291"/>
      <c r="S15" s="291"/>
      <c r="T15" s="291"/>
      <c r="U15" s="291"/>
      <c r="V15" s="291"/>
      <c r="W15" s="291"/>
      <c r="X15" s="291"/>
      <c r="Y15" s="291"/>
      <c r="Z15" s="291"/>
      <c r="AA15" s="291"/>
      <c r="AB15" s="291"/>
      <c r="AC15" s="303"/>
      <c r="AD15" s="303"/>
      <c r="AE15" s="303"/>
      <c r="AF15" s="303"/>
      <c r="AG15" s="307"/>
      <c r="AH15" s="307"/>
      <c r="AI15" s="307"/>
      <c r="AJ15" s="307"/>
      <c r="AK15" s="307"/>
      <c r="AL15" s="307"/>
      <c r="AM15" s="307"/>
      <c r="AN15" s="307"/>
      <c r="AO15" s="307"/>
      <c r="AP15" s="307"/>
      <c r="AQ15" s="307"/>
      <c r="AR15" s="307"/>
      <c r="AS15" s="307"/>
      <c r="AT15" s="307"/>
      <c r="AU15" s="307"/>
      <c r="AV15" s="307"/>
      <c r="AW15" s="307"/>
      <c r="AX15" s="307"/>
      <c r="AY15" s="307"/>
      <c r="AZ15" s="307"/>
      <c r="BA15" s="307"/>
      <c r="BB15" s="307" t="s">
        <v>562</v>
      </c>
      <c r="BC15" s="307" t="s">
        <v>563</v>
      </c>
      <c r="BD15" t="s">
        <v>565</v>
      </c>
      <c r="BE15" s="303"/>
      <c r="BF15" s="303"/>
      <c r="BG15" s="303"/>
      <c r="BH15" s="303"/>
      <c r="BI15" s="303"/>
      <c r="BJ15" s="303"/>
      <c r="BK15" s="303"/>
      <c r="BL15" s="303"/>
      <c r="BM15" s="303"/>
      <c r="BN15" s="303"/>
      <c r="BO15" s="303"/>
      <c r="BP15" s="303"/>
      <c r="BQ15" s="303"/>
      <c r="BR15" s="303"/>
      <c r="BS15" s="303"/>
      <c r="BT15" s="303"/>
      <c r="BU15" s="303"/>
      <c r="BV15" s="303"/>
      <c r="BW15" s="303"/>
      <c r="BX15" s="303"/>
      <c r="BY15" s="303"/>
      <c r="BZ15" s="303"/>
      <c r="CA15" s="303"/>
      <c r="CB15" s="303"/>
      <c r="CC15" s="303"/>
      <c r="CD15" s="303"/>
      <c r="CE15" s="303"/>
      <c r="CF15" s="303"/>
      <c r="CG15" s="303"/>
      <c r="CH15" s="303"/>
      <c r="CI15" s="303"/>
      <c r="CJ15" s="303"/>
      <c r="CK15" s="303"/>
      <c r="CL15" s="303"/>
      <c r="CM15" s="303"/>
      <c r="CN15" s="303"/>
      <c r="CO15" s="303"/>
      <c r="CP15" s="303"/>
      <c r="CQ15" s="303"/>
      <c r="CR15" s="303"/>
      <c r="CS15" s="303"/>
      <c r="CT15" s="303"/>
      <c r="CU15" s="303"/>
      <c r="CV15" s="303"/>
      <c r="CW15" s="303"/>
      <c r="CX15" s="303"/>
      <c r="CY15" s="303"/>
      <c r="CZ15" s="303"/>
      <c r="DA15" s="303"/>
      <c r="DB15" s="303"/>
      <c r="DC15" s="303"/>
      <c r="DD15" s="303"/>
      <c r="DE15" s="303"/>
      <c r="DF15" s="303"/>
      <c r="DG15" s="303"/>
      <c r="DH15" s="303"/>
      <c r="DI15" s="303"/>
      <c r="DJ15" s="303"/>
      <c r="DK15" s="303"/>
      <c r="DL15" s="303"/>
      <c r="DM15" s="303"/>
      <c r="DN15" s="303"/>
      <c r="DO15" s="303"/>
      <c r="DP15" s="303"/>
      <c r="DQ15" s="303"/>
      <c r="DR15" s="303"/>
      <c r="DS15" s="303"/>
      <c r="DT15" s="303"/>
      <c r="DU15" s="303"/>
      <c r="DV15" s="303"/>
      <c r="DW15" s="303"/>
      <c r="DX15" s="303"/>
      <c r="DY15" s="303"/>
      <c r="DZ15" s="303"/>
      <c r="EA15" s="303"/>
      <c r="EB15" s="303"/>
      <c r="EC15" s="303"/>
      <c r="ED15" s="303"/>
      <c r="EE15" s="303"/>
      <c r="EF15" s="303"/>
      <c r="EG15" s="303"/>
      <c r="EH15" s="303"/>
      <c r="EI15" s="303"/>
      <c r="EJ15" s="303"/>
      <c r="EK15" s="303"/>
      <c r="EL15" s="303"/>
      <c r="EM15" s="303"/>
      <c r="EN15" s="303"/>
      <c r="EO15" s="303"/>
      <c r="EP15" s="303"/>
      <c r="EQ15" s="303"/>
      <c r="ER15" s="303"/>
      <c r="ES15" s="303"/>
      <c r="ET15" s="303"/>
      <c r="EU15" s="303"/>
      <c r="EV15" s="303"/>
      <c r="EW15" s="303"/>
      <c r="EX15" s="303"/>
      <c r="EY15" s="303"/>
      <c r="EZ15" s="303"/>
      <c r="FA15" s="303"/>
      <c r="FB15" s="303"/>
      <c r="FC15" s="303"/>
      <c r="FD15" s="303"/>
      <c r="FE15" s="303"/>
      <c r="FF15" s="303"/>
      <c r="FG15" s="303"/>
      <c r="FH15" s="303"/>
      <c r="FI15" s="303"/>
      <c r="FJ15" s="303"/>
      <c r="FK15" s="303"/>
      <c r="FL15" s="303"/>
      <c r="FM15" s="303"/>
      <c r="FN15" s="303"/>
      <c r="FO15" s="303"/>
      <c r="FP15" s="303"/>
      <c r="FQ15" s="303"/>
      <c r="FR15" s="303"/>
      <c r="FS15" s="303"/>
      <c r="FT15" s="303"/>
      <c r="FU15" s="303"/>
      <c r="FV15" s="303"/>
      <c r="FW15" s="303"/>
      <c r="FX15" s="303"/>
      <c r="FY15" s="303"/>
      <c r="FZ15" s="303"/>
      <c r="GA15" s="303"/>
      <c r="GB15" s="303"/>
      <c r="GC15" s="303"/>
      <c r="GD15" s="303"/>
      <c r="GE15" s="303"/>
      <c r="GF15" s="303"/>
      <c r="GG15" s="303"/>
      <c r="GH15" s="303"/>
      <c r="GI15" s="303"/>
      <c r="GJ15" s="303"/>
      <c r="GK15" s="303"/>
      <c r="GL15" s="303"/>
      <c r="GM15" s="303"/>
      <c r="GN15" s="303"/>
      <c r="GO15" s="303"/>
      <c r="GP15" s="303"/>
      <c r="GQ15" s="303"/>
      <c r="GR15" s="303"/>
      <c r="GS15" s="303"/>
      <c r="GT15" s="303"/>
      <c r="GU15" s="303"/>
      <c r="GV15" s="303"/>
      <c r="GW15" s="303"/>
      <c r="GX15" s="303"/>
      <c r="GY15" s="303"/>
      <c r="GZ15" s="303"/>
      <c r="HA15" s="303"/>
      <c r="HB15" s="303"/>
      <c r="HC15" s="303"/>
      <c r="HD15" s="303"/>
      <c r="HE15" s="303"/>
      <c r="HF15" s="303"/>
      <c r="HG15" s="303"/>
      <c r="HH15" s="303"/>
      <c r="HI15" s="303"/>
      <c r="HJ15" s="303"/>
      <c r="HK15" s="303"/>
      <c r="HL15" s="303"/>
      <c r="HM15" s="303"/>
      <c r="HN15" s="303"/>
      <c r="HO15" s="303"/>
      <c r="HP15" s="303"/>
      <c r="HQ15" s="303"/>
      <c r="HR15" s="303"/>
      <c r="HS15" s="303"/>
      <c r="HT15" s="303"/>
      <c r="HU15" s="303"/>
      <c r="HV15" s="303"/>
      <c r="HW15" s="303"/>
      <c r="HX15" s="303"/>
      <c r="HY15" s="303"/>
      <c r="HZ15" s="303"/>
      <c r="IA15" s="303"/>
      <c r="IB15" s="303"/>
      <c r="IC15" s="303"/>
      <c r="ID15" s="303"/>
      <c r="IE15" s="303"/>
      <c r="IF15" s="303"/>
      <c r="IG15" s="303"/>
      <c r="IH15" s="303"/>
      <c r="II15" s="303"/>
      <c r="IJ15" s="303"/>
      <c r="IK15" s="303"/>
      <c r="IL15" s="303"/>
      <c r="IM15" s="303"/>
      <c r="IN15" s="303"/>
      <c r="IO15" s="303"/>
      <c r="IP15" s="303"/>
      <c r="IQ15" s="303"/>
      <c r="IR15" s="303"/>
      <c r="IS15" s="303"/>
      <c r="IT15" s="303"/>
      <c r="IU15" s="303"/>
      <c r="IV15" s="303"/>
      <c r="IW15" s="303"/>
      <c r="IX15" s="303"/>
      <c r="IY15" s="303"/>
      <c r="IZ15" s="303"/>
      <c r="JA15" s="303"/>
      <c r="JB15" s="303"/>
      <c r="JC15" s="303"/>
      <c r="JD15" s="303"/>
      <c r="JE15" s="303"/>
      <c r="JF15" s="303"/>
      <c r="JG15" s="303"/>
      <c r="JH15" s="303"/>
      <c r="JI15" s="303"/>
      <c r="JJ15" s="303"/>
      <c r="JK15" s="303"/>
      <c r="JL15" s="303"/>
      <c r="JM15" s="303"/>
      <c r="JN15" s="303"/>
      <c r="JO15" s="303"/>
      <c r="JP15" s="303"/>
      <c r="JQ15" s="303"/>
      <c r="JR15" s="303"/>
      <c r="JS15" s="303"/>
      <c r="JT15" s="303"/>
      <c r="JU15" s="303"/>
    </row>
    <row r="16" spans="1:281" ht="15.4">
      <c r="B16" s="311"/>
      <c r="D16" s="313">
        <f>$B$17-2</f>
        <v>2017</v>
      </c>
      <c r="E16" s="313">
        <f>$B$17-2</f>
        <v>2017</v>
      </c>
      <c r="F16" s="313">
        <f>$B$17-2</f>
        <v>2017</v>
      </c>
      <c r="G16" s="313">
        <f>$B$17-2</f>
        <v>2017</v>
      </c>
      <c r="H16" s="313">
        <f>$B$17-2</f>
        <v>2017</v>
      </c>
      <c r="I16" s="314">
        <f>$B$17-1</f>
        <v>2018</v>
      </c>
      <c r="J16" s="313">
        <f>$B$17-1</f>
        <v>2018</v>
      </c>
      <c r="K16" s="313">
        <f>$B$17-1</f>
        <v>2018</v>
      </c>
      <c r="L16" s="313">
        <f>$B$17-1</f>
        <v>2018</v>
      </c>
      <c r="M16" s="313">
        <f>$B$17-1</f>
        <v>2018</v>
      </c>
      <c r="N16" s="314">
        <f>$B$17</f>
        <v>2019</v>
      </c>
      <c r="O16" s="313">
        <f>$B$17</f>
        <v>2019</v>
      </c>
      <c r="P16" s="313">
        <f>$B$17</f>
        <v>2019</v>
      </c>
      <c r="Q16" s="313">
        <f>$B$17</f>
        <v>2019</v>
      </c>
      <c r="R16" s="313">
        <f>$B$17</f>
        <v>2019</v>
      </c>
      <c r="S16" s="314">
        <v>2020</v>
      </c>
      <c r="T16" s="313">
        <v>2020</v>
      </c>
      <c r="U16" s="313">
        <v>2020</v>
      </c>
      <c r="V16" s="313">
        <v>2020</v>
      </c>
      <c r="W16" s="313">
        <v>2020</v>
      </c>
      <c r="X16" s="314">
        <v>2021</v>
      </c>
      <c r="Y16" s="313">
        <v>2021</v>
      </c>
      <c r="Z16" s="313">
        <v>2021</v>
      </c>
      <c r="AA16" s="313">
        <v>2021</v>
      </c>
      <c r="AB16" s="313">
        <v>2021</v>
      </c>
      <c r="AC16" s="314">
        <v>2022</v>
      </c>
      <c r="AD16" s="313">
        <v>2022</v>
      </c>
      <c r="AE16" s="313">
        <v>2022</v>
      </c>
      <c r="AF16" s="313">
        <v>2022</v>
      </c>
      <c r="AG16" s="313">
        <v>2022</v>
      </c>
      <c r="AH16" s="314">
        <v>2023</v>
      </c>
      <c r="AI16" s="313">
        <v>2023</v>
      </c>
      <c r="AJ16" s="313">
        <v>2023</v>
      </c>
      <c r="AK16" s="313">
        <v>2023</v>
      </c>
      <c r="AL16" s="313">
        <v>2023</v>
      </c>
      <c r="AM16" s="314">
        <v>2024</v>
      </c>
      <c r="AN16" s="314">
        <v>2024</v>
      </c>
      <c r="AO16" s="314">
        <v>2024</v>
      </c>
      <c r="AP16" s="314">
        <v>2024</v>
      </c>
      <c r="AQ16" s="314">
        <v>2024</v>
      </c>
      <c r="AR16" s="314">
        <v>2025</v>
      </c>
      <c r="AS16" s="314">
        <v>2025</v>
      </c>
      <c r="AT16" s="314">
        <v>2025</v>
      </c>
      <c r="AU16" s="314">
        <v>2025</v>
      </c>
      <c r="AV16" s="314">
        <v>2025</v>
      </c>
      <c r="AW16" s="314">
        <v>2026</v>
      </c>
      <c r="AX16" s="314">
        <v>2026</v>
      </c>
      <c r="AY16" s="314">
        <v>2026</v>
      </c>
      <c r="AZ16" s="314">
        <v>2026</v>
      </c>
      <c r="BA16" s="314">
        <v>2026</v>
      </c>
      <c r="BD16" t="s">
        <v>566</v>
      </c>
    </row>
    <row r="17" spans="1:281" ht="30.75">
      <c r="A17" s="315" t="s">
        <v>567</v>
      </c>
      <c r="B17" s="316">
        <v>2019</v>
      </c>
      <c r="D17" s="317" t="s">
        <v>563</v>
      </c>
      <c r="E17" s="317" t="s">
        <v>563</v>
      </c>
      <c r="F17" s="317" t="s">
        <v>563</v>
      </c>
      <c r="G17" s="317" t="s">
        <v>563</v>
      </c>
      <c r="H17" s="317" t="s">
        <v>563</v>
      </c>
      <c r="I17" s="318" t="s">
        <v>563</v>
      </c>
      <c r="J17" s="318" t="s">
        <v>563</v>
      </c>
      <c r="K17" s="318" t="s">
        <v>563</v>
      </c>
      <c r="L17" s="318" t="s">
        <v>563</v>
      </c>
      <c r="M17" s="317" t="s">
        <v>563</v>
      </c>
      <c r="N17" s="318" t="s">
        <v>563</v>
      </c>
      <c r="O17" s="317" t="s">
        <v>563</v>
      </c>
      <c r="P17" s="317" t="s">
        <v>563</v>
      </c>
      <c r="Q17" s="317" t="s">
        <v>563</v>
      </c>
      <c r="R17" s="317" t="s">
        <v>563</v>
      </c>
      <c r="S17" s="318" t="s">
        <v>563</v>
      </c>
      <c r="T17" s="317" t="s">
        <v>563</v>
      </c>
      <c r="U17" s="317" t="s">
        <v>563</v>
      </c>
      <c r="V17" s="317" t="s">
        <v>563</v>
      </c>
      <c r="W17" s="317" t="s">
        <v>563</v>
      </c>
      <c r="X17" s="318" t="s">
        <v>563</v>
      </c>
      <c r="Y17" s="317" t="s">
        <v>563</v>
      </c>
      <c r="Z17" s="317" t="s">
        <v>563</v>
      </c>
      <c r="AA17" s="317" t="s">
        <v>563</v>
      </c>
      <c r="AB17" s="317" t="s">
        <v>563</v>
      </c>
      <c r="AC17" s="318" t="s">
        <v>563</v>
      </c>
      <c r="AD17" s="317" t="s">
        <v>563</v>
      </c>
      <c r="AE17" s="317" t="s">
        <v>563</v>
      </c>
      <c r="AF17" s="317" t="s">
        <v>563</v>
      </c>
      <c r="AG17" s="317" t="s">
        <v>563</v>
      </c>
      <c r="AH17" s="318" t="s">
        <v>563</v>
      </c>
      <c r="AI17" s="317" t="s">
        <v>563</v>
      </c>
      <c r="AJ17" s="317" t="s">
        <v>563</v>
      </c>
      <c r="AK17" s="317" t="s">
        <v>563</v>
      </c>
      <c r="AL17" s="317" t="s">
        <v>563</v>
      </c>
      <c r="AM17" s="318" t="s">
        <v>563</v>
      </c>
      <c r="AN17" s="317" t="s">
        <v>563</v>
      </c>
      <c r="AO17" s="317" t="s">
        <v>563</v>
      </c>
      <c r="AP17" s="317" t="s">
        <v>563</v>
      </c>
      <c r="AQ17" s="317" t="s">
        <v>563</v>
      </c>
      <c r="AR17" s="318" t="s">
        <v>563</v>
      </c>
      <c r="AS17" s="317" t="s">
        <v>563</v>
      </c>
      <c r="AT17" s="317" t="s">
        <v>563</v>
      </c>
      <c r="AU17" s="317" t="str">
        <f>IF(RIGHT('Income Statement'!CO4)="E","E","A")</f>
        <v>A</v>
      </c>
      <c r="AV17" s="317" t="str">
        <f>IF(RIGHT('Income Statement'!CP4)="E","E","A")</f>
        <v>A</v>
      </c>
      <c r="AW17" s="318" t="str">
        <f>IF(RIGHT('Income Statement'!CQ4)="E","E","A")</f>
        <v>E</v>
      </c>
      <c r="AX17" s="317" t="str">
        <f>IF(RIGHT('Income Statement'!CR4)="E","E","A")</f>
        <v>E</v>
      </c>
      <c r="AY17" s="317" t="str">
        <f>IF(RIGHT('Income Statement'!CS4)="E","E","A")</f>
        <v>E</v>
      </c>
      <c r="AZ17" s="317" t="str">
        <f>IF(RIGHT('Income Statement'!CT4)="E","E","A")</f>
        <v>E</v>
      </c>
      <c r="BA17" s="317" t="str">
        <f>IF(RIGHT('Income Statement'!CU4)="E","E","A")</f>
        <v>E</v>
      </c>
      <c r="BD17" t="s">
        <v>568</v>
      </c>
    </row>
    <row r="18" spans="1:281" ht="30.75">
      <c r="A18" s="315" t="s">
        <v>569</v>
      </c>
      <c r="B18" s="319" t="s">
        <v>572</v>
      </c>
      <c r="D18" s="320" t="str">
        <f>D16&amp;D19&amp;D17</f>
        <v>2017Q1A</v>
      </c>
      <c r="E18" s="320" t="str">
        <f>E16&amp;E19&amp;E17</f>
        <v>2017Q2A</v>
      </c>
      <c r="F18" s="320" t="str">
        <f>F16&amp;F19&amp;F17</f>
        <v>2017Q3A</v>
      </c>
      <c r="G18" s="320" t="str">
        <f>G16&amp;G19&amp;G17</f>
        <v>2017Q4A</v>
      </c>
      <c r="H18" s="320">
        <f>H16</f>
        <v>2017</v>
      </c>
      <c r="I18" s="321" t="str">
        <f>I16&amp;I19&amp;I17</f>
        <v>2018Q1A</v>
      </c>
      <c r="J18" s="320" t="str">
        <f>J16&amp;J19&amp;J17</f>
        <v>2018Q2A</v>
      </c>
      <c r="K18" s="320" t="str">
        <f>K16&amp;K19&amp;K17</f>
        <v>2018Q3A</v>
      </c>
      <c r="L18" s="320" t="str">
        <f>L16&amp;L19&amp;L17</f>
        <v>2018Q4A</v>
      </c>
      <c r="M18" s="320" t="str">
        <f>M16&amp;M17</f>
        <v>2018A</v>
      </c>
      <c r="N18" s="321" t="str">
        <f>N16&amp;N19&amp;N17</f>
        <v>2019Q1A</v>
      </c>
      <c r="O18" s="320" t="str">
        <f>O16&amp;O19&amp;O17</f>
        <v>2019Q2A</v>
      </c>
      <c r="P18" s="320" t="str">
        <f>P16&amp;P19&amp;P17</f>
        <v>2019Q3A</v>
      </c>
      <c r="Q18" s="320" t="str">
        <f>Q16&amp;Q19&amp;Q17</f>
        <v>2019Q4A</v>
      </c>
      <c r="R18" s="320" t="str">
        <f>R16&amp;R17</f>
        <v>2019A</v>
      </c>
      <c r="S18" s="321" t="str">
        <f>S16&amp;S19&amp;S17</f>
        <v>2020Q1A</v>
      </c>
      <c r="T18" s="320" t="str">
        <f>T16&amp;T19&amp;T17</f>
        <v>2020Q2A</v>
      </c>
      <c r="U18" s="320" t="str">
        <f>U16&amp;U19&amp;U17</f>
        <v>2020Q3A</v>
      </c>
      <c r="V18" s="320" t="str">
        <f>V16&amp;V19&amp;V17</f>
        <v>2020Q4A</v>
      </c>
      <c r="W18" s="320" t="str">
        <f>W16&amp;W17</f>
        <v>2020A</v>
      </c>
      <c r="X18" s="321" t="str">
        <f>X16&amp;X19&amp;X17</f>
        <v>2021Q1A</v>
      </c>
      <c r="Y18" s="320" t="str">
        <f>Y16&amp;Y19&amp;Y17</f>
        <v>2021Q2A</v>
      </c>
      <c r="Z18" s="320" t="str">
        <f>Z16&amp;Z19&amp;Z17</f>
        <v>2021Q3A</v>
      </c>
      <c r="AA18" s="320" t="str">
        <f>AA16&amp;AA19&amp;AA17</f>
        <v>2021Q4A</v>
      </c>
      <c r="AB18" s="320" t="str">
        <f>AB16&amp;AB17</f>
        <v>2021A</v>
      </c>
      <c r="AC18" s="321" t="str">
        <f>AC16&amp;AC19&amp;AC17</f>
        <v>2022Q1A</v>
      </c>
      <c r="AD18" s="320" t="str">
        <f>AD16&amp;AD19&amp;AD17</f>
        <v>2022Q2A</v>
      </c>
      <c r="AE18" s="320" t="str">
        <f>AE16&amp;AE19&amp;AE17</f>
        <v>2022Q3A</v>
      </c>
      <c r="AF18" s="320" t="str">
        <f>AF16&amp;AF19&amp;AF17</f>
        <v>2022Q4A</v>
      </c>
      <c r="AG18" s="320" t="str">
        <f>AG16&amp;AG17</f>
        <v>2022A</v>
      </c>
      <c r="AH18" s="321" t="str">
        <f>AH16&amp;AH19&amp;AH17</f>
        <v>2023Q1A</v>
      </c>
      <c r="AI18" s="320" t="str">
        <f>AI16&amp;AI19&amp;AI17</f>
        <v>2023Q2A</v>
      </c>
      <c r="AJ18" s="320" t="str">
        <f>AJ16&amp;AJ19&amp;AJ17</f>
        <v>2023Q3A</v>
      </c>
      <c r="AK18" s="320" t="str">
        <f>AK16&amp;AK19&amp;AK17</f>
        <v>2023Q4A</v>
      </c>
      <c r="AL18" s="320" t="str">
        <f>AL16&amp;AL17</f>
        <v>2023A</v>
      </c>
      <c r="AM18" s="321" t="str">
        <f>AM16&amp;AM19&amp;AM17</f>
        <v>2024Q1A</v>
      </c>
      <c r="AN18" s="320" t="str">
        <f>AN16&amp;AN19&amp;AN17</f>
        <v>2024Q2A</v>
      </c>
      <c r="AO18" s="320" t="str">
        <f>AO16&amp;AO19&amp;AO17</f>
        <v>2024Q3A</v>
      </c>
      <c r="AP18" s="320" t="str">
        <f>AP16&amp;AP19&amp;AP17</f>
        <v>2024Q4A</v>
      </c>
      <c r="AQ18" s="320" t="str">
        <f>AQ16&amp;AQ17</f>
        <v>2024A</v>
      </c>
      <c r="AR18" s="321" t="str">
        <f>AR16&amp;AR19&amp;AR17</f>
        <v>2025Q1A</v>
      </c>
      <c r="AS18" s="320" t="str">
        <f>AS16&amp;AS19&amp;AS17</f>
        <v>2025Q2A</v>
      </c>
      <c r="AT18" s="320" t="str">
        <f>AT16&amp;AT19&amp;AT17</f>
        <v>2025Q3A</v>
      </c>
      <c r="AU18" s="320" t="str">
        <f>AU16&amp;AU19&amp;AU17</f>
        <v>2025Q4A</v>
      </c>
      <c r="AV18" s="320" t="str">
        <f>AV16&amp;AV17</f>
        <v>2025A</v>
      </c>
      <c r="AW18" s="321" t="str">
        <f>AW16&amp;AW19&amp;AW17</f>
        <v>2026Q1E</v>
      </c>
      <c r="AX18" s="320" t="str">
        <f>AX16&amp;AX19&amp;AX17</f>
        <v>2026Q2E</v>
      </c>
      <c r="AY18" s="320" t="str">
        <f>AY16&amp;AY19&amp;AY17</f>
        <v>2026Q3E</v>
      </c>
      <c r="AZ18" s="320" t="str">
        <f>AZ16&amp;AZ19&amp;AZ17</f>
        <v>2026Q4E</v>
      </c>
      <c r="BA18" s="320" t="str">
        <f>BA16&amp;BA17</f>
        <v>2026E</v>
      </c>
      <c r="BB18" s="322"/>
      <c r="BC18" s="322"/>
      <c r="BD18" t="s">
        <v>571</v>
      </c>
      <c r="BE18" s="322"/>
      <c r="BF18" s="322"/>
      <c r="BG18" s="322"/>
      <c r="BH18" s="322"/>
      <c r="BI18" s="322"/>
      <c r="BJ18" s="322"/>
      <c r="BK18" s="322"/>
      <c r="BL18" s="322"/>
      <c r="BM18" s="322"/>
      <c r="BN18" s="322"/>
      <c r="BO18" s="322"/>
      <c r="BP18" s="322"/>
      <c r="BQ18" s="322"/>
      <c r="BR18" s="322"/>
      <c r="BS18" s="322"/>
      <c r="BT18" s="322"/>
      <c r="BU18" s="322"/>
      <c r="BV18" s="322"/>
      <c r="BW18" s="322"/>
      <c r="BX18" s="322"/>
      <c r="BY18" s="322"/>
      <c r="BZ18" s="322"/>
      <c r="CA18" s="322"/>
      <c r="CB18" s="322"/>
      <c r="CC18" s="322"/>
      <c r="CD18" s="322"/>
      <c r="CE18" s="322"/>
      <c r="CF18" s="322"/>
      <c r="CG18" s="322"/>
      <c r="CH18" s="322"/>
      <c r="CI18" s="322"/>
      <c r="CJ18" s="322"/>
      <c r="CK18" s="322"/>
      <c r="CL18" s="322"/>
      <c r="CM18" s="322"/>
      <c r="CN18" s="322"/>
      <c r="CO18" s="322"/>
      <c r="CP18" s="322"/>
      <c r="CQ18" s="322"/>
      <c r="CR18" s="322"/>
      <c r="CS18" s="322"/>
      <c r="CT18" s="322"/>
      <c r="CU18" s="322"/>
      <c r="CV18" s="322"/>
      <c r="CW18" s="322"/>
      <c r="CX18" s="322"/>
      <c r="CY18" s="322"/>
      <c r="CZ18" s="322"/>
      <c r="DA18" s="322"/>
      <c r="DB18" s="322"/>
      <c r="DC18" s="322"/>
      <c r="DD18" s="322"/>
      <c r="DE18" s="322"/>
      <c r="DF18" s="322"/>
      <c r="DG18" s="322"/>
      <c r="DH18" s="322"/>
      <c r="DI18" s="322"/>
      <c r="DJ18" s="322"/>
      <c r="DK18" s="322"/>
      <c r="DL18" s="322"/>
      <c r="DM18" s="322"/>
      <c r="DN18" s="322"/>
      <c r="DO18" s="322"/>
      <c r="DP18" s="322"/>
      <c r="DQ18" s="322"/>
      <c r="DR18" s="322"/>
      <c r="DS18" s="322"/>
      <c r="DT18" s="322"/>
      <c r="DU18" s="322"/>
      <c r="DV18" s="322"/>
      <c r="DW18" s="322"/>
      <c r="DX18" s="322"/>
      <c r="DY18" s="322"/>
      <c r="DZ18" s="322"/>
      <c r="EA18" s="322"/>
      <c r="EB18" s="322"/>
      <c r="EC18" s="322"/>
      <c r="ED18" s="322"/>
      <c r="EE18" s="322"/>
      <c r="EF18" s="322"/>
      <c r="EG18" s="322"/>
      <c r="EH18" s="322"/>
      <c r="EI18" s="322"/>
      <c r="EJ18" s="322"/>
      <c r="EK18" s="322"/>
      <c r="EL18" s="322"/>
      <c r="EM18" s="322"/>
      <c r="EN18" s="322"/>
      <c r="EO18" s="322"/>
      <c r="EP18" s="322"/>
      <c r="EQ18" s="322"/>
      <c r="ER18" s="322"/>
      <c r="ES18" s="322"/>
      <c r="ET18" s="322"/>
      <c r="EU18" s="322"/>
      <c r="EV18" s="322"/>
      <c r="EW18" s="322"/>
      <c r="EX18" s="322"/>
      <c r="EY18" s="322"/>
      <c r="EZ18" s="322"/>
      <c r="FA18" s="322"/>
      <c r="FB18" s="322"/>
      <c r="FC18" s="322"/>
      <c r="FD18" s="322"/>
      <c r="FE18" s="322"/>
      <c r="FF18" s="322"/>
      <c r="FG18" s="322"/>
      <c r="FH18" s="322"/>
      <c r="FI18" s="322"/>
      <c r="FJ18" s="322"/>
      <c r="FK18" s="322"/>
      <c r="FL18" s="322"/>
      <c r="FM18" s="322"/>
      <c r="FN18" s="322"/>
      <c r="FO18" s="322"/>
      <c r="FP18" s="322"/>
      <c r="FQ18" s="322"/>
      <c r="FR18" s="322"/>
      <c r="FS18" s="322"/>
      <c r="FT18" s="322"/>
      <c r="FU18" s="322"/>
      <c r="FV18" s="322"/>
      <c r="FW18" s="322"/>
      <c r="FX18" s="322"/>
      <c r="FY18" s="322"/>
      <c r="FZ18" s="322"/>
      <c r="GA18" s="322"/>
      <c r="GB18" s="322"/>
      <c r="GC18" s="322"/>
      <c r="GD18" s="322"/>
      <c r="GE18" s="322"/>
      <c r="GF18" s="322"/>
      <c r="GG18" s="322"/>
      <c r="GH18" s="322"/>
      <c r="GI18" s="322"/>
      <c r="GJ18" s="322"/>
      <c r="GK18" s="322"/>
      <c r="GL18" s="322"/>
      <c r="GM18" s="322"/>
      <c r="GN18" s="322"/>
      <c r="GO18" s="322"/>
      <c r="GP18" s="322"/>
      <c r="GQ18" s="322"/>
      <c r="GR18" s="322"/>
      <c r="GS18" s="322"/>
      <c r="GT18" s="322"/>
      <c r="GU18" s="322"/>
      <c r="GV18" s="322"/>
      <c r="GW18" s="322"/>
      <c r="GX18" s="322"/>
      <c r="GY18" s="322"/>
      <c r="GZ18" s="322"/>
      <c r="HA18" s="322"/>
      <c r="HB18" s="322"/>
      <c r="HC18" s="322"/>
      <c r="HD18" s="322"/>
      <c r="HE18" s="322"/>
      <c r="HF18" s="322"/>
      <c r="HG18" s="322"/>
      <c r="HH18" s="322"/>
      <c r="HI18" s="322"/>
      <c r="HJ18" s="322"/>
      <c r="HK18" s="322"/>
      <c r="HL18" s="322"/>
      <c r="HM18" s="322"/>
      <c r="HN18" s="322"/>
      <c r="HO18" s="322"/>
      <c r="HP18" s="322"/>
      <c r="HQ18" s="322"/>
      <c r="HR18" s="322"/>
      <c r="HS18" s="322"/>
      <c r="HT18" s="322"/>
      <c r="HU18" s="322"/>
      <c r="HV18" s="322"/>
      <c r="HW18" s="322"/>
      <c r="HX18" s="322"/>
      <c r="HY18" s="322"/>
      <c r="HZ18" s="322"/>
      <c r="IA18" s="322"/>
      <c r="IB18" s="322"/>
      <c r="IC18" s="322"/>
      <c r="ID18" s="322"/>
      <c r="IE18" s="322"/>
      <c r="IF18" s="322"/>
      <c r="IG18" s="322"/>
      <c r="IH18" s="322"/>
      <c r="II18" s="322"/>
      <c r="IJ18" s="322"/>
      <c r="IK18" s="322"/>
      <c r="IL18" s="322"/>
      <c r="IM18" s="322"/>
      <c r="IN18" s="322"/>
      <c r="IO18" s="322"/>
      <c r="IP18" s="322"/>
      <c r="IQ18" s="322"/>
      <c r="IR18" s="322"/>
      <c r="IS18" s="322"/>
      <c r="IT18" s="322"/>
      <c r="IU18" s="322"/>
      <c r="IV18" s="322"/>
      <c r="IW18" s="322"/>
      <c r="IX18" s="322"/>
      <c r="IY18" s="322"/>
      <c r="IZ18" s="322"/>
      <c r="JA18" s="322"/>
      <c r="JB18" s="322"/>
      <c r="JC18" s="322"/>
      <c r="JD18" s="322"/>
      <c r="JE18" s="322"/>
      <c r="JF18" s="322"/>
      <c r="JG18" s="322"/>
      <c r="JH18" s="322"/>
      <c r="JI18" s="322"/>
      <c r="JJ18" s="322"/>
      <c r="JK18" s="322"/>
      <c r="JL18" s="322"/>
      <c r="JM18" s="322"/>
      <c r="JN18" s="322"/>
      <c r="JO18" s="322"/>
      <c r="JP18" s="322"/>
      <c r="JQ18" s="322"/>
      <c r="JR18" s="322"/>
      <c r="JS18" s="322"/>
      <c r="JT18" s="322"/>
      <c r="JU18" s="322"/>
    </row>
    <row r="19" spans="1:281" ht="15.4">
      <c r="A19" s="323"/>
      <c r="B19" s="324"/>
      <c r="C19" s="325"/>
      <c r="D19" s="326" t="s">
        <v>572</v>
      </c>
      <c r="E19" s="326" t="s">
        <v>573</v>
      </c>
      <c r="F19" s="326" t="s">
        <v>570</v>
      </c>
      <c r="G19" s="326" t="s">
        <v>574</v>
      </c>
      <c r="H19" s="326" t="s">
        <v>575</v>
      </c>
      <c r="I19" s="327" t="s">
        <v>572</v>
      </c>
      <c r="J19" s="326" t="s">
        <v>573</v>
      </c>
      <c r="K19" s="326" t="s">
        <v>570</v>
      </c>
      <c r="L19" s="326" t="s">
        <v>574</v>
      </c>
      <c r="M19" s="326" t="s">
        <v>575</v>
      </c>
      <c r="N19" s="327" t="s">
        <v>572</v>
      </c>
      <c r="O19" s="326" t="s">
        <v>573</v>
      </c>
      <c r="P19" s="326" t="s">
        <v>570</v>
      </c>
      <c r="Q19" s="326" t="s">
        <v>574</v>
      </c>
      <c r="R19" s="326" t="s">
        <v>575</v>
      </c>
      <c r="S19" s="327" t="s">
        <v>572</v>
      </c>
      <c r="T19" s="326" t="s">
        <v>573</v>
      </c>
      <c r="U19" s="326" t="s">
        <v>570</v>
      </c>
      <c r="V19" s="326" t="s">
        <v>574</v>
      </c>
      <c r="W19" s="326" t="s">
        <v>575</v>
      </c>
      <c r="X19" s="327" t="s">
        <v>572</v>
      </c>
      <c r="Y19" s="326" t="s">
        <v>573</v>
      </c>
      <c r="Z19" s="326" t="s">
        <v>570</v>
      </c>
      <c r="AA19" s="326" t="s">
        <v>574</v>
      </c>
      <c r="AB19" s="326" t="s">
        <v>575</v>
      </c>
      <c r="AC19" s="327" t="s">
        <v>572</v>
      </c>
      <c r="AD19" s="326" t="s">
        <v>573</v>
      </c>
      <c r="AE19" s="326" t="s">
        <v>570</v>
      </c>
      <c r="AF19" s="326" t="s">
        <v>574</v>
      </c>
      <c r="AG19" s="326" t="s">
        <v>575</v>
      </c>
      <c r="AH19" s="327" t="s">
        <v>572</v>
      </c>
      <c r="AI19" s="326" t="s">
        <v>573</v>
      </c>
      <c r="AJ19" s="326" t="s">
        <v>570</v>
      </c>
      <c r="AK19" s="326" t="s">
        <v>574</v>
      </c>
      <c r="AL19" s="326" t="s">
        <v>575</v>
      </c>
      <c r="AM19" s="327" t="s">
        <v>572</v>
      </c>
      <c r="AN19" s="326" t="s">
        <v>573</v>
      </c>
      <c r="AO19" s="326" t="s">
        <v>570</v>
      </c>
      <c r="AP19" s="326" t="s">
        <v>574</v>
      </c>
      <c r="AQ19" s="326" t="s">
        <v>575</v>
      </c>
      <c r="AR19" s="327" t="s">
        <v>572</v>
      </c>
      <c r="AS19" s="326" t="s">
        <v>573</v>
      </c>
      <c r="AT19" s="326" t="s">
        <v>570</v>
      </c>
      <c r="AU19" s="326" t="s">
        <v>574</v>
      </c>
      <c r="AV19" s="326" t="s">
        <v>575</v>
      </c>
      <c r="AW19" s="327" t="s">
        <v>572</v>
      </c>
      <c r="AX19" s="326" t="s">
        <v>573</v>
      </c>
      <c r="AY19" s="326" t="s">
        <v>570</v>
      </c>
      <c r="AZ19" s="326" t="s">
        <v>574</v>
      </c>
      <c r="BA19" s="326" t="s">
        <v>575</v>
      </c>
      <c r="BB19" s="328"/>
      <c r="BC19" s="328"/>
      <c r="BD19" t="s">
        <v>576</v>
      </c>
      <c r="BE19" s="328"/>
      <c r="BF19" s="328"/>
      <c r="BG19" s="328"/>
      <c r="BH19" s="328"/>
      <c r="BI19" s="328"/>
      <c r="BJ19" s="328"/>
      <c r="BK19" s="328"/>
      <c r="BL19" s="328"/>
      <c r="BM19" s="328"/>
      <c r="BN19" s="328"/>
      <c r="BO19" s="328"/>
      <c r="BP19" s="328"/>
      <c r="BQ19" s="328"/>
      <c r="BR19" s="328"/>
      <c r="BS19" s="328"/>
      <c r="BT19" s="328"/>
      <c r="BU19" s="328"/>
      <c r="BV19" s="328"/>
      <c r="BW19" s="328"/>
      <c r="BX19" s="328"/>
      <c r="BY19" s="328"/>
      <c r="BZ19" s="328"/>
      <c r="CA19" s="328"/>
      <c r="CB19" s="328"/>
      <c r="CC19" s="328"/>
      <c r="CD19" s="328"/>
      <c r="CE19" s="328"/>
      <c r="CF19" s="328"/>
      <c r="CG19" s="328"/>
      <c r="CH19" s="328"/>
      <c r="CI19" s="328"/>
      <c r="CJ19" s="328"/>
      <c r="CK19" s="328"/>
      <c r="CL19" s="328"/>
      <c r="CM19" s="328"/>
      <c r="CN19" s="328"/>
      <c r="CO19" s="328"/>
      <c r="CP19" s="328"/>
      <c r="CQ19" s="328"/>
      <c r="CR19" s="328"/>
      <c r="CS19" s="328"/>
      <c r="CT19" s="328"/>
      <c r="CU19" s="328"/>
      <c r="CV19" s="328"/>
      <c r="CW19" s="328"/>
      <c r="CX19" s="328"/>
      <c r="CY19" s="328"/>
      <c r="CZ19" s="328"/>
      <c r="DA19" s="328"/>
      <c r="DB19" s="328"/>
      <c r="DC19" s="328"/>
      <c r="DD19" s="328"/>
      <c r="DE19" s="328"/>
      <c r="DF19" s="328"/>
      <c r="DG19" s="328"/>
      <c r="DH19" s="328"/>
      <c r="DI19" s="328"/>
      <c r="DJ19" s="328"/>
      <c r="DK19" s="328"/>
      <c r="DL19" s="328"/>
      <c r="DM19" s="328"/>
      <c r="DN19" s="328"/>
      <c r="DO19" s="328"/>
      <c r="DP19" s="328"/>
      <c r="DQ19" s="328"/>
      <c r="DR19" s="328"/>
      <c r="DS19" s="328"/>
      <c r="DT19" s="328"/>
      <c r="DU19" s="328"/>
      <c r="DV19" s="328"/>
      <c r="DW19" s="328"/>
      <c r="DX19" s="328"/>
      <c r="DY19" s="328"/>
      <c r="DZ19" s="328"/>
      <c r="EA19" s="328"/>
      <c r="EB19" s="328"/>
      <c r="EC19" s="328"/>
      <c r="ED19" s="328"/>
      <c r="EE19" s="328"/>
      <c r="EF19" s="328"/>
      <c r="EG19" s="328"/>
      <c r="EH19" s="328"/>
      <c r="EI19" s="328"/>
      <c r="EJ19" s="328"/>
      <c r="EK19" s="328"/>
      <c r="EL19" s="328"/>
      <c r="EM19" s="328"/>
      <c r="EN19" s="328"/>
      <c r="EO19" s="328"/>
      <c r="EP19" s="328"/>
      <c r="EQ19" s="328"/>
      <c r="ER19" s="328"/>
      <c r="ES19" s="328"/>
      <c r="ET19" s="328"/>
      <c r="EU19" s="328"/>
      <c r="EV19" s="328"/>
      <c r="EW19" s="328"/>
      <c r="EX19" s="328"/>
      <c r="EY19" s="328"/>
      <c r="EZ19" s="328"/>
      <c r="FA19" s="328"/>
      <c r="FB19" s="328"/>
      <c r="FC19" s="328"/>
      <c r="FD19" s="328"/>
      <c r="FE19" s="328"/>
      <c r="FF19" s="328"/>
      <c r="FG19" s="328"/>
      <c r="FH19" s="328"/>
      <c r="FI19" s="328"/>
      <c r="FJ19" s="328"/>
      <c r="FK19" s="328"/>
      <c r="FL19" s="328"/>
      <c r="FM19" s="328"/>
      <c r="FN19" s="328"/>
      <c r="FO19" s="328"/>
      <c r="FP19" s="328"/>
      <c r="FQ19" s="328"/>
      <c r="FR19" s="328"/>
      <c r="FS19" s="328"/>
      <c r="FT19" s="328"/>
      <c r="FU19" s="328"/>
      <c r="FV19" s="328"/>
      <c r="FW19" s="328"/>
      <c r="FX19" s="328"/>
      <c r="FY19" s="328"/>
      <c r="FZ19" s="328"/>
      <c r="GA19" s="328"/>
      <c r="GB19" s="328"/>
      <c r="GC19" s="328"/>
      <c r="GD19" s="328"/>
      <c r="GE19" s="328"/>
      <c r="GF19" s="328"/>
      <c r="GG19" s="328"/>
      <c r="GH19" s="328"/>
      <c r="GI19" s="328"/>
      <c r="GJ19" s="328"/>
      <c r="GK19" s="328"/>
      <c r="GL19" s="328"/>
      <c r="GM19" s="328"/>
      <c r="GN19" s="328"/>
      <c r="GO19" s="328"/>
      <c r="GP19" s="328"/>
      <c r="GQ19" s="328"/>
      <c r="GR19" s="328"/>
      <c r="GS19" s="328"/>
      <c r="GT19" s="328"/>
      <c r="GU19" s="328"/>
      <c r="GV19" s="328"/>
      <c r="GW19" s="328"/>
      <c r="GX19" s="328"/>
      <c r="GY19" s="328"/>
      <c r="GZ19" s="328"/>
      <c r="HA19" s="328"/>
      <c r="HB19" s="328"/>
      <c r="HC19" s="328"/>
      <c r="HD19" s="328"/>
      <c r="HE19" s="328"/>
      <c r="HF19" s="328"/>
      <c r="HG19" s="328"/>
      <c r="HH19" s="328"/>
      <c r="HI19" s="328"/>
      <c r="HJ19" s="328"/>
      <c r="HK19" s="328"/>
      <c r="HL19" s="328"/>
      <c r="HM19" s="328"/>
      <c r="HN19" s="328"/>
      <c r="HO19" s="328"/>
      <c r="HP19" s="328"/>
      <c r="HQ19" s="328"/>
      <c r="HR19" s="328"/>
      <c r="HS19" s="328"/>
      <c r="HT19" s="328"/>
      <c r="HU19" s="328"/>
      <c r="HV19" s="328"/>
      <c r="HW19" s="328"/>
      <c r="HX19" s="328"/>
      <c r="HY19" s="328"/>
      <c r="HZ19" s="328"/>
      <c r="IA19" s="328"/>
      <c r="IB19" s="328"/>
      <c r="IC19" s="328"/>
      <c r="ID19" s="328"/>
      <c r="IE19" s="328"/>
      <c r="IF19" s="328"/>
      <c r="IG19" s="328"/>
      <c r="IH19" s="328"/>
      <c r="II19" s="328"/>
      <c r="IJ19" s="328"/>
      <c r="IK19" s="328"/>
      <c r="IL19" s="328"/>
      <c r="IM19" s="328"/>
      <c r="IN19" s="328"/>
      <c r="IO19" s="328"/>
      <c r="IP19" s="328"/>
      <c r="IQ19" s="328"/>
      <c r="IR19" s="328"/>
      <c r="IS19" s="328"/>
      <c r="IT19" s="328"/>
      <c r="IU19" s="328"/>
      <c r="IV19" s="328"/>
      <c r="IW19" s="328"/>
      <c r="IX19" s="328"/>
      <c r="IY19" s="328"/>
      <c r="IZ19" s="328"/>
      <c r="JA19" s="328"/>
      <c r="JB19" s="328"/>
      <c r="JC19" s="328"/>
      <c r="JD19" s="328"/>
      <c r="JE19" s="328"/>
      <c r="JF19" s="328"/>
      <c r="JG19" s="328"/>
      <c r="JH19" s="328"/>
      <c r="JI19" s="328"/>
      <c r="JJ19" s="328"/>
      <c r="JK19" s="328"/>
      <c r="JL19" s="328"/>
      <c r="JM19" s="328"/>
      <c r="JN19" s="328"/>
      <c r="JO19" s="328"/>
      <c r="JP19" s="328"/>
      <c r="JQ19" s="328"/>
      <c r="JR19" s="328"/>
      <c r="JS19" s="328"/>
      <c r="JT19" s="328"/>
      <c r="JU19" s="328"/>
    </row>
    <row r="20" spans="1:281" ht="15.4">
      <c r="A20" s="329" t="s">
        <v>577</v>
      </c>
      <c r="B20" s="330"/>
      <c r="C20" s="331"/>
      <c r="D20" s="332" t="str">
        <f>($B$45&amp;"/"&amp;31&amp;"/"&amp;(D16+$D$45))</f>
        <v>3/31/2017</v>
      </c>
      <c r="E20" s="333" t="str">
        <f>$B$46&amp;"/"&amp;31&amp;"/"&amp;(E16+$D$46)</f>
        <v>6/31/2017</v>
      </c>
      <c r="F20" s="333" t="str">
        <f>$B$47&amp;"/"&amp;31&amp;"/"&amp;(F16+$D$47)</f>
        <v>9/31/2017</v>
      </c>
      <c r="G20" s="333" t="str">
        <f>$B$48&amp;"/"&amp;31&amp;"/"&amp;(G16+$D$48)</f>
        <v>12/31/2017</v>
      </c>
      <c r="H20" s="334" t="str">
        <f>G20</f>
        <v>12/31/2017</v>
      </c>
      <c r="I20" s="332" t="str">
        <f>($B$45&amp;"/"&amp;31&amp;"/"&amp;(I16+$D$45))</f>
        <v>3/31/2018</v>
      </c>
      <c r="J20" s="333" t="str">
        <f>$B$46&amp;"/"&amp;31&amp;"/"&amp;(J16+$D$46)</f>
        <v>6/31/2018</v>
      </c>
      <c r="K20" s="333" t="str">
        <f>$B$47&amp;"/"&amp;31&amp;"/"&amp;(K16+$D$47)</f>
        <v>9/31/2018</v>
      </c>
      <c r="L20" s="333" t="str">
        <f>$B$48&amp;"/"&amp;31&amp;"/"&amp;(L16+$D$48)</f>
        <v>12/31/2018</v>
      </c>
      <c r="M20" s="334" t="str">
        <f>L20</f>
        <v>12/31/2018</v>
      </c>
      <c r="N20" s="332" t="str">
        <f>($B$45&amp;"/"&amp;31&amp;"/"&amp;(N16+$D$45))</f>
        <v>3/31/2019</v>
      </c>
      <c r="O20" s="333" t="str">
        <f>$B$46&amp;"/"&amp;31&amp;"/"&amp;(O16+$D$46)</f>
        <v>6/31/2019</v>
      </c>
      <c r="P20" s="333" t="str">
        <f>$B$47&amp;"/"&amp;31&amp;"/"&amp;(P16+$D$47)</f>
        <v>9/31/2019</v>
      </c>
      <c r="Q20" s="333" t="str">
        <f>$B$48&amp;"/"&amp;31&amp;"/"&amp;(Q16+$D$48)</f>
        <v>12/31/2019</v>
      </c>
      <c r="R20" s="334" t="str">
        <f>Q20</f>
        <v>12/31/2019</v>
      </c>
      <c r="S20" s="332" t="str">
        <f>($B$45&amp;"/"&amp;31&amp;"/"&amp;(S16+$D$45))</f>
        <v>3/31/2020</v>
      </c>
      <c r="T20" s="333" t="str">
        <f>$B$46&amp;"/"&amp;31&amp;"/"&amp;(T16+$D$46)</f>
        <v>6/31/2020</v>
      </c>
      <c r="U20" s="333" t="str">
        <f>$B$47&amp;"/"&amp;31&amp;"/"&amp;(U16+$D$47)</f>
        <v>9/31/2020</v>
      </c>
      <c r="V20" s="333" t="str">
        <f>$B$48&amp;"/"&amp;31&amp;"/"&amp;(V16+$D$48)</f>
        <v>12/31/2020</v>
      </c>
      <c r="W20" s="334" t="str">
        <f>V20</f>
        <v>12/31/2020</v>
      </c>
      <c r="X20" s="332" t="str">
        <f>($B$45&amp;"/"&amp;31&amp;"/"&amp;(X16+$D$45))</f>
        <v>3/31/2021</v>
      </c>
      <c r="Y20" s="333" t="str">
        <f>$B$46&amp;"/"&amp;31&amp;"/"&amp;(Y16+$D$46)</f>
        <v>6/31/2021</v>
      </c>
      <c r="Z20" s="333" t="str">
        <f>$B$47&amp;"/"&amp;31&amp;"/"&amp;(Z16+$D$47)</f>
        <v>9/31/2021</v>
      </c>
      <c r="AA20" s="333" t="str">
        <f>$B$48&amp;"/"&amp;31&amp;"/"&amp;(AA16+$D$48)</f>
        <v>12/31/2021</v>
      </c>
      <c r="AB20" s="334" t="str">
        <f>AA20</f>
        <v>12/31/2021</v>
      </c>
      <c r="AC20" s="332" t="str">
        <f>($B$45&amp;"/"&amp;31&amp;"/"&amp;(AC16+$D$45))</f>
        <v>3/31/2022</v>
      </c>
      <c r="AD20" s="333" t="str">
        <f>$B$46&amp;"/"&amp;31&amp;"/"&amp;(AD16+$D$46)</f>
        <v>6/31/2022</v>
      </c>
      <c r="AE20" s="333" t="str">
        <f>$B$47&amp;"/"&amp;31&amp;"/"&amp;(AE16+$D$47)</f>
        <v>9/31/2022</v>
      </c>
      <c r="AF20" s="333" t="str">
        <f>$B$48&amp;"/"&amp;31&amp;"/"&amp;(AF16+$D$48)</f>
        <v>12/31/2022</v>
      </c>
      <c r="AG20" s="334" t="str">
        <f>AF20</f>
        <v>12/31/2022</v>
      </c>
      <c r="AH20" s="332" t="str">
        <f>($B$45&amp;"/"&amp;31&amp;"/"&amp;(AH16+$D$45))</f>
        <v>3/31/2023</v>
      </c>
      <c r="AI20" s="333" t="str">
        <f>$B$46&amp;"/"&amp;31&amp;"/"&amp;(AI16+$D$46)</f>
        <v>6/31/2023</v>
      </c>
      <c r="AJ20" s="333" t="str">
        <f>$B$47&amp;"/"&amp;31&amp;"/"&amp;(AJ16+$D$47)</f>
        <v>9/31/2023</v>
      </c>
      <c r="AK20" s="333" t="str">
        <f>$B$48&amp;"/"&amp;31&amp;"/"&amp;(AK16+$D$48)</f>
        <v>12/31/2023</v>
      </c>
      <c r="AL20" s="334" t="str">
        <f>AK20</f>
        <v>12/31/2023</v>
      </c>
      <c r="AM20" s="332" t="str">
        <f>($B$45&amp;"/"&amp;31&amp;"/"&amp;(AM16+$D$45))</f>
        <v>3/31/2024</v>
      </c>
      <c r="AN20" s="333" t="str">
        <f>$B$46&amp;"/"&amp;31&amp;"/"&amp;(AN16+$D$46)</f>
        <v>6/31/2024</v>
      </c>
      <c r="AO20" s="333" t="str">
        <f>$B$47&amp;"/"&amp;31&amp;"/"&amp;(AO16+$D$47)</f>
        <v>9/31/2024</v>
      </c>
      <c r="AP20" s="333" t="str">
        <f>$B$48&amp;"/"&amp;31&amp;"/"&amp;(AP16+$D$48)</f>
        <v>12/31/2024</v>
      </c>
      <c r="AQ20" s="334" t="str">
        <f>AP20</f>
        <v>12/31/2024</v>
      </c>
      <c r="AR20" s="332" t="str">
        <f>($B$45&amp;"/"&amp;31&amp;"/"&amp;(AR16+$D$45))</f>
        <v>3/31/2025</v>
      </c>
      <c r="AS20" s="333" t="str">
        <f>$B$46&amp;"/"&amp;31&amp;"/"&amp;(AS16+$D$46)</f>
        <v>6/31/2025</v>
      </c>
      <c r="AT20" s="333" t="str">
        <f>$B$47&amp;"/"&amp;31&amp;"/"&amp;(AT16+$D$47)</f>
        <v>9/31/2025</v>
      </c>
      <c r="AU20" s="333" t="str">
        <f>$B$48&amp;"/"&amp;31&amp;"/"&amp;(AU16+$D$48)</f>
        <v>12/31/2025</v>
      </c>
      <c r="AV20" s="334" t="str">
        <f>AU20</f>
        <v>12/31/2025</v>
      </c>
      <c r="AW20" s="332" t="str">
        <f>($B$45&amp;"/"&amp;31&amp;"/"&amp;(AW16+$D$45))</f>
        <v>3/31/2026</v>
      </c>
      <c r="AX20" s="333" t="str">
        <f>$B$46&amp;"/"&amp;31&amp;"/"&amp;(AX16+$D$46)</f>
        <v>6/31/2026</v>
      </c>
      <c r="AY20" s="333" t="str">
        <f>$B$47&amp;"/"&amp;31&amp;"/"&amp;(AY16+$D$47)</f>
        <v>9/31/2026</v>
      </c>
      <c r="AZ20" s="333" t="str">
        <f>$B$48&amp;"/"&amp;31&amp;"/"&amp;(AZ16+$D$48)</f>
        <v>12/31/2026</v>
      </c>
      <c r="BA20" s="334" t="str">
        <f>AZ20</f>
        <v>12/31/2026</v>
      </c>
      <c r="BD20" t="s">
        <v>578</v>
      </c>
    </row>
    <row r="21" spans="1:281" ht="17.649999999999999">
      <c r="A21" s="335" t="s">
        <v>579</v>
      </c>
      <c r="B21" s="336" t="s">
        <v>580</v>
      </c>
      <c r="C21" s="337"/>
      <c r="D21" s="338">
        <f>'Income Statement'!AX23/1000</f>
        <v>199.857</v>
      </c>
      <c r="E21" s="338">
        <f>'Income Statement'!AY23/1000</f>
        <v>209.41800000000001</v>
      </c>
      <c r="F21" s="338">
        <f>'Income Statement'!AZ23/1000</f>
        <v>214.40799999999999</v>
      </c>
      <c r="G21" s="338">
        <f>'Income Statement'!BA23/1000</f>
        <v>218.08600000000001</v>
      </c>
      <c r="H21" s="338">
        <f>'Income Statement'!BB23/1000</f>
        <v>841.76900000000001</v>
      </c>
      <c r="I21" s="338">
        <f>'Income Statement'!BC23/1000</f>
        <v>221.38499999999999</v>
      </c>
      <c r="J21" s="338">
        <f>'Income Statement'!BD23/1000</f>
        <v>237.72200000000001</v>
      </c>
      <c r="K21" s="338">
        <f>'Income Statement'!BE23/1000</f>
        <v>237.56800000000001</v>
      </c>
      <c r="L21" s="338">
        <f>'Income Statement'!BF23/1000</f>
        <v>243.03299999999999</v>
      </c>
      <c r="M21" s="338">
        <f>'Income Statement'!BG23/1000</f>
        <v>939.70799999999997</v>
      </c>
      <c r="N21" s="338">
        <f>'Income Statement'!BH23/1000</f>
        <v>248.76300000000001</v>
      </c>
      <c r="O21" s="338">
        <f>'Income Statement'!BI23/1000</f>
        <v>277.98099999999999</v>
      </c>
      <c r="P21" s="338">
        <f>'Income Statement'!BJ23/1000</f>
        <v>277.18700000000001</v>
      </c>
      <c r="Q21" s="338">
        <f>'Income Statement'!BK23/1000</f>
        <v>287.42500000000001</v>
      </c>
      <c r="R21" s="338">
        <f>'Income Statement'!BL23/1000</f>
        <v>1091.356</v>
      </c>
      <c r="S21" s="338">
        <f>'Income Statement'!BM23/1000</f>
        <v>276.77999999999997</v>
      </c>
      <c r="T21" s="338">
        <f>'Income Statement'!BN23/1000</f>
        <v>271.32900000000001</v>
      </c>
      <c r="U21" s="338">
        <f>'Income Statement'!BO23/1000</f>
        <v>285.93700000000001</v>
      </c>
      <c r="V21" s="338">
        <f>'Income Statement'!BP23/1000</f>
        <v>283.40800000000002</v>
      </c>
      <c r="W21" s="338">
        <f>'Income Statement'!BQ23/1000</f>
        <v>1117.454</v>
      </c>
      <c r="X21" s="338">
        <f>'Income Statement'!BR23/1000</f>
        <v>294.80200000000002</v>
      </c>
      <c r="Y21" s="338">
        <f>'Income Statement'!BS23/1000</f>
        <v>405.363</v>
      </c>
      <c r="Z21" s="338">
        <f>'Income Statement'!BT23/1000</f>
        <v>460.62400000000002</v>
      </c>
      <c r="AA21" s="338">
        <f>'Income Statement'!BU23/1000</f>
        <v>434.17599999999999</v>
      </c>
      <c r="AB21" s="338">
        <f>'Income Statement'!BV23/1000</f>
        <v>1594.9649999999999</v>
      </c>
      <c r="AC21" s="338">
        <f>'Income Statement'!BW23/1000</f>
        <v>456.108</v>
      </c>
      <c r="AD21" s="338">
        <f>'Income Statement'!BX23/1000</f>
        <v>468.685</v>
      </c>
      <c r="AE21" s="338">
        <f>'Income Statement'!BY23/1000</f>
        <v>473.19099999999997</v>
      </c>
      <c r="AF21" s="338">
        <f>'Income Statement'!BZ23/1000</f>
        <v>452.22</v>
      </c>
      <c r="AG21" s="338">
        <f>'Income Statement'!CA23/1000</f>
        <v>1850.204</v>
      </c>
      <c r="AH21" s="338">
        <f>'Income Statement'!CB23/1000</f>
        <v>471.85300000000001</v>
      </c>
      <c r="AI21" s="338">
        <f>'Income Statement'!CC23/1000</f>
        <v>504.279</v>
      </c>
      <c r="AJ21" s="338">
        <f>'Income Statement'!CD23/1000</f>
        <v>494.68400000000003</v>
      </c>
      <c r="AK21" s="338">
        <f>'Income Statement'!CE23/1000</f>
        <v>480.935</v>
      </c>
      <c r="AL21" s="338">
        <f>'Income Statement'!CF23/1000</f>
        <v>1951.751</v>
      </c>
      <c r="AM21" s="338">
        <f>'Income Statement'!CG23/1000</f>
        <v>512.35900000000004</v>
      </c>
      <c r="AN21" s="338">
        <f>'Income Statement'!CH23/1000</f>
        <v>540.976</v>
      </c>
      <c r="AO21" s="338">
        <f>'Income Statement'!CI23/1000</f>
        <v>543.33699999999999</v>
      </c>
      <c r="AP21" s="338">
        <f>'Income Statement'!CJ23/1000</f>
        <v>541.13099999999997</v>
      </c>
      <c r="AQ21" s="338">
        <f>'Income Statement'!CK23/1000</f>
        <v>2137.8029999999999</v>
      </c>
      <c r="AR21" s="338">
        <f>'Income Statement'!CL23/1000</f>
        <v>565.16499999999996</v>
      </c>
      <c r="AS21" s="338">
        <f>'Income Statement'!CM23/1000</f>
        <v>596.11699999999996</v>
      </c>
      <c r="AT21" s="338">
        <f>'Income Statement'!CN23/1000</f>
        <v>595.87900000000002</v>
      </c>
      <c r="AU21" s="338">
        <f>'Income Statement'!CO23/1000</f>
        <v>590.15803399999993</v>
      </c>
      <c r="AV21" s="338">
        <f>'Income Statement'!CP23/1000</f>
        <v>2347.3190340000001</v>
      </c>
      <c r="AW21" s="338">
        <f>'Income Statement'!CQ23/1000</f>
        <v>608.52687000000003</v>
      </c>
      <c r="AX21" s="338">
        <f>'Income Statement'!CR23/1000</f>
        <v>648.95382999999993</v>
      </c>
      <c r="AY21" s="338">
        <f>'Income Statement'!CS23/1000</f>
        <v>637.00414000000001</v>
      </c>
      <c r="AZ21" s="338">
        <f>'Income Statement'!CT23/1000</f>
        <v>637.38900924000006</v>
      </c>
      <c r="BA21" s="338">
        <f>'Income Statement'!CU23/1000</f>
        <v>2531.8738492399998</v>
      </c>
      <c r="BD21" t="s">
        <v>581</v>
      </c>
    </row>
    <row r="22" spans="1:281" ht="17.649999999999999">
      <c r="A22" s="339"/>
      <c r="B22" s="340" t="s">
        <v>564</v>
      </c>
      <c r="C22" s="341"/>
      <c r="D22" s="342" t="e">
        <f ca="1">_xll.BLUEMATRIX2("/servlet/excelData",D21, $C$14,$B21&amp;":"&amp;D$16&amp;D$17&amp;":"&amp;D$19&amp;":"&amp;$B22)</f>
        <v>#NAME?</v>
      </c>
      <c r="E22" s="342" t="e">
        <f ca="1">_xll.BLUEMATRIX2("/servlet/excelData",E21, $C$14,$B21&amp;":"&amp;E$16&amp;E$17&amp;":"&amp;E$19&amp;":"&amp;$B22)</f>
        <v>#NAME?</v>
      </c>
      <c r="F22" s="342" t="e">
        <f ca="1">_xll.BLUEMATRIX2("/servlet/excelData",F21, $C$14,$B21&amp;":"&amp;F$16&amp;F$17&amp;":"&amp;F$19&amp;":"&amp;$B22)</f>
        <v>#NAME?</v>
      </c>
      <c r="G22" s="342" t="e">
        <f ca="1">_xll.BLUEMATRIX2("/servlet/excelData",G21, $C$14,$B21&amp;":"&amp;G$16&amp;G$17&amp;":"&amp;G$19&amp;":"&amp;$B22)</f>
        <v>#NAME?</v>
      </c>
      <c r="H22" s="343" t="e">
        <f ca="1">_xll.BLUEMATRIX2("/servlet/excelData",H21, $C$14,$B21&amp;":"&amp;H$16&amp;H$17&amp;":"&amp;H$19&amp;":"&amp;$B22)</f>
        <v>#NAME?</v>
      </c>
      <c r="I22" s="342" t="e">
        <f ca="1">_xll.BLUEMATRIX2("/servlet/excelData",I21, $C$14,$B21&amp;":"&amp;I$16&amp;I$17&amp;":"&amp;I$19&amp;":"&amp;$B22)</f>
        <v>#NAME?</v>
      </c>
      <c r="J22" s="342" t="e">
        <f ca="1">_xll.BLUEMATRIX2("/servlet/excelData",J21, $C$14,$B21&amp;":"&amp;J$16&amp;J$17&amp;":"&amp;J$19&amp;":"&amp;$B22)</f>
        <v>#NAME?</v>
      </c>
      <c r="K22" s="342" t="e">
        <f ca="1">_xll.BLUEMATRIX2("/servlet/excelData",K21, $C$14,$B21&amp;":"&amp;K$16&amp;K$17&amp;":"&amp;K$19&amp;":"&amp;$B22)</f>
        <v>#NAME?</v>
      </c>
      <c r="L22" s="342" t="e">
        <f ca="1">_xll.BLUEMATRIX2("/servlet/excelData",L21, $C$14,$B21&amp;":"&amp;L$16&amp;L$17&amp;":"&amp;L$19&amp;":"&amp;$B22)</f>
        <v>#NAME?</v>
      </c>
      <c r="M22" s="343" t="e">
        <f ca="1">_xll.BLUEMATRIX2("/servlet/excelData",M21, $C$14,$B21&amp;":"&amp;M$16&amp;M$17&amp;":"&amp;M$19&amp;":"&amp;$B22)</f>
        <v>#NAME?</v>
      </c>
      <c r="N22" s="342" t="e">
        <f ca="1">_xll.BLUEMATRIX2("/servlet/excelData",N21, $C$14,$B21&amp;":"&amp;N$16&amp;N$17&amp;":"&amp;N$19&amp;":"&amp;$B22)</f>
        <v>#NAME?</v>
      </c>
      <c r="O22" s="342" t="e">
        <f ca="1">_xll.BLUEMATRIX2("/servlet/excelData",O21, $C$14,$B21&amp;":"&amp;O$16&amp;O$17&amp;":"&amp;O$19&amp;":"&amp;$B22)</f>
        <v>#NAME?</v>
      </c>
      <c r="P22" s="342" t="e">
        <f ca="1">_xll.BLUEMATRIX2("/servlet/excelData",P21, $C$14,$B21&amp;":"&amp;P$16&amp;P$17&amp;":"&amp;P$19&amp;":"&amp;$B22)</f>
        <v>#NAME?</v>
      </c>
      <c r="Q22" s="342" t="e">
        <f ca="1">_xll.BLUEMATRIX2("/servlet/excelData",Q21, $C$14,$B21&amp;":"&amp;Q$16&amp;Q$17&amp;":"&amp;Q$19&amp;":"&amp;$B22)</f>
        <v>#NAME?</v>
      </c>
      <c r="R22" s="343" t="e">
        <f ca="1">_xll.BLUEMATRIX2("/servlet/excelData",R21, $C$14,$B21&amp;":"&amp;R$16&amp;R$17&amp;":"&amp;R$19&amp;":"&amp;$B22)</f>
        <v>#NAME?</v>
      </c>
      <c r="S22" s="342" t="e">
        <f ca="1">_xll.BLUEMATRIX2("/servlet/excelData",S21, $C$14,$B21&amp;":"&amp;S$16&amp;S$17&amp;":"&amp;S$19&amp;":"&amp;$B22)</f>
        <v>#NAME?</v>
      </c>
      <c r="T22" s="342" t="e">
        <f ca="1">_xll.BLUEMATRIX2("/servlet/excelData",T21, $C$14,$B21&amp;":"&amp;T$16&amp;T$17&amp;":"&amp;T$19&amp;":"&amp;$B22)</f>
        <v>#NAME?</v>
      </c>
      <c r="U22" s="342" t="e">
        <f ca="1">_xll.BLUEMATRIX2("/servlet/excelData",U21, $C$14,$B21&amp;":"&amp;U$16&amp;U$17&amp;":"&amp;U$19&amp;":"&amp;$B22)</f>
        <v>#NAME?</v>
      </c>
      <c r="V22" s="342" t="e">
        <f ca="1">_xll.BLUEMATRIX2("/servlet/excelData",V21, $C$14,$B21&amp;":"&amp;V$16&amp;V$17&amp;":"&amp;V$19&amp;":"&amp;$B22)</f>
        <v>#NAME?</v>
      </c>
      <c r="W22" s="343" t="e">
        <f ca="1">_xll.BLUEMATRIX2("/servlet/excelData",W21, $C$14,$B21&amp;":"&amp;W$16&amp;W$17&amp;":"&amp;W$19&amp;":"&amp;$B22)</f>
        <v>#NAME?</v>
      </c>
      <c r="X22" s="342" t="e">
        <f ca="1">_xll.BLUEMATRIX2("/servlet/excelData",X21, $C$14,$B21&amp;":"&amp;X$16&amp;X$17&amp;":"&amp;X$19&amp;":"&amp;$B22)</f>
        <v>#NAME?</v>
      </c>
      <c r="Y22" s="342" t="e">
        <f ca="1">_xll.BLUEMATRIX2("/servlet/excelData",Y21, $C$14,$B21&amp;":"&amp;Y$16&amp;Y$17&amp;":"&amp;Y$19&amp;":"&amp;$B22)</f>
        <v>#NAME?</v>
      </c>
      <c r="Z22" s="342" t="e">
        <f ca="1">_xll.BLUEMATRIX2("/servlet/excelData",Z21, $C$14,$B21&amp;":"&amp;Z$16&amp;Z$17&amp;":"&amp;Z$19&amp;":"&amp;$B22)</f>
        <v>#NAME?</v>
      </c>
      <c r="AA22" s="342" t="e">
        <f ca="1">_xll.BLUEMATRIX2("/servlet/excelData",AA21, $C$14,$B21&amp;":"&amp;AA$16&amp;AA$17&amp;":"&amp;AA$19&amp;":"&amp;$B22)</f>
        <v>#NAME?</v>
      </c>
      <c r="AB22" s="343" t="e">
        <f ca="1">_xll.BLUEMATRIX2("/servlet/excelData",AB21, $C$14,$B21&amp;":"&amp;AB$16&amp;AB$17&amp;":"&amp;AB$19&amp;":"&amp;$B22)</f>
        <v>#NAME?</v>
      </c>
      <c r="AC22" s="342" t="e">
        <f ca="1">_xll.BLUEMATRIX2("/servlet/excelData",AC21, $C$14,$B21&amp;":"&amp;AC$16&amp;AC$17&amp;":"&amp;AC$19&amp;":"&amp;$B22)</f>
        <v>#NAME?</v>
      </c>
      <c r="AD22" s="342" t="e">
        <f ca="1">_xll.BLUEMATRIX2("/servlet/excelData",AD21, $C$14,$B21&amp;":"&amp;AD$16&amp;AD$17&amp;":"&amp;AD$19&amp;":"&amp;$B22)</f>
        <v>#NAME?</v>
      </c>
      <c r="AE22" s="342" t="e">
        <f ca="1">_xll.BLUEMATRIX2("/servlet/excelData",AE21, $C$14,$B21&amp;":"&amp;AE$16&amp;AE$17&amp;":"&amp;AE$19&amp;":"&amp;$B22)</f>
        <v>#NAME?</v>
      </c>
      <c r="AF22" s="342" t="e">
        <f ca="1">_xll.BLUEMATRIX2("/servlet/excelData",AF21, $C$14,$B21&amp;":"&amp;AF$16&amp;AF$17&amp;":"&amp;AF$19&amp;":"&amp;$B22)</f>
        <v>#NAME?</v>
      </c>
      <c r="AG22" s="343" t="e">
        <f ca="1">_xll.BLUEMATRIX2("/servlet/excelData",AG21, $C$14,$B21&amp;":"&amp;AG$16&amp;AG$17&amp;":"&amp;AG$19&amp;":"&amp;$B22)</f>
        <v>#NAME?</v>
      </c>
      <c r="AH22" s="342" t="e">
        <f ca="1">_xll.BLUEMATRIX2("/servlet/excelData",AH21, $C$14,$B21&amp;":"&amp;AH$16&amp;AH$17&amp;":"&amp;AH$19&amp;":"&amp;$B22)</f>
        <v>#NAME?</v>
      </c>
      <c r="AI22" s="342" t="e">
        <f ca="1">_xll.BLUEMATRIX2("/servlet/excelData",AI21, $C$14,$B21&amp;":"&amp;AI$16&amp;AI$17&amp;":"&amp;AI$19&amp;":"&amp;$B22)</f>
        <v>#NAME?</v>
      </c>
      <c r="AJ22" s="342" t="e">
        <f ca="1">_xll.BLUEMATRIX2("/servlet/excelData",AJ21, $C$14,$B21&amp;":"&amp;AJ$16&amp;AJ$17&amp;":"&amp;AJ$19&amp;":"&amp;$B22)</f>
        <v>#NAME?</v>
      </c>
      <c r="AK22" s="342" t="e">
        <f ca="1">_xll.BLUEMATRIX2("/servlet/excelData",AK21, $C$14,$B21&amp;":"&amp;AK$16&amp;AK$17&amp;":"&amp;AK$19&amp;":"&amp;$B22)</f>
        <v>#NAME?</v>
      </c>
      <c r="AL22" s="343" t="e">
        <f ca="1">_xll.BLUEMATRIX2("/servlet/excelData",AL21, $C$14,$B21&amp;":"&amp;AL$16&amp;AL$17&amp;":"&amp;AL$19&amp;":"&amp;$B22)</f>
        <v>#NAME?</v>
      </c>
      <c r="AM22" s="342" t="e">
        <f ca="1">_xll.BLUEMATRIX2("/servlet/excelData",AM21, $C$14,$B21&amp;":"&amp;AM$16&amp;AM$17&amp;":"&amp;AM$19&amp;":"&amp;$B22)</f>
        <v>#NAME?</v>
      </c>
      <c r="AN22" s="342" t="e">
        <f ca="1">_xll.BLUEMATRIX2("/servlet/excelData",AN21, $C$14,$B21&amp;":"&amp;AN$16&amp;AN$17&amp;":"&amp;AN$19&amp;":"&amp;$B22)</f>
        <v>#NAME?</v>
      </c>
      <c r="AO22" s="342" t="e">
        <f ca="1">_xll.BLUEMATRIX2("/servlet/excelData",AO21, $C$14,$B21&amp;":"&amp;AO$16&amp;AO$17&amp;":"&amp;AO$19&amp;":"&amp;$B22)</f>
        <v>#NAME?</v>
      </c>
      <c r="AP22" s="342" t="e">
        <f ca="1">_xll.BLUEMATRIX2("/servlet/excelData",AP21, $C$14,$B21&amp;":"&amp;AP$16&amp;AP$17&amp;":"&amp;AP$19&amp;":"&amp;$B22)</f>
        <v>#NAME?</v>
      </c>
      <c r="AQ22" s="343" t="e">
        <f ca="1">_xll.BLUEMATRIX2("/servlet/excelData",AQ21, $C$14,$B21&amp;":"&amp;AQ$16&amp;AQ$17&amp;":"&amp;AQ$19&amp;":"&amp;$B22)</f>
        <v>#NAME?</v>
      </c>
      <c r="AR22" s="342" t="e">
        <f ca="1">_xll.BLUEMATRIX2("/servlet/excelData",AR21, $C$14,$B21&amp;":"&amp;AR$16&amp;AR$17&amp;":"&amp;AR$19&amp;":"&amp;$B22)</f>
        <v>#NAME?</v>
      </c>
      <c r="AS22" s="342" t="e">
        <f ca="1">_xll.BLUEMATRIX2("/servlet/excelData",AS21, $C$14,$B21&amp;":"&amp;AS$16&amp;AS$17&amp;":"&amp;AS$19&amp;":"&amp;$B22)</f>
        <v>#NAME?</v>
      </c>
      <c r="AT22" s="342" t="e">
        <f ca="1">_xll.BLUEMATRIX2("/servlet/excelData",AT21, $C$14,$B21&amp;":"&amp;AT$16&amp;AT$17&amp;":"&amp;AT$19&amp;":"&amp;$B22)</f>
        <v>#NAME?</v>
      </c>
      <c r="AU22" s="342" t="e">
        <f ca="1">_xll.BLUEMATRIX2("/servlet/excelData",AU21, $C$14,$B21&amp;":"&amp;AU$16&amp;AU$17&amp;":"&amp;AU$19&amp;":"&amp;$B22)</f>
        <v>#NAME?</v>
      </c>
      <c r="AV22" s="343" t="e">
        <f ca="1">_xll.BLUEMATRIX2("/servlet/excelData",AV21, $C$14,$B21&amp;":"&amp;AV$16&amp;AV$17&amp;":"&amp;AV$19&amp;":"&amp;$B22)</f>
        <v>#NAME?</v>
      </c>
      <c r="AW22" s="342" t="e">
        <f ca="1">_xll.BLUEMATRIX2("/servlet/excelData",AW21, $C$14,$B21&amp;":"&amp;AW$16&amp;AW$17&amp;":"&amp;AW$19&amp;":"&amp;$B22)</f>
        <v>#NAME?</v>
      </c>
      <c r="AX22" s="342" t="e">
        <f ca="1">_xll.BLUEMATRIX2("/servlet/excelData",AX21, $C$14,$B21&amp;":"&amp;AX$16&amp;AX$17&amp;":"&amp;AX$19&amp;":"&amp;$B22)</f>
        <v>#NAME?</v>
      </c>
      <c r="AY22" s="342" t="e">
        <f ca="1">_xll.BLUEMATRIX2("/servlet/excelData",AY21, $C$14,$B21&amp;":"&amp;AY$16&amp;AY$17&amp;":"&amp;AY$19&amp;":"&amp;$B22)</f>
        <v>#NAME?</v>
      </c>
      <c r="AZ22" s="342" t="e">
        <f ca="1">_xll.BLUEMATRIX2("/servlet/excelData",AZ21, $C$14,$B21&amp;":"&amp;AZ$16&amp;AZ$17&amp;":"&amp;AZ$19&amp;":"&amp;$B22)</f>
        <v>#NAME?</v>
      </c>
      <c r="BA22" s="343" t="e">
        <f ca="1">_xll.BLUEMATRIX2("/servlet/excelData",BA21, $C$14,$B21&amp;":"&amp;BA$16&amp;BA$17&amp;":"&amp;BA$19&amp;":"&amp;$B22)</f>
        <v>#NAME?</v>
      </c>
      <c r="BB22" s="344"/>
      <c r="BC22" s="344"/>
      <c r="BD22" t="s">
        <v>582</v>
      </c>
      <c r="BE22" s="344"/>
      <c r="BF22" s="344"/>
      <c r="BG22" s="344"/>
      <c r="BH22" s="344"/>
      <c r="BI22" s="344"/>
      <c r="BJ22" s="344"/>
      <c r="BK22" s="344"/>
      <c r="BL22" s="344"/>
      <c r="BM22" s="344"/>
      <c r="BN22" s="344"/>
      <c r="BO22" s="344"/>
      <c r="BP22" s="344"/>
      <c r="BQ22" s="344"/>
      <c r="BR22" s="344"/>
      <c r="BS22" s="344"/>
      <c r="BT22" s="344"/>
      <c r="BU22" s="344"/>
      <c r="BV22" s="344"/>
      <c r="BW22" s="344"/>
      <c r="BX22" s="344"/>
      <c r="BY22" s="344"/>
      <c r="BZ22" s="344"/>
      <c r="CA22" s="344"/>
      <c r="CB22" s="344"/>
      <c r="CC22" s="344"/>
      <c r="CD22" s="344"/>
      <c r="CE22" s="344"/>
      <c r="CF22" s="344"/>
      <c r="CG22" s="344"/>
      <c r="CH22" s="344"/>
      <c r="CI22" s="344"/>
      <c r="CJ22" s="344"/>
      <c r="CK22" s="344"/>
      <c r="CL22" s="344"/>
      <c r="CM22" s="344"/>
      <c r="CN22" s="344"/>
      <c r="CO22" s="344"/>
      <c r="CP22" s="344"/>
      <c r="CQ22" s="344"/>
      <c r="CR22" s="344"/>
      <c r="CS22" s="344"/>
      <c r="CT22" s="344"/>
      <c r="CU22" s="344"/>
      <c r="CV22" s="344"/>
      <c r="CW22" s="344"/>
      <c r="CX22" s="344"/>
      <c r="CY22" s="344"/>
      <c r="CZ22" s="344"/>
      <c r="DA22" s="344"/>
      <c r="DB22" s="344"/>
      <c r="DC22" s="344"/>
      <c r="DD22" s="344"/>
      <c r="DE22" s="344"/>
      <c r="DF22" s="344"/>
      <c r="DG22" s="344"/>
      <c r="DH22" s="344"/>
      <c r="DI22" s="344"/>
      <c r="DJ22" s="344"/>
      <c r="DK22" s="344"/>
      <c r="DL22" s="344"/>
      <c r="DM22" s="344"/>
      <c r="DN22" s="344"/>
      <c r="DO22" s="344"/>
      <c r="DP22" s="344"/>
      <c r="DQ22" s="344"/>
      <c r="DR22" s="344"/>
      <c r="DS22" s="344"/>
      <c r="DT22" s="344"/>
      <c r="DU22" s="344"/>
      <c r="DV22" s="344"/>
      <c r="DW22" s="344"/>
      <c r="DX22" s="344"/>
      <c r="DY22" s="344"/>
      <c r="DZ22" s="344"/>
      <c r="EA22" s="344"/>
      <c r="EB22" s="344"/>
      <c r="EC22" s="344"/>
      <c r="ED22" s="344"/>
      <c r="EE22" s="344"/>
      <c r="EF22" s="344"/>
      <c r="EG22" s="344"/>
      <c r="EH22" s="344"/>
      <c r="EI22" s="344"/>
      <c r="EJ22" s="344"/>
      <c r="EK22" s="344"/>
      <c r="EL22" s="344"/>
      <c r="EM22" s="344"/>
      <c r="EN22" s="344"/>
      <c r="EO22" s="344"/>
      <c r="EP22" s="344"/>
      <c r="EQ22" s="344"/>
      <c r="ER22" s="344"/>
      <c r="ES22" s="344"/>
      <c r="ET22" s="344"/>
      <c r="EU22" s="344"/>
      <c r="EV22" s="344"/>
      <c r="EW22" s="344"/>
      <c r="EX22" s="344"/>
      <c r="EY22" s="344"/>
      <c r="EZ22" s="344"/>
      <c r="FA22" s="344"/>
      <c r="FB22" s="344"/>
      <c r="FC22" s="344"/>
      <c r="FD22" s="344"/>
      <c r="FE22" s="344"/>
      <c r="FF22" s="344"/>
      <c r="FG22" s="344"/>
      <c r="FH22" s="344"/>
      <c r="FI22" s="344"/>
      <c r="FJ22" s="344"/>
      <c r="FK22" s="344"/>
      <c r="FL22" s="344"/>
      <c r="FM22" s="344"/>
      <c r="FN22" s="344"/>
      <c r="FO22" s="344"/>
      <c r="FP22" s="344"/>
      <c r="FQ22" s="344"/>
      <c r="FR22" s="344"/>
      <c r="FS22" s="344"/>
      <c r="FT22" s="344"/>
      <c r="FU22" s="344"/>
      <c r="FV22" s="344"/>
      <c r="FW22" s="344"/>
      <c r="FX22" s="344"/>
      <c r="FY22" s="344"/>
      <c r="FZ22" s="344"/>
      <c r="GA22" s="344"/>
      <c r="GB22" s="344"/>
      <c r="GC22" s="344"/>
      <c r="GD22" s="344"/>
      <c r="GE22" s="344"/>
      <c r="GF22" s="344"/>
      <c r="GG22" s="344"/>
      <c r="GH22" s="344"/>
      <c r="GI22" s="344"/>
      <c r="GJ22" s="344"/>
      <c r="GK22" s="344"/>
      <c r="GL22" s="344"/>
      <c r="GM22" s="344"/>
      <c r="GN22" s="344"/>
      <c r="GO22" s="344"/>
      <c r="GP22" s="344"/>
      <c r="GQ22" s="344"/>
      <c r="GR22" s="344"/>
      <c r="GS22" s="344"/>
      <c r="GT22" s="344"/>
      <c r="GU22" s="344"/>
      <c r="GV22" s="344"/>
      <c r="GW22" s="344"/>
      <c r="GX22" s="344"/>
      <c r="GY22" s="344"/>
      <c r="GZ22" s="344"/>
      <c r="HA22" s="344"/>
      <c r="HB22" s="344"/>
      <c r="HC22" s="344"/>
      <c r="HD22" s="344"/>
      <c r="HE22" s="344"/>
      <c r="HF22" s="344"/>
      <c r="HG22" s="344"/>
      <c r="HH22" s="344"/>
      <c r="HI22" s="344"/>
      <c r="HJ22" s="344"/>
      <c r="HK22" s="344"/>
      <c r="HL22" s="344"/>
      <c r="HM22" s="344"/>
      <c r="HN22" s="344"/>
      <c r="HO22" s="344"/>
      <c r="HP22" s="344"/>
      <c r="HQ22" s="344"/>
      <c r="HR22" s="344"/>
      <c r="HS22" s="344"/>
      <c r="HT22" s="344"/>
      <c r="HU22" s="344"/>
      <c r="HV22" s="344"/>
      <c r="HW22" s="344"/>
      <c r="HX22" s="344"/>
      <c r="HY22" s="344"/>
      <c r="HZ22" s="344"/>
      <c r="IA22" s="344"/>
      <c r="IB22" s="344"/>
      <c r="IC22" s="344"/>
      <c r="ID22" s="344"/>
      <c r="IE22" s="344"/>
      <c r="IF22" s="344"/>
      <c r="IG22" s="344"/>
      <c r="IH22" s="344"/>
      <c r="II22" s="344"/>
      <c r="IJ22" s="344"/>
      <c r="IK22" s="344"/>
      <c r="IL22" s="344"/>
      <c r="IM22" s="344"/>
      <c r="IN22" s="344"/>
      <c r="IO22" s="344"/>
      <c r="IP22" s="344"/>
      <c r="IQ22" s="344"/>
      <c r="IR22" s="344"/>
      <c r="IS22" s="344"/>
      <c r="IT22" s="344"/>
      <c r="IU22" s="344"/>
      <c r="IV22" s="344"/>
      <c r="IW22" s="344"/>
      <c r="IX22" s="344"/>
      <c r="IY22" s="344"/>
      <c r="IZ22" s="344"/>
      <c r="JA22" s="344"/>
      <c r="JB22" s="344"/>
      <c r="JC22" s="344"/>
      <c r="JD22" s="344"/>
      <c r="JE22" s="344"/>
      <c r="JF22" s="344"/>
      <c r="JG22" s="344"/>
      <c r="JH22" s="344"/>
      <c r="JI22" s="344"/>
      <c r="JJ22" s="344"/>
      <c r="JK22" s="344"/>
      <c r="JL22" s="344"/>
      <c r="JM22" s="344"/>
      <c r="JN22" s="344"/>
      <c r="JO22" s="344"/>
      <c r="JP22" s="344"/>
      <c r="JQ22" s="344"/>
      <c r="JR22" s="344"/>
      <c r="JS22" s="344"/>
      <c r="JT22" s="344"/>
      <c r="JU22" s="344"/>
    </row>
    <row r="23" spans="1:281" ht="17.649999999999999">
      <c r="A23" s="345" t="s">
        <v>127</v>
      </c>
      <c r="B23" s="346" t="s">
        <v>127</v>
      </c>
      <c r="C23" s="347"/>
      <c r="D23" s="348">
        <f>'Income Statement'!AX90</f>
        <v>0.89795027226959823</v>
      </c>
      <c r="E23" s="348">
        <f>'Income Statement'!AY90</f>
        <v>0.906941149460473</v>
      </c>
      <c r="F23" s="348">
        <f>'Income Statement'!AZ90</f>
        <v>1.050022876315388</v>
      </c>
      <c r="G23" s="348">
        <f>'Income Statement'!BA90</f>
        <v>1.0654953289956708</v>
      </c>
      <c r="H23" s="348">
        <f>'Income Statement'!BB90</f>
        <v>3.9218724119917949</v>
      </c>
      <c r="I23" s="348">
        <f>'Income Statement'!BC90</f>
        <v>1.1298574154031529</v>
      </c>
      <c r="J23" s="348">
        <f>'Income Statement'!BD90</f>
        <v>1.1839946300715991</v>
      </c>
      <c r="K23" s="348">
        <f>'Income Statement'!BE90</f>
        <v>1.2258438610343467</v>
      </c>
      <c r="L23" s="348">
        <f>'Income Statement'!BF90</f>
        <v>1.2646962974104434</v>
      </c>
      <c r="M23" s="348">
        <f>'Income Statement'!BG90</f>
        <v>4.8047408072084199</v>
      </c>
      <c r="N23" s="348">
        <f>'Income Statement'!BH90</f>
        <v>1.2199065302513579</v>
      </c>
      <c r="O23" s="348">
        <f>'Income Statement'!BI90</f>
        <v>1.3009318564288046</v>
      </c>
      <c r="P23" s="348">
        <f>'Income Statement'!BJ90</f>
        <v>1.3485352532274082</v>
      </c>
      <c r="Q23" s="348">
        <f>'Income Statement'!BK90</f>
        <v>1.4300639134709932</v>
      </c>
      <c r="R23" s="348">
        <f>'Income Statement'!BL90</f>
        <v>5.3025854650220134</v>
      </c>
      <c r="S23" s="348">
        <f>'Income Statement'!BM90</f>
        <v>1.2339101691619678</v>
      </c>
      <c r="T23" s="348">
        <f>'Income Statement'!BN90</f>
        <v>1.3598126327989184</v>
      </c>
      <c r="U23" s="348">
        <f>'Income Statement'!BO90</f>
        <v>1.4805316540883526</v>
      </c>
      <c r="V23" s="348">
        <f>'Income Statement'!BP90</f>
        <v>1.3616326916710022</v>
      </c>
      <c r="W23" s="348">
        <f>'Income Statement'!BQ90</f>
        <v>5.4373152620575302</v>
      </c>
      <c r="X23" s="348">
        <f>'Income Statement'!BR90</f>
        <v>1.4272160928286095</v>
      </c>
      <c r="Y23" s="348">
        <f>'Income Statement'!BS90</f>
        <v>1.8346082577089371</v>
      </c>
      <c r="Z23" s="348">
        <f>'Income Statement'!BT90</f>
        <v>2.0095776379889325</v>
      </c>
      <c r="AA23" s="348">
        <f>'Income Statement'!BU90</f>
        <v>1.7468732367876623</v>
      </c>
      <c r="AB23" s="348">
        <f>'Income Statement'!BV90</f>
        <v>7.0196482257415429</v>
      </c>
      <c r="AC23" s="348">
        <f>'Income Statement'!BW90</f>
        <v>1.9049784416747166</v>
      </c>
      <c r="AD23" s="348">
        <f>'Income Statement'!BX90</f>
        <v>1.8784291486496065</v>
      </c>
      <c r="AE23" s="348">
        <f>'Income Statement'!BY90</f>
        <v>2.0609333364774685</v>
      </c>
      <c r="AF23" s="348">
        <f>'Income Statement'!BZ90</f>
        <v>1.6586671067210448</v>
      </c>
      <c r="AG23" s="348">
        <f>'Income Statement'!CA90</f>
        <v>7.5029659767674977</v>
      </c>
      <c r="AH23" s="348">
        <f>'Income Statement'!CB90</f>
        <v>1.7581753164259164</v>
      </c>
      <c r="AI23" s="348">
        <f>'Income Statement'!CC90</f>
        <v>2.0100114617201936</v>
      </c>
      <c r="AJ23" s="348">
        <f>'Income Statement'!CD90</f>
        <v>2.1391890945589505</v>
      </c>
      <c r="AK23" s="348">
        <f>'Income Statement'!CE90</f>
        <v>1.890128017471713</v>
      </c>
      <c r="AL23" s="348">
        <f>'Income Statement'!CF90</f>
        <v>7.7985964625246149</v>
      </c>
      <c r="AM23" s="348">
        <f>'Income Statement'!CG90</f>
        <v>2.1964501160092809</v>
      </c>
      <c r="AN23" s="348">
        <f>'Income Statement'!CH90</f>
        <v>2.4008087810514152</v>
      </c>
      <c r="AO23" s="348">
        <f>'Income Statement'!CI90</f>
        <v>2.5177141026227856</v>
      </c>
      <c r="AP23" s="348">
        <f>'Income Statement'!CJ90</f>
        <v>2.4308844962652576</v>
      </c>
      <c r="AQ23" s="348">
        <f>'Income Statement'!CK90</f>
        <v>9.5485369092027295</v>
      </c>
      <c r="AR23" s="348">
        <f>'Income Statement'!CL90</f>
        <v>2.7778258198120294</v>
      </c>
      <c r="AS23" s="348">
        <f>'Income Statement'!CM90</f>
        <v>2.9117667144710784</v>
      </c>
      <c r="AT23" s="348">
        <f>'Income Statement'!CN90</f>
        <v>2.974334991102797</v>
      </c>
      <c r="AU23" s="348">
        <f>'Income Statement'!CO90</f>
        <v>2.9873466228785337</v>
      </c>
      <c r="AV23" s="348">
        <f>'Income Statement'!CP90</f>
        <v>11.650441006796044</v>
      </c>
      <c r="AW23" s="348">
        <f>'Income Statement'!CQ90</f>
        <v>2.9956733281100378</v>
      </c>
      <c r="AX23" s="348">
        <f>'Income Statement'!CR90</f>
        <v>3.1993817039733252</v>
      </c>
      <c r="AY23" s="348">
        <f>'Income Statement'!CS90</f>
        <v>3.146525208870552</v>
      </c>
      <c r="AZ23" s="348">
        <f>'Income Statement'!CT90</f>
        <v>3.1883280279793316</v>
      </c>
      <c r="BA23" s="348">
        <f>'Income Statement'!CU90</f>
        <v>12.530504139099323</v>
      </c>
      <c r="BD23" t="s">
        <v>583</v>
      </c>
    </row>
    <row r="24" spans="1:281" ht="17.649999999999999">
      <c r="A24" s="349"/>
      <c r="B24" s="350" t="s">
        <v>581</v>
      </c>
      <c r="C24" s="351"/>
      <c r="D24" s="352" t="e">
        <f ca="1">_xll.BLUEMATRIX2("/servlet/excelData",D23, $C$14,$B23&amp;":"&amp;D$16&amp;D$17&amp;":"&amp;D$19&amp;":"&amp;$B24)</f>
        <v>#NAME?</v>
      </c>
      <c r="E24" s="353" t="e">
        <f ca="1">_xll.BLUEMATRIX2("/servlet/excelData",E23, $C$14,$B23&amp;":"&amp;E$16&amp;E$17&amp;":"&amp;E$19&amp;":"&amp;$B24)</f>
        <v>#NAME?</v>
      </c>
      <c r="F24" s="353" t="e">
        <f ca="1">_xll.BLUEMATRIX2("/servlet/excelData",F23, $C$14,$B23&amp;":"&amp;F$16&amp;F$17&amp;":"&amp;F$19&amp;":"&amp;$B24)</f>
        <v>#NAME?</v>
      </c>
      <c r="G24" s="353" t="e">
        <f ca="1">_xll.BLUEMATRIX2("/servlet/excelData",G23, $C$14,$B23&amp;":"&amp;G$16&amp;G$17&amp;":"&amp;G$19&amp;":"&amp;$B24)</f>
        <v>#NAME?</v>
      </c>
      <c r="H24" s="301" t="e">
        <f ca="1">_xll.BLUEMATRIX2("/servlet/excelData",H23, $C$14,$B23&amp;":"&amp;H$16&amp;H$17&amp;":"&amp;H$19&amp;":"&amp;$B24)</f>
        <v>#NAME?</v>
      </c>
      <c r="I24" s="353" t="e">
        <f ca="1">_xll.BLUEMATRIX2("/servlet/excelData",I23, $C$14,$B23&amp;":"&amp;I$16&amp;I$17&amp;":"&amp;I$19&amp;":"&amp;$B24)</f>
        <v>#NAME?</v>
      </c>
      <c r="J24" s="353" t="e">
        <f ca="1">_xll.BLUEMATRIX2("/servlet/excelData",J23, $C$14,$B23&amp;":"&amp;J$16&amp;J$17&amp;":"&amp;J$19&amp;":"&amp;$B24)</f>
        <v>#NAME?</v>
      </c>
      <c r="K24" s="353" t="e">
        <f ca="1">_xll.BLUEMATRIX2("/servlet/excelData",K23, $C$14,$B23&amp;":"&amp;K$16&amp;K$17&amp;":"&amp;K$19&amp;":"&amp;$B24)</f>
        <v>#NAME?</v>
      </c>
      <c r="L24" s="353" t="e">
        <f ca="1">_xll.BLUEMATRIX2("/servlet/excelData",L23, $C$14,$B23&amp;":"&amp;L$16&amp;L$17&amp;":"&amp;L$19&amp;":"&amp;$B24)</f>
        <v>#NAME?</v>
      </c>
      <c r="M24" s="301" t="e">
        <f ca="1">_xll.BLUEMATRIX2("/servlet/excelData",M23, $C$14,$B23&amp;":"&amp;M$16&amp;M$17&amp;":"&amp;M$19&amp;":"&amp;$B24)</f>
        <v>#NAME?</v>
      </c>
      <c r="N24" s="353" t="e">
        <f ca="1">_xll.BLUEMATRIX2("/servlet/excelData",N23, $C$14,$B23&amp;":"&amp;N$16&amp;N$17&amp;":"&amp;N$19&amp;":"&amp;$B24)</f>
        <v>#NAME?</v>
      </c>
      <c r="O24" s="353" t="e">
        <f ca="1">_xll.BLUEMATRIX2("/servlet/excelData",O23, $C$14,$B23&amp;":"&amp;O$16&amp;O$17&amp;":"&amp;O$19&amp;":"&amp;$B24)</f>
        <v>#NAME?</v>
      </c>
      <c r="P24" s="353" t="e">
        <f ca="1">_xll.BLUEMATRIX2("/servlet/excelData",P23, $C$14,$B23&amp;":"&amp;P$16&amp;P$17&amp;":"&amp;P$19&amp;":"&amp;$B24)</f>
        <v>#NAME?</v>
      </c>
      <c r="Q24" s="353" t="e">
        <f ca="1">_xll.BLUEMATRIX2("/servlet/excelData",Q23, $C$14,$B23&amp;":"&amp;Q$16&amp;Q$17&amp;":"&amp;Q$19&amp;":"&amp;$B24)</f>
        <v>#NAME?</v>
      </c>
      <c r="R24" s="301" t="e">
        <f ca="1">_xll.BLUEMATRIX2("/servlet/excelData",R23, $C$14,$B23&amp;":"&amp;R$16&amp;R$17&amp;":"&amp;R$19&amp;":"&amp;$B24)</f>
        <v>#NAME?</v>
      </c>
      <c r="S24" s="353" t="e">
        <f ca="1">_xll.BLUEMATRIX2("/servlet/excelData",S23, $C$14,$B23&amp;":"&amp;S$16&amp;S$17&amp;":"&amp;S$19&amp;":"&amp;$B24)</f>
        <v>#NAME?</v>
      </c>
      <c r="T24" s="353" t="e">
        <f ca="1">_xll.BLUEMATRIX2("/servlet/excelData",T23, $C$14,$B23&amp;":"&amp;T$16&amp;T$17&amp;":"&amp;T$19&amp;":"&amp;$B24)</f>
        <v>#NAME?</v>
      </c>
      <c r="U24" s="353" t="e">
        <f ca="1">_xll.BLUEMATRIX2("/servlet/excelData",U23, $C$14,$B23&amp;":"&amp;U$16&amp;U$17&amp;":"&amp;U$19&amp;":"&amp;$B24)</f>
        <v>#NAME?</v>
      </c>
      <c r="V24" s="353" t="e">
        <f ca="1">_xll.BLUEMATRIX2("/servlet/excelData",V23, $C$14,$B23&amp;":"&amp;V$16&amp;V$17&amp;":"&amp;V$19&amp;":"&amp;$B24)</f>
        <v>#NAME?</v>
      </c>
      <c r="W24" s="301" t="e">
        <f ca="1">_xll.BLUEMATRIX2("/servlet/excelData",W23, $C$14,$B23&amp;":"&amp;W$16&amp;W$17&amp;":"&amp;W$19&amp;":"&amp;$B24)</f>
        <v>#NAME?</v>
      </c>
      <c r="X24" s="353" t="e">
        <f ca="1">_xll.BLUEMATRIX2("/servlet/excelData",X23, $C$14,$B23&amp;":"&amp;X$16&amp;X$17&amp;":"&amp;X$19&amp;":"&amp;$B24)</f>
        <v>#NAME?</v>
      </c>
      <c r="Y24" s="353" t="e">
        <f ca="1">_xll.BLUEMATRIX2("/servlet/excelData",Y23, $C$14,$B23&amp;":"&amp;Y$16&amp;Y$17&amp;":"&amp;Y$19&amp;":"&amp;$B24)</f>
        <v>#NAME?</v>
      </c>
      <c r="Z24" s="353" t="e">
        <f ca="1">_xll.BLUEMATRIX2("/servlet/excelData",Z23, $C$14,$B23&amp;":"&amp;Z$16&amp;Z$17&amp;":"&amp;Z$19&amp;":"&amp;$B24)</f>
        <v>#NAME?</v>
      </c>
      <c r="AA24" s="353" t="e">
        <f ca="1">_xll.BLUEMATRIX2("/servlet/excelData",AA23, $C$14,$B23&amp;":"&amp;AA$16&amp;AA$17&amp;":"&amp;AA$19&amp;":"&amp;$B24)</f>
        <v>#NAME?</v>
      </c>
      <c r="AB24" s="301" t="e">
        <f ca="1">_xll.BLUEMATRIX2("/servlet/excelData",AB23, $C$14,$B23&amp;":"&amp;AB$16&amp;AB$17&amp;":"&amp;AB$19&amp;":"&amp;$B24)</f>
        <v>#NAME?</v>
      </c>
      <c r="AC24" s="353" t="e">
        <f ca="1">_xll.BLUEMATRIX2("/servlet/excelData",AC23, $C$14,$B23&amp;":"&amp;AC$16&amp;AC$17&amp;":"&amp;AC$19&amp;":"&amp;$B24)</f>
        <v>#NAME?</v>
      </c>
      <c r="AD24" s="353" t="e">
        <f ca="1">_xll.BLUEMATRIX2("/servlet/excelData",AD23, $C$14,$B23&amp;":"&amp;AD$16&amp;AD$17&amp;":"&amp;AD$19&amp;":"&amp;$B24)</f>
        <v>#NAME?</v>
      </c>
      <c r="AE24" s="353" t="e">
        <f ca="1">_xll.BLUEMATRIX2("/servlet/excelData",AE23, $C$14,$B23&amp;":"&amp;AE$16&amp;AE$17&amp;":"&amp;AE$19&amp;":"&amp;$B24)</f>
        <v>#NAME?</v>
      </c>
      <c r="AF24" s="353" t="e">
        <f ca="1">_xll.BLUEMATRIX2("/servlet/excelData",AF23, $C$14,$B23&amp;":"&amp;AF$16&amp;AF$17&amp;":"&amp;AF$19&amp;":"&amp;$B24)</f>
        <v>#NAME?</v>
      </c>
      <c r="AG24" s="301" t="e">
        <f ca="1">_xll.BLUEMATRIX2("/servlet/excelData",AG23, $C$14,$B23&amp;":"&amp;AG$16&amp;AG$17&amp;":"&amp;AG$19&amp;":"&amp;$B24)</f>
        <v>#NAME?</v>
      </c>
      <c r="AH24" s="353" t="e">
        <f ca="1">_xll.BLUEMATRIX2("/servlet/excelData",AH23, $C$14,$B23&amp;":"&amp;AH$16&amp;AH$17&amp;":"&amp;AH$19&amp;":"&amp;$B24)</f>
        <v>#NAME?</v>
      </c>
      <c r="AI24" s="353" t="e">
        <f ca="1">_xll.BLUEMATRIX2("/servlet/excelData",AI23, $C$14,$B23&amp;":"&amp;AI$16&amp;AI$17&amp;":"&amp;AI$19&amp;":"&amp;$B24)</f>
        <v>#NAME?</v>
      </c>
      <c r="AJ24" s="353" t="e">
        <f ca="1">_xll.BLUEMATRIX2("/servlet/excelData",AJ23, $C$14,$B23&amp;":"&amp;AJ$16&amp;AJ$17&amp;":"&amp;AJ$19&amp;":"&amp;$B24)</f>
        <v>#NAME?</v>
      </c>
      <c r="AK24" s="353" t="e">
        <f ca="1">_xll.BLUEMATRIX2("/servlet/excelData",AK23, $C$14,$B23&amp;":"&amp;AK$16&amp;AK$17&amp;":"&amp;AK$19&amp;":"&amp;$B24)</f>
        <v>#NAME?</v>
      </c>
      <c r="AL24" s="301" t="e">
        <f ca="1">_xll.BLUEMATRIX2("/servlet/excelData",AL23, $C$14,$B23&amp;":"&amp;AL$16&amp;AL$17&amp;":"&amp;AL$19&amp;":"&amp;$B24)</f>
        <v>#NAME?</v>
      </c>
      <c r="AM24" s="353" t="e">
        <f ca="1">_xll.BLUEMATRIX2("/servlet/excelData",AM23, $C$14,$B23&amp;":"&amp;AM$16&amp;AM$17&amp;":"&amp;AM$19&amp;":"&amp;$B24)</f>
        <v>#NAME?</v>
      </c>
      <c r="AN24" s="353" t="e">
        <f ca="1">_xll.BLUEMATRIX2("/servlet/excelData",AN23, $C$14,$B23&amp;":"&amp;AN$16&amp;AN$17&amp;":"&amp;AN$19&amp;":"&amp;$B24)</f>
        <v>#NAME?</v>
      </c>
      <c r="AO24" s="353" t="e">
        <f ca="1">_xll.BLUEMATRIX2("/servlet/excelData",AO23, $C$14,$B23&amp;":"&amp;AO$16&amp;AO$17&amp;":"&amp;AO$19&amp;":"&amp;$B24)</f>
        <v>#NAME?</v>
      </c>
      <c r="AP24" s="353" t="e">
        <f ca="1">_xll.BLUEMATRIX2("/servlet/excelData",AP23, $C$14,$B23&amp;":"&amp;AP$16&amp;AP$17&amp;":"&amp;AP$19&amp;":"&amp;$B24)</f>
        <v>#NAME?</v>
      </c>
      <c r="AQ24" s="301" t="e">
        <f ca="1">_xll.BLUEMATRIX2("/servlet/excelData",AQ23, $C$14,$B23&amp;":"&amp;AQ$16&amp;AQ$17&amp;":"&amp;AQ$19&amp;":"&amp;$B24)</f>
        <v>#NAME?</v>
      </c>
      <c r="AR24" s="353" t="e">
        <f ca="1">_xll.BLUEMATRIX2("/servlet/excelData",AR23, $C$14,$B23&amp;":"&amp;AR$16&amp;AR$17&amp;":"&amp;AR$19&amp;":"&amp;$B24)</f>
        <v>#NAME?</v>
      </c>
      <c r="AS24" s="353" t="e">
        <f ca="1">_xll.BLUEMATRIX2("/servlet/excelData",AS23, $C$14,$B23&amp;":"&amp;AS$16&amp;AS$17&amp;":"&amp;AS$19&amp;":"&amp;$B24)</f>
        <v>#NAME?</v>
      </c>
      <c r="AT24" s="353" t="e">
        <f ca="1">_xll.BLUEMATRIX2("/servlet/excelData",AT23, $C$14,$B23&amp;":"&amp;AT$16&amp;AT$17&amp;":"&amp;AT$19&amp;":"&amp;$B24)</f>
        <v>#NAME?</v>
      </c>
      <c r="AU24" s="353" t="e">
        <f ca="1">_xll.BLUEMATRIX2("/servlet/excelData",AU23, $C$14,$B23&amp;":"&amp;AU$16&amp;AU$17&amp;":"&amp;AU$19&amp;":"&amp;$B24)</f>
        <v>#NAME?</v>
      </c>
      <c r="AV24" s="301" t="e">
        <f ca="1">_xll.BLUEMATRIX2("/servlet/excelData",AV23, $C$14,$B23&amp;":"&amp;AV$16&amp;AV$17&amp;":"&amp;AV$19&amp;":"&amp;$B24)</f>
        <v>#NAME?</v>
      </c>
      <c r="AW24" s="353" t="e">
        <f ca="1">_xll.BLUEMATRIX2("/servlet/excelData",AW23, $C$14,$B23&amp;":"&amp;AW$16&amp;AW$17&amp;":"&amp;AW$19&amp;":"&amp;$B24)</f>
        <v>#NAME?</v>
      </c>
      <c r="AX24" s="353" t="e">
        <f ca="1">_xll.BLUEMATRIX2("/servlet/excelData",AX23, $C$14,$B23&amp;":"&amp;AX$16&amp;AX$17&amp;":"&amp;AX$19&amp;":"&amp;$B24)</f>
        <v>#NAME?</v>
      </c>
      <c r="AY24" s="353" t="e">
        <f ca="1">_xll.BLUEMATRIX2("/servlet/excelData",AY23, $C$14,$B23&amp;":"&amp;AY$16&amp;AY$17&amp;":"&amp;AY$19&amp;":"&amp;$B24)</f>
        <v>#NAME?</v>
      </c>
      <c r="AZ24" s="353" t="e">
        <f ca="1">_xll.BLUEMATRIX2("/servlet/excelData",AZ23, $C$14,$B23&amp;":"&amp;AZ$16&amp;AZ$17&amp;":"&amp;AZ$19&amp;":"&amp;$B24)</f>
        <v>#NAME?</v>
      </c>
      <c r="BA24" s="301" t="e">
        <f ca="1">_xll.BLUEMATRIX2("/servlet/excelData",BA23, $C$14,$B23&amp;":"&amp;BA$16&amp;BA$17&amp;":"&amp;BA$19&amp;":"&amp;$B24)</f>
        <v>#NAME?</v>
      </c>
      <c r="BB24" s="344"/>
      <c r="BC24" s="344"/>
      <c r="BD24" t="s">
        <v>584</v>
      </c>
      <c r="BE24" s="344"/>
      <c r="BF24" s="344"/>
      <c r="BG24" s="344"/>
      <c r="BH24" s="344"/>
      <c r="BI24" s="344"/>
      <c r="BJ24" s="344"/>
      <c r="BK24" s="344"/>
      <c r="BL24" s="344"/>
      <c r="BM24" s="344"/>
      <c r="BN24" s="344"/>
      <c r="BO24" s="344"/>
      <c r="BP24" s="344"/>
      <c r="BQ24" s="344"/>
      <c r="BR24" s="344"/>
      <c r="BS24" s="344"/>
      <c r="BT24" s="344"/>
      <c r="BU24" s="344"/>
      <c r="BV24" s="344"/>
      <c r="BW24" s="344"/>
      <c r="BX24" s="344"/>
      <c r="BY24" s="344"/>
      <c r="BZ24" s="344"/>
      <c r="CA24" s="344"/>
      <c r="CB24" s="344"/>
      <c r="CC24" s="344"/>
      <c r="CD24" s="344"/>
      <c r="CE24" s="344"/>
      <c r="CF24" s="344"/>
      <c r="CG24" s="344"/>
      <c r="CH24" s="344"/>
      <c r="CI24" s="344"/>
      <c r="CJ24" s="344"/>
      <c r="CK24" s="344"/>
      <c r="CL24" s="344"/>
      <c r="CM24" s="344"/>
      <c r="CN24" s="344"/>
      <c r="CO24" s="344"/>
      <c r="CP24" s="344"/>
      <c r="CQ24" s="344"/>
      <c r="CR24" s="344"/>
      <c r="CS24" s="344"/>
      <c r="CT24" s="344"/>
      <c r="CU24" s="344"/>
      <c r="CV24" s="344"/>
      <c r="CW24" s="344"/>
      <c r="CX24" s="344"/>
      <c r="CY24" s="344"/>
      <c r="CZ24" s="344"/>
      <c r="DA24" s="344"/>
      <c r="DB24" s="344"/>
      <c r="DC24" s="344"/>
      <c r="DD24" s="344"/>
      <c r="DE24" s="344"/>
      <c r="DF24" s="344"/>
      <c r="DG24" s="344"/>
      <c r="DH24" s="344"/>
      <c r="DI24" s="344"/>
      <c r="DJ24" s="344"/>
      <c r="DK24" s="344"/>
      <c r="DL24" s="344"/>
      <c r="DM24" s="344"/>
      <c r="DN24" s="344"/>
      <c r="DO24" s="344"/>
      <c r="DP24" s="344"/>
      <c r="DQ24" s="344"/>
      <c r="DR24" s="344"/>
      <c r="DS24" s="344"/>
      <c r="DT24" s="344"/>
      <c r="DU24" s="344"/>
      <c r="DV24" s="344"/>
      <c r="DW24" s="344"/>
      <c r="DX24" s="344"/>
      <c r="DY24" s="344"/>
      <c r="DZ24" s="344"/>
      <c r="EA24" s="344"/>
      <c r="EB24" s="344"/>
      <c r="EC24" s="344"/>
      <c r="ED24" s="344"/>
      <c r="EE24" s="344"/>
      <c r="EF24" s="344"/>
      <c r="EG24" s="344"/>
      <c r="EH24" s="344"/>
      <c r="EI24" s="344"/>
      <c r="EJ24" s="344"/>
      <c r="EK24" s="344"/>
      <c r="EL24" s="344"/>
      <c r="EM24" s="344"/>
      <c r="EN24" s="344"/>
      <c r="EO24" s="344"/>
      <c r="EP24" s="344"/>
      <c r="EQ24" s="344"/>
      <c r="ER24" s="344"/>
      <c r="ES24" s="344"/>
      <c r="ET24" s="344"/>
      <c r="EU24" s="344"/>
      <c r="EV24" s="344"/>
      <c r="EW24" s="344"/>
      <c r="EX24" s="344"/>
      <c r="EY24" s="344"/>
      <c r="EZ24" s="344"/>
      <c r="FA24" s="344"/>
      <c r="FB24" s="344"/>
      <c r="FC24" s="344"/>
      <c r="FD24" s="344"/>
      <c r="FE24" s="344"/>
      <c r="FF24" s="344"/>
      <c r="FG24" s="344"/>
      <c r="FH24" s="344"/>
      <c r="FI24" s="344"/>
      <c r="FJ24" s="344"/>
      <c r="FK24" s="344"/>
      <c r="FL24" s="344"/>
      <c r="FM24" s="344"/>
      <c r="FN24" s="344"/>
      <c r="FO24" s="344"/>
      <c r="FP24" s="344"/>
      <c r="FQ24" s="344"/>
      <c r="FR24" s="344"/>
      <c r="FS24" s="344"/>
      <c r="FT24" s="344"/>
      <c r="FU24" s="344"/>
      <c r="FV24" s="344"/>
      <c r="FW24" s="344"/>
      <c r="FX24" s="344"/>
      <c r="FY24" s="344"/>
      <c r="FZ24" s="344"/>
      <c r="GA24" s="344"/>
      <c r="GB24" s="344"/>
      <c r="GC24" s="344"/>
      <c r="GD24" s="344"/>
      <c r="GE24" s="344"/>
      <c r="GF24" s="344"/>
      <c r="GG24" s="344"/>
      <c r="GH24" s="344"/>
      <c r="GI24" s="344"/>
      <c r="GJ24" s="344"/>
      <c r="GK24" s="344"/>
      <c r="GL24" s="344"/>
      <c r="GM24" s="344"/>
      <c r="GN24" s="344"/>
      <c r="GO24" s="344"/>
      <c r="GP24" s="344"/>
      <c r="GQ24" s="344"/>
      <c r="GR24" s="344"/>
      <c r="GS24" s="344"/>
      <c r="GT24" s="344"/>
      <c r="GU24" s="344"/>
      <c r="GV24" s="344"/>
      <c r="GW24" s="344"/>
      <c r="GX24" s="344"/>
      <c r="GY24" s="344"/>
      <c r="GZ24" s="344"/>
      <c r="HA24" s="344"/>
      <c r="HB24" s="344"/>
      <c r="HC24" s="344"/>
      <c r="HD24" s="344"/>
      <c r="HE24" s="344"/>
      <c r="HF24" s="344"/>
      <c r="HG24" s="344"/>
      <c r="HH24" s="344"/>
      <c r="HI24" s="344"/>
      <c r="HJ24" s="344"/>
      <c r="HK24" s="344"/>
      <c r="HL24" s="344"/>
      <c r="HM24" s="344"/>
      <c r="HN24" s="344"/>
      <c r="HO24" s="344"/>
      <c r="HP24" s="344"/>
      <c r="HQ24" s="344"/>
      <c r="HR24" s="344"/>
      <c r="HS24" s="344"/>
      <c r="HT24" s="344"/>
      <c r="HU24" s="344"/>
      <c r="HV24" s="344"/>
      <c r="HW24" s="344"/>
      <c r="HX24" s="344"/>
      <c r="HY24" s="344"/>
      <c r="HZ24" s="344"/>
      <c r="IA24" s="344"/>
      <c r="IB24" s="344"/>
      <c r="IC24" s="344"/>
      <c r="ID24" s="344"/>
      <c r="IE24" s="344"/>
      <c r="IF24" s="344"/>
      <c r="IG24" s="344"/>
      <c r="IH24" s="344"/>
      <c r="II24" s="344"/>
      <c r="IJ24" s="344"/>
      <c r="IK24" s="344"/>
      <c r="IL24" s="344"/>
      <c r="IM24" s="344"/>
      <c r="IN24" s="344"/>
      <c r="IO24" s="344"/>
      <c r="IP24" s="344"/>
      <c r="IQ24" s="344"/>
      <c r="IR24" s="344"/>
      <c r="IS24" s="344"/>
      <c r="IT24" s="344"/>
      <c r="IU24" s="344"/>
      <c r="IV24" s="344"/>
      <c r="IW24" s="344"/>
      <c r="IX24" s="344"/>
      <c r="IY24" s="344"/>
      <c r="IZ24" s="344"/>
      <c r="JA24" s="344"/>
      <c r="JB24" s="344"/>
      <c r="JC24" s="344"/>
      <c r="JD24" s="344"/>
      <c r="JE24" s="344"/>
      <c r="JF24" s="344"/>
      <c r="JG24" s="344"/>
      <c r="JH24" s="344"/>
      <c r="JI24" s="344"/>
      <c r="JJ24" s="344"/>
      <c r="JK24" s="344"/>
      <c r="JL24" s="344"/>
      <c r="JM24" s="344"/>
      <c r="JN24" s="344"/>
      <c r="JO24" s="344"/>
      <c r="JP24" s="344"/>
      <c r="JQ24" s="344"/>
      <c r="JR24" s="344"/>
      <c r="JS24" s="344"/>
      <c r="JT24" s="344"/>
      <c r="JU24" s="344"/>
    </row>
    <row r="25" spans="1:281" ht="15.4">
      <c r="A25" s="354" t="s">
        <v>585</v>
      </c>
      <c r="B25" s="336" t="s">
        <v>585</v>
      </c>
      <c r="C25" s="337"/>
      <c r="D25" s="355"/>
      <c r="E25" s="356"/>
      <c r="F25" s="356"/>
      <c r="G25" s="356"/>
      <c r="H25" s="357"/>
      <c r="I25" s="356"/>
      <c r="J25" s="356"/>
      <c r="K25" s="356"/>
      <c r="L25" s="356"/>
      <c r="M25" s="357"/>
      <c r="N25" s="356"/>
      <c r="O25" s="356"/>
      <c r="P25" s="356"/>
      <c r="Q25" s="356"/>
      <c r="R25" s="357"/>
      <c r="S25" s="356"/>
      <c r="T25" s="356"/>
      <c r="U25" s="356"/>
      <c r="V25" s="356"/>
      <c r="W25" s="357"/>
      <c r="X25" s="356"/>
      <c r="Y25" s="356"/>
      <c r="Z25" s="356"/>
      <c r="AA25" s="356"/>
      <c r="AB25" s="357"/>
      <c r="AC25" s="356"/>
      <c r="AD25" s="356"/>
      <c r="AE25" s="356"/>
      <c r="AF25" s="356"/>
      <c r="AG25" s="357"/>
      <c r="AH25" s="356"/>
      <c r="AI25" s="356"/>
      <c r="AJ25" s="356"/>
      <c r="AK25" s="356"/>
      <c r="AL25" s="357"/>
      <c r="AM25" s="356"/>
      <c r="AN25" s="356"/>
      <c r="AO25" s="356"/>
      <c r="AP25" s="356"/>
      <c r="AQ25" s="357"/>
      <c r="AR25" s="356"/>
      <c r="AS25" s="356"/>
      <c r="AT25" s="356"/>
      <c r="AU25" s="356"/>
      <c r="AV25" s="357"/>
      <c r="AW25" s="356"/>
      <c r="AX25" s="356"/>
      <c r="AY25" s="356"/>
      <c r="AZ25" s="356"/>
      <c r="BA25" s="357"/>
      <c r="BD25" t="s">
        <v>586</v>
      </c>
    </row>
    <row r="26" spans="1:281" ht="15.4">
      <c r="A26" s="358"/>
      <c r="B26" s="340"/>
      <c r="C26" s="341"/>
      <c r="D26" s="359" t="e">
        <f ca="1">_xll.BLUEMATRIX2("/servlet/excelData",D25, $C$14,$B25&amp;":"&amp;D$16&amp;D$17&amp;":"&amp;D$19&amp;":"&amp;$B26)</f>
        <v>#NAME?</v>
      </c>
      <c r="E26" s="342" t="e">
        <f ca="1">_xll.BLUEMATRIX2("/servlet/excelData",E25, $C$14,$B25&amp;":"&amp;E$16&amp;E$17&amp;":"&amp;E$19&amp;":"&amp;$B26)</f>
        <v>#NAME?</v>
      </c>
      <c r="F26" s="342" t="e">
        <f ca="1">_xll.BLUEMATRIX2("/servlet/excelData",F25, $C$14,$B25&amp;":"&amp;F$16&amp;F$17&amp;":"&amp;F$19&amp;":"&amp;$B26)</f>
        <v>#NAME?</v>
      </c>
      <c r="G26" s="342" t="e">
        <f ca="1">_xll.BLUEMATRIX2("/servlet/excelData",G25, $C$14,$B25&amp;":"&amp;G$16&amp;G$17&amp;":"&amp;G$19&amp;":"&amp;$B26)</f>
        <v>#NAME?</v>
      </c>
      <c r="H26" s="343" t="e">
        <f ca="1">_xll.BLUEMATRIX2("/servlet/excelData",H25, $C$14,$B25&amp;":"&amp;H$16&amp;H$17&amp;":"&amp;H$19&amp;":"&amp;$B26)</f>
        <v>#NAME?</v>
      </c>
      <c r="I26" s="342" t="e">
        <f ca="1">_xll.BLUEMATRIX2("/servlet/excelData",I25, $C$14,$B25&amp;":"&amp;I$16&amp;I$17&amp;":"&amp;I$19&amp;":"&amp;$B26)</f>
        <v>#NAME?</v>
      </c>
      <c r="J26" s="342" t="e">
        <f ca="1">_xll.BLUEMATRIX2("/servlet/excelData",J25, $C$14,$B25&amp;":"&amp;J$16&amp;J$17&amp;":"&amp;J$19&amp;":"&amp;$B26)</f>
        <v>#NAME?</v>
      </c>
      <c r="K26" s="342" t="e">
        <f ca="1">_xll.BLUEMATRIX2("/servlet/excelData",K25, $C$14,$B25&amp;":"&amp;K$16&amp;K$17&amp;":"&amp;K$19&amp;":"&amp;$B26)</f>
        <v>#NAME?</v>
      </c>
      <c r="L26" s="342" t="e">
        <f ca="1">_xll.BLUEMATRIX2("/servlet/excelData",L25, $C$14,$B25&amp;":"&amp;L$16&amp;L$17&amp;":"&amp;L$19&amp;":"&amp;$B26)</f>
        <v>#NAME?</v>
      </c>
      <c r="M26" s="343" t="e">
        <f ca="1">_xll.BLUEMATRIX2("/servlet/excelData",M25, $C$14,$B25&amp;":"&amp;M$16&amp;M$17&amp;":"&amp;M$19&amp;":"&amp;$B26)</f>
        <v>#NAME?</v>
      </c>
      <c r="N26" s="342" t="e">
        <f ca="1">_xll.BLUEMATRIX2("/servlet/excelData",N25, $C$14,$B25&amp;":"&amp;N$16&amp;N$17&amp;":"&amp;N$19&amp;":"&amp;$B26)</f>
        <v>#NAME?</v>
      </c>
      <c r="O26" s="342" t="e">
        <f ca="1">_xll.BLUEMATRIX2("/servlet/excelData",O25, $C$14,$B25&amp;":"&amp;O$16&amp;O$17&amp;":"&amp;O$19&amp;":"&amp;$B26)</f>
        <v>#NAME?</v>
      </c>
      <c r="P26" s="342" t="e">
        <f ca="1">_xll.BLUEMATRIX2("/servlet/excelData",P25, $C$14,$B25&amp;":"&amp;P$16&amp;P$17&amp;":"&amp;P$19&amp;":"&amp;$B26)</f>
        <v>#NAME?</v>
      </c>
      <c r="Q26" s="342" t="e">
        <f ca="1">_xll.BLUEMATRIX2("/servlet/excelData",Q25, $C$14,$B25&amp;":"&amp;Q$16&amp;Q$17&amp;":"&amp;Q$19&amp;":"&amp;$B26)</f>
        <v>#NAME?</v>
      </c>
      <c r="R26" s="343" t="e">
        <f ca="1">_xll.BLUEMATRIX2("/servlet/excelData",R25, $C$14,$B25&amp;":"&amp;R$16&amp;R$17&amp;":"&amp;R$19&amp;":"&amp;$B26)</f>
        <v>#NAME?</v>
      </c>
      <c r="S26" s="342" t="e">
        <f ca="1">_xll.BLUEMATRIX2("/servlet/excelData",S25, $C$14,$B25&amp;":"&amp;S$16&amp;S$17&amp;":"&amp;S$19&amp;":"&amp;$B26)</f>
        <v>#NAME?</v>
      </c>
      <c r="T26" s="342" t="e">
        <f ca="1">_xll.BLUEMATRIX2("/servlet/excelData",T25, $C$14,$B25&amp;":"&amp;T$16&amp;T$17&amp;":"&amp;T$19&amp;":"&amp;$B26)</f>
        <v>#NAME?</v>
      </c>
      <c r="U26" s="342" t="e">
        <f ca="1">_xll.BLUEMATRIX2("/servlet/excelData",U25, $C$14,$B25&amp;":"&amp;U$16&amp;U$17&amp;":"&amp;U$19&amp;":"&amp;$B26)</f>
        <v>#NAME?</v>
      </c>
      <c r="V26" s="342" t="e">
        <f ca="1">_xll.BLUEMATRIX2("/servlet/excelData",V25, $C$14,$B25&amp;":"&amp;V$16&amp;V$17&amp;":"&amp;V$19&amp;":"&amp;$B26)</f>
        <v>#NAME?</v>
      </c>
      <c r="W26" s="343" t="e">
        <f ca="1">_xll.BLUEMATRIX2("/servlet/excelData",W25, $C$14,$B25&amp;":"&amp;W$16&amp;W$17&amp;":"&amp;W$19&amp;":"&amp;$B26)</f>
        <v>#NAME?</v>
      </c>
      <c r="X26" s="342" t="e">
        <f ca="1">_xll.BLUEMATRIX2("/servlet/excelData",X25, $C$14,$B25&amp;":"&amp;X$16&amp;X$17&amp;":"&amp;X$19&amp;":"&amp;$B26)</f>
        <v>#NAME?</v>
      </c>
      <c r="Y26" s="342" t="e">
        <f ca="1">_xll.BLUEMATRIX2("/servlet/excelData",Y25, $C$14,$B25&amp;":"&amp;Y$16&amp;Y$17&amp;":"&amp;Y$19&amp;":"&amp;$B26)</f>
        <v>#NAME?</v>
      </c>
      <c r="Z26" s="342" t="e">
        <f ca="1">_xll.BLUEMATRIX2("/servlet/excelData",Z25, $C$14,$B25&amp;":"&amp;Z$16&amp;Z$17&amp;":"&amp;Z$19&amp;":"&amp;$B26)</f>
        <v>#NAME?</v>
      </c>
      <c r="AA26" s="342" t="e">
        <f ca="1">_xll.BLUEMATRIX2("/servlet/excelData",AA25, $C$14,$B25&amp;":"&amp;AA$16&amp;AA$17&amp;":"&amp;AA$19&amp;":"&amp;$B26)</f>
        <v>#NAME?</v>
      </c>
      <c r="AB26" s="343" t="e">
        <f ca="1">_xll.BLUEMATRIX2("/servlet/excelData",AB25, $C$14,$B25&amp;":"&amp;AB$16&amp;AB$17&amp;":"&amp;AB$19&amp;":"&amp;$B26)</f>
        <v>#NAME?</v>
      </c>
      <c r="AC26" s="342" t="e">
        <f ca="1">_xll.BLUEMATRIX2("/servlet/excelData",AC25, $C$14,$B25&amp;":"&amp;AC$16&amp;AC$17&amp;":"&amp;AC$19&amp;":"&amp;$B26)</f>
        <v>#NAME?</v>
      </c>
      <c r="AD26" s="342" t="e">
        <f ca="1">_xll.BLUEMATRIX2("/servlet/excelData",AD25, $C$14,$B25&amp;":"&amp;AD$16&amp;AD$17&amp;":"&amp;AD$19&amp;":"&amp;$B26)</f>
        <v>#NAME?</v>
      </c>
      <c r="AE26" s="342" t="e">
        <f ca="1">_xll.BLUEMATRIX2("/servlet/excelData",AE25, $C$14,$B25&amp;":"&amp;AE$16&amp;AE$17&amp;":"&amp;AE$19&amp;":"&amp;$B26)</f>
        <v>#NAME?</v>
      </c>
      <c r="AF26" s="342" t="e">
        <f ca="1">_xll.BLUEMATRIX2("/servlet/excelData",AF25, $C$14,$B25&amp;":"&amp;AF$16&amp;AF$17&amp;":"&amp;AF$19&amp;":"&amp;$B26)</f>
        <v>#NAME?</v>
      </c>
      <c r="AG26" s="343" t="e">
        <f ca="1">_xll.BLUEMATRIX2("/servlet/excelData",AG25, $C$14,$B25&amp;":"&amp;AG$16&amp;AG$17&amp;":"&amp;AG$19&amp;":"&amp;$B26)</f>
        <v>#NAME?</v>
      </c>
      <c r="AH26" s="342" t="e">
        <f ca="1">_xll.BLUEMATRIX2("/servlet/excelData",AH25, $C$14,$B25&amp;":"&amp;AH$16&amp;AH$17&amp;":"&amp;AH$19&amp;":"&amp;$B26)</f>
        <v>#NAME?</v>
      </c>
      <c r="AI26" s="342" t="e">
        <f ca="1">_xll.BLUEMATRIX2("/servlet/excelData",AI25, $C$14,$B25&amp;":"&amp;AI$16&amp;AI$17&amp;":"&amp;AI$19&amp;":"&amp;$B26)</f>
        <v>#NAME?</v>
      </c>
      <c r="AJ26" s="342" t="e">
        <f ca="1">_xll.BLUEMATRIX2("/servlet/excelData",AJ25, $C$14,$B25&amp;":"&amp;AJ$16&amp;AJ$17&amp;":"&amp;AJ$19&amp;":"&amp;$B26)</f>
        <v>#NAME?</v>
      </c>
      <c r="AK26" s="342" t="e">
        <f ca="1">_xll.BLUEMATRIX2("/servlet/excelData",AK25, $C$14,$B25&amp;":"&amp;AK$16&amp;AK$17&amp;":"&amp;AK$19&amp;":"&amp;$B26)</f>
        <v>#NAME?</v>
      </c>
      <c r="AL26" s="343" t="e">
        <f ca="1">_xll.BLUEMATRIX2("/servlet/excelData",AL25, $C$14,$B25&amp;":"&amp;AL$16&amp;AL$17&amp;":"&amp;AL$19&amp;":"&amp;$B26)</f>
        <v>#NAME?</v>
      </c>
      <c r="AM26" s="342" t="e">
        <f ca="1">_xll.BLUEMATRIX2("/servlet/excelData",AM25, $C$14,$B25&amp;":"&amp;AM$16&amp;AM$17&amp;":"&amp;AM$19&amp;":"&amp;$B26)</f>
        <v>#NAME?</v>
      </c>
      <c r="AN26" s="342" t="e">
        <f ca="1">_xll.BLUEMATRIX2("/servlet/excelData",AN25, $C$14,$B25&amp;":"&amp;AN$16&amp;AN$17&amp;":"&amp;AN$19&amp;":"&amp;$B26)</f>
        <v>#NAME?</v>
      </c>
      <c r="AO26" s="342" t="e">
        <f ca="1">_xll.BLUEMATRIX2("/servlet/excelData",AO25, $C$14,$B25&amp;":"&amp;AO$16&amp;AO$17&amp;":"&amp;AO$19&amp;":"&amp;$B26)</f>
        <v>#NAME?</v>
      </c>
      <c r="AP26" s="342" t="e">
        <f ca="1">_xll.BLUEMATRIX2("/servlet/excelData",AP25, $C$14,$B25&amp;":"&amp;AP$16&amp;AP$17&amp;":"&amp;AP$19&amp;":"&amp;$B26)</f>
        <v>#NAME?</v>
      </c>
      <c r="AQ26" s="343" t="e">
        <f ca="1">_xll.BLUEMATRIX2("/servlet/excelData",AQ25, $C$14,$B25&amp;":"&amp;AQ$16&amp;AQ$17&amp;":"&amp;AQ$19&amp;":"&amp;$B26)</f>
        <v>#NAME?</v>
      </c>
      <c r="AR26" s="342" t="e">
        <f ca="1">_xll.BLUEMATRIX2("/servlet/excelData",AR25, $C$14,$B25&amp;":"&amp;AR$16&amp;AR$17&amp;":"&amp;AR$19&amp;":"&amp;$B26)</f>
        <v>#NAME?</v>
      </c>
      <c r="AS26" s="342" t="e">
        <f ca="1">_xll.BLUEMATRIX2("/servlet/excelData",AS25, $C$14,$B25&amp;":"&amp;AS$16&amp;AS$17&amp;":"&amp;AS$19&amp;":"&amp;$B26)</f>
        <v>#NAME?</v>
      </c>
      <c r="AT26" s="342" t="e">
        <f ca="1">_xll.BLUEMATRIX2("/servlet/excelData",AT25, $C$14,$B25&amp;":"&amp;AT$16&amp;AT$17&amp;":"&amp;AT$19&amp;":"&amp;$B26)</f>
        <v>#NAME?</v>
      </c>
      <c r="AU26" s="342" t="e">
        <f ca="1">_xll.BLUEMATRIX2("/servlet/excelData",AU25, $C$14,$B25&amp;":"&amp;AU$16&amp;AU$17&amp;":"&amp;AU$19&amp;":"&amp;$B26)</f>
        <v>#NAME?</v>
      </c>
      <c r="AV26" s="343" t="e">
        <f ca="1">_xll.BLUEMATRIX2("/servlet/excelData",AV25, $C$14,$B25&amp;":"&amp;AV$16&amp;AV$17&amp;":"&amp;AV$19&amp;":"&amp;$B26)</f>
        <v>#NAME?</v>
      </c>
      <c r="AW26" s="342" t="e">
        <f ca="1">_xll.BLUEMATRIX2("/servlet/excelData",AW25, $C$14,$B25&amp;":"&amp;AW$16&amp;AW$17&amp;":"&amp;AW$19&amp;":"&amp;$B26)</f>
        <v>#NAME?</v>
      </c>
      <c r="AX26" s="342" t="e">
        <f ca="1">_xll.BLUEMATRIX2("/servlet/excelData",AX25, $C$14,$B25&amp;":"&amp;AX$16&amp;AX$17&amp;":"&amp;AX$19&amp;":"&amp;$B26)</f>
        <v>#NAME?</v>
      </c>
      <c r="AY26" s="342" t="e">
        <f ca="1">_xll.BLUEMATRIX2("/servlet/excelData",AY25, $C$14,$B25&amp;":"&amp;AY$16&amp;AY$17&amp;":"&amp;AY$19&amp;":"&amp;$B26)</f>
        <v>#NAME?</v>
      </c>
      <c r="AZ26" s="342" t="e">
        <f ca="1">_xll.BLUEMATRIX2("/servlet/excelData",AZ25, $C$14,$B25&amp;":"&amp;AZ$16&amp;AZ$17&amp;":"&amp;AZ$19&amp;":"&amp;$B26)</f>
        <v>#NAME?</v>
      </c>
      <c r="BA26" s="343" t="e">
        <f ca="1">_xll.BLUEMATRIX2("/servlet/excelData",BA25, $C$14,$B25&amp;":"&amp;BA$16&amp;BA$17&amp;":"&amp;BA$19&amp;":"&amp;$B26)</f>
        <v>#NAME?</v>
      </c>
      <c r="BB26" s="344"/>
      <c r="BC26" s="344"/>
      <c r="BD26" t="s">
        <v>587</v>
      </c>
      <c r="BE26" s="344"/>
      <c r="BF26" s="344"/>
      <c r="BG26" s="344"/>
      <c r="BH26" s="344"/>
      <c r="BI26" s="344"/>
      <c r="BJ26" s="344"/>
      <c r="BK26" s="344"/>
      <c r="BL26" s="344"/>
      <c r="BM26" s="344"/>
      <c r="BN26" s="344"/>
      <c r="BO26" s="344"/>
      <c r="BP26" s="344"/>
      <c r="BQ26" s="344"/>
      <c r="BR26" s="344"/>
      <c r="BS26" s="344"/>
      <c r="BT26" s="344"/>
      <c r="BU26" s="344"/>
      <c r="BV26" s="344"/>
      <c r="BW26" s="344"/>
      <c r="BX26" s="344"/>
      <c r="BY26" s="344"/>
      <c r="BZ26" s="344"/>
      <c r="CA26" s="344"/>
      <c r="CB26" s="344"/>
      <c r="CC26" s="344"/>
      <c r="CD26" s="344"/>
      <c r="CE26" s="344"/>
      <c r="CF26" s="344"/>
      <c r="CG26" s="344"/>
      <c r="CH26" s="344"/>
      <c r="CI26" s="344"/>
      <c r="CJ26" s="344"/>
      <c r="CK26" s="344"/>
      <c r="CL26" s="344"/>
      <c r="CM26" s="344"/>
      <c r="CN26" s="344"/>
      <c r="CO26" s="344"/>
      <c r="CP26" s="344"/>
      <c r="CQ26" s="344"/>
      <c r="CR26" s="344"/>
      <c r="CS26" s="344"/>
      <c r="CT26" s="344"/>
      <c r="CU26" s="344"/>
      <c r="CV26" s="344"/>
      <c r="CW26" s="344"/>
      <c r="CX26" s="344"/>
      <c r="CY26" s="344"/>
      <c r="CZ26" s="344"/>
      <c r="DA26" s="344"/>
      <c r="DB26" s="344"/>
      <c r="DC26" s="344"/>
      <c r="DD26" s="344"/>
      <c r="DE26" s="344"/>
      <c r="DF26" s="344"/>
      <c r="DG26" s="344"/>
      <c r="DH26" s="344"/>
      <c r="DI26" s="344"/>
      <c r="DJ26" s="344"/>
      <c r="DK26" s="344"/>
      <c r="DL26" s="344"/>
      <c r="DM26" s="344"/>
      <c r="DN26" s="344"/>
      <c r="DO26" s="344"/>
      <c r="DP26" s="344"/>
      <c r="DQ26" s="344"/>
      <c r="DR26" s="344"/>
      <c r="DS26" s="344"/>
      <c r="DT26" s="344"/>
      <c r="DU26" s="344"/>
      <c r="DV26" s="344"/>
      <c r="DW26" s="344"/>
      <c r="DX26" s="344"/>
      <c r="DY26" s="344"/>
      <c r="DZ26" s="344"/>
      <c r="EA26" s="344"/>
      <c r="EB26" s="344"/>
      <c r="EC26" s="344"/>
      <c r="ED26" s="344"/>
      <c r="EE26" s="344"/>
      <c r="EF26" s="344"/>
      <c r="EG26" s="344"/>
      <c r="EH26" s="344"/>
      <c r="EI26" s="344"/>
      <c r="EJ26" s="344"/>
      <c r="EK26" s="344"/>
      <c r="EL26" s="344"/>
      <c r="EM26" s="344"/>
      <c r="EN26" s="344"/>
      <c r="EO26" s="344"/>
      <c r="EP26" s="344"/>
      <c r="EQ26" s="344"/>
      <c r="ER26" s="344"/>
      <c r="ES26" s="344"/>
      <c r="ET26" s="344"/>
      <c r="EU26" s="344"/>
      <c r="EV26" s="344"/>
      <c r="EW26" s="344"/>
      <c r="EX26" s="344"/>
      <c r="EY26" s="344"/>
      <c r="EZ26" s="344"/>
      <c r="FA26" s="344"/>
      <c r="FB26" s="344"/>
      <c r="FC26" s="344"/>
      <c r="FD26" s="344"/>
      <c r="FE26" s="344"/>
      <c r="FF26" s="344"/>
      <c r="FG26" s="344"/>
      <c r="FH26" s="344"/>
      <c r="FI26" s="344"/>
      <c r="FJ26" s="344"/>
      <c r="FK26" s="344"/>
      <c r="FL26" s="344"/>
      <c r="FM26" s="344"/>
      <c r="FN26" s="344"/>
      <c r="FO26" s="344"/>
      <c r="FP26" s="344"/>
      <c r="FQ26" s="344"/>
      <c r="FR26" s="344"/>
      <c r="FS26" s="344"/>
      <c r="FT26" s="344"/>
      <c r="FU26" s="344"/>
      <c r="FV26" s="344"/>
      <c r="FW26" s="344"/>
      <c r="FX26" s="344"/>
      <c r="FY26" s="344"/>
      <c r="FZ26" s="344"/>
      <c r="GA26" s="344"/>
      <c r="GB26" s="344"/>
      <c r="GC26" s="344"/>
      <c r="GD26" s="344"/>
      <c r="GE26" s="344"/>
      <c r="GF26" s="344"/>
      <c r="GG26" s="344"/>
      <c r="GH26" s="344"/>
      <c r="GI26" s="344"/>
      <c r="GJ26" s="344"/>
      <c r="GK26" s="344"/>
      <c r="GL26" s="344"/>
      <c r="GM26" s="344"/>
      <c r="GN26" s="344"/>
      <c r="GO26" s="344"/>
      <c r="GP26" s="344"/>
      <c r="GQ26" s="344"/>
      <c r="GR26" s="344"/>
      <c r="GS26" s="344"/>
      <c r="GT26" s="344"/>
      <c r="GU26" s="344"/>
      <c r="GV26" s="344"/>
      <c r="GW26" s="344"/>
      <c r="GX26" s="344"/>
      <c r="GY26" s="344"/>
      <c r="GZ26" s="344"/>
      <c r="HA26" s="344"/>
      <c r="HB26" s="344"/>
      <c r="HC26" s="344"/>
      <c r="HD26" s="344"/>
      <c r="HE26" s="344"/>
      <c r="HF26" s="344"/>
      <c r="HG26" s="344"/>
      <c r="HH26" s="344"/>
      <c r="HI26" s="344"/>
      <c r="HJ26" s="344"/>
      <c r="HK26" s="344"/>
      <c r="HL26" s="344"/>
      <c r="HM26" s="344"/>
      <c r="HN26" s="344"/>
      <c r="HO26" s="344"/>
      <c r="HP26" s="344"/>
      <c r="HQ26" s="344"/>
      <c r="HR26" s="344"/>
      <c r="HS26" s="344"/>
      <c r="HT26" s="344"/>
      <c r="HU26" s="344"/>
      <c r="HV26" s="344"/>
      <c r="HW26" s="344"/>
      <c r="HX26" s="344"/>
      <c r="HY26" s="344"/>
      <c r="HZ26" s="344"/>
      <c r="IA26" s="344"/>
      <c r="IB26" s="344"/>
      <c r="IC26" s="344"/>
      <c r="ID26" s="344"/>
      <c r="IE26" s="344"/>
      <c r="IF26" s="344"/>
      <c r="IG26" s="344"/>
      <c r="IH26" s="344"/>
      <c r="II26" s="344"/>
      <c r="IJ26" s="344"/>
      <c r="IK26" s="344"/>
      <c r="IL26" s="344"/>
      <c r="IM26" s="344"/>
      <c r="IN26" s="344"/>
      <c r="IO26" s="344"/>
      <c r="IP26" s="344"/>
      <c r="IQ26" s="344"/>
      <c r="IR26" s="344"/>
      <c r="IS26" s="344"/>
      <c r="IT26" s="344"/>
      <c r="IU26" s="344"/>
      <c r="IV26" s="344"/>
      <c r="IW26" s="344"/>
      <c r="IX26" s="344"/>
      <c r="IY26" s="344"/>
      <c r="IZ26" s="344"/>
      <c r="JA26" s="344"/>
      <c r="JB26" s="344"/>
      <c r="JC26" s="344"/>
      <c r="JD26" s="344"/>
      <c r="JE26" s="344"/>
      <c r="JF26" s="344"/>
      <c r="JG26" s="344"/>
      <c r="JH26" s="344"/>
      <c r="JI26" s="344"/>
      <c r="JJ26" s="344"/>
      <c r="JK26" s="344"/>
      <c r="JL26" s="344"/>
      <c r="JM26" s="344"/>
      <c r="JN26" s="344"/>
      <c r="JO26" s="344"/>
      <c r="JP26" s="344"/>
      <c r="JQ26" s="344"/>
      <c r="JR26" s="344"/>
      <c r="JS26" s="344"/>
      <c r="JT26" s="344"/>
      <c r="JU26" s="344"/>
    </row>
    <row r="27" spans="1:281">
      <c r="A27" s="360" t="s">
        <v>588</v>
      </c>
      <c r="B27" s="346" t="s">
        <v>588</v>
      </c>
      <c r="C27" s="347"/>
      <c r="D27" s="361"/>
      <c r="E27" s="344"/>
      <c r="F27" s="344"/>
      <c r="G27" s="344"/>
      <c r="H27" s="362"/>
      <c r="I27" s="344"/>
      <c r="J27" s="344"/>
      <c r="K27" s="344"/>
      <c r="L27" s="344"/>
      <c r="M27" s="362"/>
      <c r="N27" s="344"/>
      <c r="O27" s="344"/>
      <c r="P27" s="344"/>
      <c r="Q27" s="344"/>
      <c r="R27" s="362"/>
      <c r="S27" s="344"/>
      <c r="T27" s="344"/>
      <c r="U27" s="344"/>
      <c r="V27" s="344"/>
      <c r="W27" s="362"/>
      <c r="X27" s="344"/>
      <c r="Y27" s="344"/>
      <c r="Z27" s="344"/>
      <c r="AA27" s="344"/>
      <c r="AB27" s="362"/>
      <c r="AC27" s="344"/>
      <c r="AD27" s="344"/>
      <c r="AE27" s="344"/>
      <c r="AF27" s="344"/>
      <c r="AG27" s="362"/>
      <c r="AH27" s="344"/>
      <c r="AI27" s="344"/>
      <c r="AJ27" s="344"/>
      <c r="AK27" s="344"/>
      <c r="AL27" s="362"/>
      <c r="AM27" s="344"/>
      <c r="AN27" s="344"/>
      <c r="AO27" s="344"/>
      <c r="AP27" s="344"/>
      <c r="AQ27" s="362"/>
      <c r="AR27" s="344"/>
      <c r="AS27" s="344"/>
      <c r="AT27" s="344"/>
      <c r="AU27" s="344"/>
      <c r="AV27" s="362"/>
      <c r="AW27" s="344"/>
      <c r="AX27" s="344"/>
      <c r="AY27" s="344"/>
      <c r="AZ27" s="344"/>
      <c r="BA27" s="362"/>
      <c r="BD27" s="292"/>
    </row>
    <row r="28" spans="1:281">
      <c r="A28" s="363"/>
      <c r="B28" s="350"/>
      <c r="C28" s="351"/>
      <c r="D28" s="352" t="e">
        <f ca="1">_xll.BLUEMATRIX2("/servlet/excelData",D27, $C$14,$B27&amp;":"&amp;D$16&amp;D$17&amp;":"&amp;D$19&amp;":"&amp;$B28)</f>
        <v>#NAME?</v>
      </c>
      <c r="E28" s="353" t="e">
        <f ca="1">_xll.BLUEMATRIX2("/servlet/excelData",E27, $C$14,$B27&amp;":"&amp;E$16&amp;E$17&amp;":"&amp;E$19&amp;":"&amp;$B28)</f>
        <v>#NAME?</v>
      </c>
      <c r="F28" s="353" t="e">
        <f ca="1">_xll.BLUEMATRIX2("/servlet/excelData",F27, $C$14,$B27&amp;":"&amp;F$16&amp;F$17&amp;":"&amp;F$19&amp;":"&amp;$B28)</f>
        <v>#NAME?</v>
      </c>
      <c r="G28" s="353" t="e">
        <f ca="1">_xll.BLUEMATRIX2("/servlet/excelData",G27, $C$14,$B27&amp;":"&amp;G$16&amp;G$17&amp;":"&amp;G$19&amp;":"&amp;$B28)</f>
        <v>#NAME?</v>
      </c>
      <c r="H28" s="301" t="e">
        <f ca="1">_xll.BLUEMATRIX2("/servlet/excelData",H27, $C$14,$B27&amp;":"&amp;H$16&amp;H$17&amp;":"&amp;H$19&amp;":"&amp;$B28)</f>
        <v>#NAME?</v>
      </c>
      <c r="I28" s="353" t="e">
        <f ca="1">_xll.BLUEMATRIX2("/servlet/excelData",I27, $C$14,$B27&amp;":"&amp;I$16&amp;I$17&amp;":"&amp;I$19&amp;":"&amp;$B28)</f>
        <v>#NAME?</v>
      </c>
      <c r="J28" s="353" t="e">
        <f ca="1">_xll.BLUEMATRIX2("/servlet/excelData",J27, $C$14,$B27&amp;":"&amp;J$16&amp;J$17&amp;":"&amp;J$19&amp;":"&amp;$B28)</f>
        <v>#NAME?</v>
      </c>
      <c r="K28" s="353" t="e">
        <f ca="1">_xll.BLUEMATRIX2("/servlet/excelData",K27, $C$14,$B27&amp;":"&amp;K$16&amp;K$17&amp;":"&amp;K$19&amp;":"&amp;$B28)</f>
        <v>#NAME?</v>
      </c>
      <c r="L28" s="353" t="e">
        <f ca="1">_xll.BLUEMATRIX2("/servlet/excelData",L27, $C$14,$B27&amp;":"&amp;L$16&amp;L$17&amp;":"&amp;L$19&amp;":"&amp;$B28)</f>
        <v>#NAME?</v>
      </c>
      <c r="M28" s="301" t="e">
        <f ca="1">_xll.BLUEMATRIX2("/servlet/excelData",M27, $C$14,$B27&amp;":"&amp;M$16&amp;M$17&amp;":"&amp;M$19&amp;":"&amp;$B28)</f>
        <v>#NAME?</v>
      </c>
      <c r="N28" s="353" t="e">
        <f ca="1">_xll.BLUEMATRIX2("/servlet/excelData",N27, $C$14,$B27&amp;":"&amp;N$16&amp;N$17&amp;":"&amp;N$19&amp;":"&amp;$B28)</f>
        <v>#NAME?</v>
      </c>
      <c r="O28" s="353" t="e">
        <f ca="1">_xll.BLUEMATRIX2("/servlet/excelData",O27, $C$14,$B27&amp;":"&amp;O$16&amp;O$17&amp;":"&amp;O$19&amp;":"&amp;$B28)</f>
        <v>#NAME?</v>
      </c>
      <c r="P28" s="353" t="e">
        <f ca="1">_xll.BLUEMATRIX2("/servlet/excelData",P27, $C$14,$B27&amp;":"&amp;P$16&amp;P$17&amp;":"&amp;P$19&amp;":"&amp;$B28)</f>
        <v>#NAME?</v>
      </c>
      <c r="Q28" s="353" t="e">
        <f ca="1">_xll.BLUEMATRIX2("/servlet/excelData",Q27, $C$14,$B27&amp;":"&amp;Q$16&amp;Q$17&amp;":"&amp;Q$19&amp;":"&amp;$B28)</f>
        <v>#NAME?</v>
      </c>
      <c r="R28" s="301" t="e">
        <f ca="1">_xll.BLUEMATRIX2("/servlet/excelData",R27, $C$14,$B27&amp;":"&amp;R$16&amp;R$17&amp;":"&amp;R$19&amp;":"&amp;$B28)</f>
        <v>#NAME?</v>
      </c>
      <c r="S28" s="353" t="e">
        <f ca="1">_xll.BLUEMATRIX2("/servlet/excelData",S27, $C$14,$B27&amp;":"&amp;S$16&amp;S$17&amp;":"&amp;S$19&amp;":"&amp;$B28)</f>
        <v>#NAME?</v>
      </c>
      <c r="T28" s="353" t="e">
        <f ca="1">_xll.BLUEMATRIX2("/servlet/excelData",T27, $C$14,$B27&amp;":"&amp;T$16&amp;T$17&amp;":"&amp;T$19&amp;":"&amp;$B28)</f>
        <v>#NAME?</v>
      </c>
      <c r="U28" s="353" t="e">
        <f ca="1">_xll.BLUEMATRIX2("/servlet/excelData",U27, $C$14,$B27&amp;":"&amp;U$16&amp;U$17&amp;":"&amp;U$19&amp;":"&amp;$B28)</f>
        <v>#NAME?</v>
      </c>
      <c r="V28" s="353" t="e">
        <f ca="1">_xll.BLUEMATRIX2("/servlet/excelData",V27, $C$14,$B27&amp;":"&amp;V$16&amp;V$17&amp;":"&amp;V$19&amp;":"&amp;$B28)</f>
        <v>#NAME?</v>
      </c>
      <c r="W28" s="301" t="e">
        <f ca="1">_xll.BLUEMATRIX2("/servlet/excelData",W27, $C$14,$B27&amp;":"&amp;W$16&amp;W$17&amp;":"&amp;W$19&amp;":"&amp;$B28)</f>
        <v>#NAME?</v>
      </c>
      <c r="X28" s="353" t="e">
        <f ca="1">_xll.BLUEMATRIX2("/servlet/excelData",X27, $C$14,$B27&amp;":"&amp;X$16&amp;X$17&amp;":"&amp;X$19&amp;":"&amp;$B28)</f>
        <v>#NAME?</v>
      </c>
      <c r="Y28" s="353" t="e">
        <f ca="1">_xll.BLUEMATRIX2("/servlet/excelData",Y27, $C$14,$B27&amp;":"&amp;Y$16&amp;Y$17&amp;":"&amp;Y$19&amp;":"&amp;$B28)</f>
        <v>#NAME?</v>
      </c>
      <c r="Z28" s="353" t="e">
        <f ca="1">_xll.BLUEMATRIX2("/servlet/excelData",Z27, $C$14,$B27&amp;":"&amp;Z$16&amp;Z$17&amp;":"&amp;Z$19&amp;":"&amp;$B28)</f>
        <v>#NAME?</v>
      </c>
      <c r="AA28" s="353" t="e">
        <f ca="1">_xll.BLUEMATRIX2("/servlet/excelData",AA27, $C$14,$B27&amp;":"&amp;AA$16&amp;AA$17&amp;":"&amp;AA$19&amp;":"&amp;$B28)</f>
        <v>#NAME?</v>
      </c>
      <c r="AB28" s="301" t="e">
        <f ca="1">_xll.BLUEMATRIX2("/servlet/excelData",AB27, $C$14,$B27&amp;":"&amp;AB$16&amp;AB$17&amp;":"&amp;AB$19&amp;":"&amp;$B28)</f>
        <v>#NAME?</v>
      </c>
      <c r="AC28" s="353" t="e">
        <f ca="1">_xll.BLUEMATRIX2("/servlet/excelData",AC27, $C$14,$B27&amp;":"&amp;AC$16&amp;AC$17&amp;":"&amp;AC$19&amp;":"&amp;$B28)</f>
        <v>#NAME?</v>
      </c>
      <c r="AD28" s="353" t="e">
        <f ca="1">_xll.BLUEMATRIX2("/servlet/excelData",AD27, $C$14,$B27&amp;":"&amp;AD$16&amp;AD$17&amp;":"&amp;AD$19&amp;":"&amp;$B28)</f>
        <v>#NAME?</v>
      </c>
      <c r="AE28" s="353" t="e">
        <f ca="1">_xll.BLUEMATRIX2("/servlet/excelData",AE27, $C$14,$B27&amp;":"&amp;AE$16&amp;AE$17&amp;":"&amp;AE$19&amp;":"&amp;$B28)</f>
        <v>#NAME?</v>
      </c>
      <c r="AF28" s="353" t="e">
        <f ca="1">_xll.BLUEMATRIX2("/servlet/excelData",AF27, $C$14,$B27&amp;":"&amp;AF$16&amp;AF$17&amp;":"&amp;AF$19&amp;":"&amp;$B28)</f>
        <v>#NAME?</v>
      </c>
      <c r="AG28" s="301" t="e">
        <f ca="1">_xll.BLUEMATRIX2("/servlet/excelData",AG27, $C$14,$B27&amp;":"&amp;AG$16&amp;AG$17&amp;":"&amp;AG$19&amp;":"&amp;$B28)</f>
        <v>#NAME?</v>
      </c>
      <c r="AH28" s="353" t="e">
        <f ca="1">_xll.BLUEMATRIX2("/servlet/excelData",AH27, $C$14,$B27&amp;":"&amp;AH$16&amp;AH$17&amp;":"&amp;AH$19&amp;":"&amp;$B28)</f>
        <v>#NAME?</v>
      </c>
      <c r="AI28" s="353" t="e">
        <f ca="1">_xll.BLUEMATRIX2("/servlet/excelData",AI27, $C$14,$B27&amp;":"&amp;AI$16&amp;AI$17&amp;":"&amp;AI$19&amp;":"&amp;$B28)</f>
        <v>#NAME?</v>
      </c>
      <c r="AJ28" s="353" t="e">
        <f ca="1">_xll.BLUEMATRIX2("/servlet/excelData",AJ27, $C$14,$B27&amp;":"&amp;AJ$16&amp;AJ$17&amp;":"&amp;AJ$19&amp;":"&amp;$B28)</f>
        <v>#NAME?</v>
      </c>
      <c r="AK28" s="353" t="e">
        <f ca="1">_xll.BLUEMATRIX2("/servlet/excelData",AK27, $C$14,$B27&amp;":"&amp;AK$16&amp;AK$17&amp;":"&amp;AK$19&amp;":"&amp;$B28)</f>
        <v>#NAME?</v>
      </c>
      <c r="AL28" s="301" t="e">
        <f ca="1">_xll.BLUEMATRIX2("/servlet/excelData",AL27, $C$14,$B27&amp;":"&amp;AL$16&amp;AL$17&amp;":"&amp;AL$19&amp;":"&amp;$B28)</f>
        <v>#NAME?</v>
      </c>
      <c r="AM28" s="353" t="e">
        <f ca="1">_xll.BLUEMATRIX2("/servlet/excelData",AM27, $C$14,$B27&amp;":"&amp;AM$16&amp;AM$17&amp;":"&amp;AM$19&amp;":"&amp;$B28)</f>
        <v>#NAME?</v>
      </c>
      <c r="AN28" s="353" t="e">
        <f ca="1">_xll.BLUEMATRIX2("/servlet/excelData",AN27, $C$14,$B27&amp;":"&amp;AN$16&amp;AN$17&amp;":"&amp;AN$19&amp;":"&amp;$B28)</f>
        <v>#NAME?</v>
      </c>
      <c r="AO28" s="353" t="e">
        <f ca="1">_xll.BLUEMATRIX2("/servlet/excelData",AO27, $C$14,$B27&amp;":"&amp;AO$16&amp;AO$17&amp;":"&amp;AO$19&amp;":"&amp;$B28)</f>
        <v>#NAME?</v>
      </c>
      <c r="AP28" s="353" t="e">
        <f ca="1">_xll.BLUEMATRIX2("/servlet/excelData",AP27, $C$14,$B27&amp;":"&amp;AP$16&amp;AP$17&amp;":"&amp;AP$19&amp;":"&amp;$B28)</f>
        <v>#NAME?</v>
      </c>
      <c r="AQ28" s="301" t="e">
        <f ca="1">_xll.BLUEMATRIX2("/servlet/excelData",AQ27, $C$14,$B27&amp;":"&amp;AQ$16&amp;AQ$17&amp;":"&amp;AQ$19&amp;":"&amp;$B28)</f>
        <v>#NAME?</v>
      </c>
      <c r="AR28" s="353" t="e">
        <f ca="1">_xll.BLUEMATRIX2("/servlet/excelData",AR27, $C$14,$B27&amp;":"&amp;AR$16&amp;AR$17&amp;":"&amp;AR$19&amp;":"&amp;$B28)</f>
        <v>#NAME?</v>
      </c>
      <c r="AS28" s="353" t="e">
        <f ca="1">_xll.BLUEMATRIX2("/servlet/excelData",AS27, $C$14,$B27&amp;":"&amp;AS$16&amp;AS$17&amp;":"&amp;AS$19&amp;":"&amp;$B28)</f>
        <v>#NAME?</v>
      </c>
      <c r="AT28" s="353" t="e">
        <f ca="1">_xll.BLUEMATRIX2("/servlet/excelData",AT27, $C$14,$B27&amp;":"&amp;AT$16&amp;AT$17&amp;":"&amp;AT$19&amp;":"&amp;$B28)</f>
        <v>#NAME?</v>
      </c>
      <c r="AU28" s="353" t="e">
        <f ca="1">_xll.BLUEMATRIX2("/servlet/excelData",AU27, $C$14,$B27&amp;":"&amp;AU$16&amp;AU$17&amp;":"&amp;AU$19&amp;":"&amp;$B28)</f>
        <v>#NAME?</v>
      </c>
      <c r="AV28" s="301" t="e">
        <f ca="1">_xll.BLUEMATRIX2("/servlet/excelData",AV27, $C$14,$B27&amp;":"&amp;AV$16&amp;AV$17&amp;":"&amp;AV$19&amp;":"&amp;$B28)</f>
        <v>#NAME?</v>
      </c>
      <c r="AW28" s="353" t="e">
        <f ca="1">_xll.BLUEMATRIX2("/servlet/excelData",AW27, $C$14,$B27&amp;":"&amp;AW$16&amp;AW$17&amp;":"&amp;AW$19&amp;":"&amp;$B28)</f>
        <v>#NAME?</v>
      </c>
      <c r="AX28" s="353" t="e">
        <f ca="1">_xll.BLUEMATRIX2("/servlet/excelData",AX27, $C$14,$B27&amp;":"&amp;AX$16&amp;AX$17&amp;":"&amp;AX$19&amp;":"&amp;$B28)</f>
        <v>#NAME?</v>
      </c>
      <c r="AY28" s="353" t="e">
        <f ca="1">_xll.BLUEMATRIX2("/servlet/excelData",AY27, $C$14,$B27&amp;":"&amp;AY$16&amp;AY$17&amp;":"&amp;AY$19&amp;":"&amp;$B28)</f>
        <v>#NAME?</v>
      </c>
      <c r="AZ28" s="353" t="e">
        <f ca="1">_xll.BLUEMATRIX2("/servlet/excelData",AZ27, $C$14,$B27&amp;":"&amp;AZ$16&amp;AZ$17&amp;":"&amp;AZ$19&amp;":"&amp;$B28)</f>
        <v>#NAME?</v>
      </c>
      <c r="BA28" s="301" t="e">
        <f ca="1">_xll.BLUEMATRIX2("/servlet/excelData",BA27, $C$14,$B27&amp;":"&amp;BA$16&amp;BA$17&amp;":"&amp;BA$19&amp;":"&amp;$B28)</f>
        <v>#NAME?</v>
      </c>
      <c r="BB28" s="344"/>
      <c r="BC28" s="344"/>
      <c r="BD28" s="292"/>
      <c r="BE28" s="344"/>
      <c r="BF28" s="344"/>
      <c r="BG28" s="344"/>
      <c r="BH28" s="344"/>
      <c r="BI28" s="344"/>
      <c r="BJ28" s="344"/>
      <c r="BK28" s="344"/>
      <c r="BL28" s="344"/>
      <c r="BM28" s="344"/>
      <c r="BN28" s="344"/>
      <c r="BO28" s="344"/>
      <c r="BP28" s="344"/>
      <c r="BQ28" s="344"/>
      <c r="BR28" s="344"/>
      <c r="BS28" s="344"/>
      <c r="BT28" s="344"/>
      <c r="BU28" s="344"/>
      <c r="BV28" s="344"/>
      <c r="BW28" s="344"/>
      <c r="BX28" s="344"/>
      <c r="BY28" s="344"/>
      <c r="BZ28" s="344"/>
      <c r="CA28" s="344"/>
      <c r="CB28" s="344"/>
      <c r="CC28" s="344"/>
      <c r="CD28" s="344"/>
      <c r="CE28" s="344"/>
      <c r="CF28" s="344"/>
      <c r="CG28" s="344"/>
      <c r="CH28" s="344"/>
      <c r="CI28" s="344"/>
      <c r="CJ28" s="344"/>
      <c r="CK28" s="344"/>
      <c r="CL28" s="344"/>
      <c r="CM28" s="344"/>
      <c r="CN28" s="344"/>
      <c r="CO28" s="344"/>
      <c r="CP28" s="344"/>
      <c r="CQ28" s="344"/>
      <c r="CR28" s="344"/>
      <c r="CS28" s="344"/>
      <c r="CT28" s="344"/>
      <c r="CU28" s="344"/>
      <c r="CV28" s="344"/>
      <c r="CW28" s="344"/>
      <c r="CX28" s="344"/>
      <c r="CY28" s="344"/>
      <c r="CZ28" s="344"/>
      <c r="DA28" s="344"/>
      <c r="DB28" s="344"/>
      <c r="DC28" s="344"/>
      <c r="DD28" s="344"/>
      <c r="DE28" s="344"/>
      <c r="DF28" s="344"/>
      <c r="DG28" s="344"/>
      <c r="DH28" s="344"/>
      <c r="DI28" s="344"/>
      <c r="DJ28" s="344"/>
      <c r="DK28" s="344"/>
      <c r="DL28" s="344"/>
      <c r="DM28" s="344"/>
      <c r="DN28" s="344"/>
      <c r="DO28" s="344"/>
      <c r="DP28" s="344"/>
      <c r="DQ28" s="344"/>
      <c r="DR28" s="344"/>
      <c r="DS28" s="344"/>
      <c r="DT28" s="344"/>
      <c r="DU28" s="344"/>
      <c r="DV28" s="344"/>
      <c r="DW28" s="344"/>
      <c r="DX28" s="344"/>
      <c r="DY28" s="344"/>
      <c r="DZ28" s="344"/>
      <c r="EA28" s="344"/>
      <c r="EB28" s="344"/>
      <c r="EC28" s="344"/>
      <c r="ED28" s="344"/>
      <c r="EE28" s="344"/>
      <c r="EF28" s="344"/>
      <c r="EG28" s="344"/>
      <c r="EH28" s="344"/>
      <c r="EI28" s="344"/>
      <c r="EJ28" s="344"/>
      <c r="EK28" s="344"/>
      <c r="EL28" s="344"/>
      <c r="EM28" s="344"/>
      <c r="EN28" s="344"/>
      <c r="EO28" s="344"/>
      <c r="EP28" s="344"/>
      <c r="EQ28" s="344"/>
      <c r="ER28" s="344"/>
      <c r="ES28" s="344"/>
      <c r="ET28" s="344"/>
      <c r="EU28" s="344"/>
      <c r="EV28" s="344"/>
      <c r="EW28" s="344"/>
      <c r="EX28" s="344"/>
      <c r="EY28" s="344"/>
      <c r="EZ28" s="344"/>
      <c r="FA28" s="344"/>
      <c r="FB28" s="344"/>
      <c r="FC28" s="344"/>
      <c r="FD28" s="344"/>
      <c r="FE28" s="344"/>
      <c r="FF28" s="344"/>
      <c r="FG28" s="344"/>
      <c r="FH28" s="344"/>
      <c r="FI28" s="344"/>
      <c r="FJ28" s="344"/>
      <c r="FK28" s="344"/>
      <c r="FL28" s="344"/>
      <c r="FM28" s="344"/>
      <c r="FN28" s="344"/>
      <c r="FO28" s="344"/>
      <c r="FP28" s="344"/>
      <c r="FQ28" s="344"/>
      <c r="FR28" s="344"/>
      <c r="FS28" s="344"/>
      <c r="FT28" s="344"/>
      <c r="FU28" s="344"/>
      <c r="FV28" s="344"/>
      <c r="FW28" s="344"/>
      <c r="FX28" s="344"/>
      <c r="FY28" s="344"/>
      <c r="FZ28" s="344"/>
      <c r="GA28" s="344"/>
      <c r="GB28" s="344"/>
      <c r="GC28" s="344"/>
      <c r="GD28" s="344"/>
      <c r="GE28" s="344"/>
      <c r="GF28" s="344"/>
      <c r="GG28" s="344"/>
      <c r="GH28" s="344"/>
      <c r="GI28" s="344"/>
      <c r="GJ28" s="344"/>
      <c r="GK28" s="344"/>
      <c r="GL28" s="344"/>
      <c r="GM28" s="344"/>
      <c r="GN28" s="344"/>
      <c r="GO28" s="344"/>
      <c r="GP28" s="344"/>
      <c r="GQ28" s="344"/>
      <c r="GR28" s="344"/>
      <c r="GS28" s="344"/>
      <c r="GT28" s="344"/>
      <c r="GU28" s="344"/>
      <c r="GV28" s="344"/>
      <c r="GW28" s="344"/>
      <c r="GX28" s="344"/>
      <c r="GY28" s="344"/>
      <c r="GZ28" s="344"/>
      <c r="HA28" s="344"/>
      <c r="HB28" s="344"/>
      <c r="HC28" s="344"/>
      <c r="HD28" s="344"/>
      <c r="HE28" s="344"/>
      <c r="HF28" s="344"/>
      <c r="HG28" s="344"/>
      <c r="HH28" s="344"/>
      <c r="HI28" s="344"/>
      <c r="HJ28" s="344"/>
      <c r="HK28" s="344"/>
      <c r="HL28" s="344"/>
      <c r="HM28" s="344"/>
      <c r="HN28" s="344"/>
      <c r="HO28" s="344"/>
      <c r="HP28" s="344"/>
      <c r="HQ28" s="344"/>
      <c r="HR28" s="344"/>
      <c r="HS28" s="344"/>
      <c r="HT28" s="344"/>
      <c r="HU28" s="344"/>
      <c r="HV28" s="344"/>
      <c r="HW28" s="344"/>
      <c r="HX28" s="344"/>
      <c r="HY28" s="344"/>
      <c r="HZ28" s="344"/>
      <c r="IA28" s="344"/>
      <c r="IB28" s="344"/>
      <c r="IC28" s="344"/>
      <c r="ID28" s="344"/>
      <c r="IE28" s="344"/>
      <c r="IF28" s="344"/>
      <c r="IG28" s="344"/>
      <c r="IH28" s="344"/>
      <c r="II28" s="344"/>
      <c r="IJ28" s="344"/>
      <c r="IK28" s="344"/>
      <c r="IL28" s="344"/>
      <c r="IM28" s="344"/>
      <c r="IN28" s="344"/>
      <c r="IO28" s="344"/>
      <c r="IP28" s="344"/>
      <c r="IQ28" s="344"/>
      <c r="IR28" s="344"/>
      <c r="IS28" s="344"/>
      <c r="IT28" s="344"/>
      <c r="IU28" s="344"/>
      <c r="IV28" s="344"/>
      <c r="IW28" s="344"/>
      <c r="IX28" s="344"/>
      <c r="IY28" s="344"/>
      <c r="IZ28" s="344"/>
      <c r="JA28" s="344"/>
      <c r="JB28" s="344"/>
      <c r="JC28" s="344"/>
      <c r="JD28" s="344"/>
      <c r="JE28" s="344"/>
      <c r="JF28" s="344"/>
      <c r="JG28" s="344"/>
      <c r="JH28" s="344"/>
      <c r="JI28" s="344"/>
      <c r="JJ28" s="344"/>
      <c r="JK28" s="344"/>
      <c r="JL28" s="344"/>
      <c r="JM28" s="344"/>
      <c r="JN28" s="344"/>
      <c r="JO28" s="344"/>
      <c r="JP28" s="344"/>
      <c r="JQ28" s="344"/>
      <c r="JR28" s="344"/>
      <c r="JS28" s="344"/>
      <c r="JT28" s="344"/>
      <c r="JU28" s="344"/>
    </row>
    <row r="29" spans="1:281">
      <c r="A29" s="354" t="s">
        <v>589</v>
      </c>
      <c r="B29" s="336" t="s">
        <v>590</v>
      </c>
      <c r="C29" s="337"/>
      <c r="D29" s="355"/>
      <c r="E29" s="356"/>
      <c r="F29" s="356"/>
      <c r="G29" s="356"/>
      <c r="H29" s="357"/>
      <c r="I29" s="356"/>
      <c r="J29" s="356"/>
      <c r="K29" s="356"/>
      <c r="L29" s="356"/>
      <c r="M29" s="357"/>
      <c r="N29" s="356"/>
      <c r="O29" s="356"/>
      <c r="P29" s="356"/>
      <c r="Q29" s="356"/>
      <c r="R29" s="357"/>
      <c r="S29" s="356"/>
      <c r="T29" s="356"/>
      <c r="U29" s="356"/>
      <c r="V29" s="356"/>
      <c r="W29" s="357"/>
      <c r="X29" s="356"/>
      <c r="Y29" s="356"/>
      <c r="Z29" s="356"/>
      <c r="AA29" s="356"/>
      <c r="AB29" s="357"/>
      <c r="AC29" s="356"/>
      <c r="AD29" s="356"/>
      <c r="AE29" s="356"/>
      <c r="AF29" s="356"/>
      <c r="AG29" s="357"/>
      <c r="AH29" s="356"/>
      <c r="AI29" s="356"/>
      <c r="AJ29" s="356"/>
      <c r="AK29" s="356"/>
      <c r="AL29" s="357"/>
      <c r="AM29" s="356"/>
      <c r="AN29" s="356"/>
      <c r="AO29" s="356"/>
      <c r="AP29" s="356"/>
      <c r="AQ29" s="357"/>
      <c r="AR29" s="356"/>
      <c r="AS29" s="356"/>
      <c r="AT29" s="356"/>
      <c r="AU29" s="356"/>
      <c r="AV29" s="357"/>
      <c r="AW29" s="356"/>
      <c r="AX29" s="356"/>
      <c r="AY29" s="356"/>
      <c r="AZ29" s="356"/>
      <c r="BA29" s="357"/>
      <c r="BD29" s="292"/>
    </row>
    <row r="30" spans="1:281">
      <c r="A30" s="358"/>
      <c r="B30" s="340"/>
      <c r="C30" s="341"/>
      <c r="D30" s="359" t="e">
        <f ca="1">_xll.BLUEMATRIX2("/servlet/excelData",D29, $C$14,$B29&amp;":"&amp;D$16&amp;D$17&amp;":"&amp;D$19&amp;":"&amp;$B30)</f>
        <v>#NAME?</v>
      </c>
      <c r="E30" s="342" t="e">
        <f ca="1">_xll.BLUEMATRIX2("/servlet/excelData",E29, $C$14,$B29&amp;":"&amp;E$16&amp;E$17&amp;":"&amp;E$19&amp;":"&amp;$B30)</f>
        <v>#NAME?</v>
      </c>
      <c r="F30" s="342" t="e">
        <f ca="1">_xll.BLUEMATRIX2("/servlet/excelData",F29, $C$14,$B29&amp;":"&amp;F$16&amp;F$17&amp;":"&amp;F$19&amp;":"&amp;$B30)</f>
        <v>#NAME?</v>
      </c>
      <c r="G30" s="342" t="e">
        <f ca="1">_xll.BLUEMATRIX2("/servlet/excelData",G29, $C$14,$B29&amp;":"&amp;G$16&amp;G$17&amp;":"&amp;G$19&amp;":"&amp;$B30)</f>
        <v>#NAME?</v>
      </c>
      <c r="H30" s="343" t="e">
        <f ca="1">_xll.BLUEMATRIX2("/servlet/excelData",H29, $C$14,$B29&amp;":"&amp;H$16&amp;H$17&amp;":"&amp;H$19&amp;":"&amp;$B30)</f>
        <v>#NAME?</v>
      </c>
      <c r="I30" s="342" t="e">
        <f ca="1">_xll.BLUEMATRIX2("/servlet/excelData",I29, $C$14,$B29&amp;":"&amp;I$16&amp;I$17&amp;":"&amp;I$19&amp;":"&amp;$B30)</f>
        <v>#NAME?</v>
      </c>
      <c r="J30" s="342" t="e">
        <f ca="1">_xll.BLUEMATRIX2("/servlet/excelData",J29, $C$14,$B29&amp;":"&amp;J$16&amp;J$17&amp;":"&amp;J$19&amp;":"&amp;$B30)</f>
        <v>#NAME?</v>
      </c>
      <c r="K30" s="342" t="e">
        <f ca="1">_xll.BLUEMATRIX2("/servlet/excelData",K29, $C$14,$B29&amp;":"&amp;K$16&amp;K$17&amp;":"&amp;K$19&amp;":"&amp;$B30)</f>
        <v>#NAME?</v>
      </c>
      <c r="L30" s="342" t="e">
        <f ca="1">_xll.BLUEMATRIX2("/servlet/excelData",L29, $C$14,$B29&amp;":"&amp;L$16&amp;L$17&amp;":"&amp;L$19&amp;":"&amp;$B30)</f>
        <v>#NAME?</v>
      </c>
      <c r="M30" s="343" t="e">
        <f ca="1">_xll.BLUEMATRIX2("/servlet/excelData",M29, $C$14,$B29&amp;":"&amp;M$16&amp;M$17&amp;":"&amp;M$19&amp;":"&amp;$B30)</f>
        <v>#NAME?</v>
      </c>
      <c r="N30" s="342" t="e">
        <f ca="1">_xll.BLUEMATRIX2("/servlet/excelData",N29, $C$14,$B29&amp;":"&amp;N$16&amp;N$17&amp;":"&amp;N$19&amp;":"&amp;$B30)</f>
        <v>#NAME?</v>
      </c>
      <c r="O30" s="342" t="e">
        <f ca="1">_xll.BLUEMATRIX2("/servlet/excelData",O29, $C$14,$B29&amp;":"&amp;O$16&amp;O$17&amp;":"&amp;O$19&amp;":"&amp;$B30)</f>
        <v>#NAME?</v>
      </c>
      <c r="P30" s="342" t="e">
        <f ca="1">_xll.BLUEMATRIX2("/servlet/excelData",P29, $C$14,$B29&amp;":"&amp;P$16&amp;P$17&amp;":"&amp;P$19&amp;":"&amp;$B30)</f>
        <v>#NAME?</v>
      </c>
      <c r="Q30" s="342" t="e">
        <f ca="1">_xll.BLUEMATRIX2("/servlet/excelData",Q29, $C$14,$B29&amp;":"&amp;Q$16&amp;Q$17&amp;":"&amp;Q$19&amp;":"&amp;$B30)</f>
        <v>#NAME?</v>
      </c>
      <c r="R30" s="343" t="e">
        <f ca="1">_xll.BLUEMATRIX2("/servlet/excelData",R29, $C$14,$B29&amp;":"&amp;R$16&amp;R$17&amp;":"&amp;R$19&amp;":"&amp;$B30)</f>
        <v>#NAME?</v>
      </c>
      <c r="S30" s="342" t="e">
        <f ca="1">_xll.BLUEMATRIX2("/servlet/excelData",S29, $C$14,$B29&amp;":"&amp;S$16&amp;S$17&amp;":"&amp;S$19&amp;":"&amp;$B30)</f>
        <v>#NAME?</v>
      </c>
      <c r="T30" s="342" t="e">
        <f ca="1">_xll.BLUEMATRIX2("/servlet/excelData",T29, $C$14,$B29&amp;":"&amp;T$16&amp;T$17&amp;":"&amp;T$19&amp;":"&amp;$B30)</f>
        <v>#NAME?</v>
      </c>
      <c r="U30" s="342" t="e">
        <f ca="1">_xll.BLUEMATRIX2("/servlet/excelData",U29, $C$14,$B29&amp;":"&amp;U$16&amp;U$17&amp;":"&amp;U$19&amp;":"&amp;$B30)</f>
        <v>#NAME?</v>
      </c>
      <c r="V30" s="342" t="e">
        <f ca="1">_xll.BLUEMATRIX2("/servlet/excelData",V29, $C$14,$B29&amp;":"&amp;V$16&amp;V$17&amp;":"&amp;V$19&amp;":"&amp;$B30)</f>
        <v>#NAME?</v>
      </c>
      <c r="W30" s="343" t="e">
        <f ca="1">_xll.BLUEMATRIX2("/servlet/excelData",W29, $C$14,$B29&amp;":"&amp;W$16&amp;W$17&amp;":"&amp;W$19&amp;":"&amp;$B30)</f>
        <v>#NAME?</v>
      </c>
      <c r="X30" s="342" t="e">
        <f ca="1">_xll.BLUEMATRIX2("/servlet/excelData",X29, $C$14,$B29&amp;":"&amp;X$16&amp;X$17&amp;":"&amp;X$19&amp;":"&amp;$B30)</f>
        <v>#NAME?</v>
      </c>
      <c r="Y30" s="342" t="e">
        <f ca="1">_xll.BLUEMATRIX2("/servlet/excelData",Y29, $C$14,$B29&amp;":"&amp;Y$16&amp;Y$17&amp;":"&amp;Y$19&amp;":"&amp;$B30)</f>
        <v>#NAME?</v>
      </c>
      <c r="Z30" s="342" t="e">
        <f ca="1">_xll.BLUEMATRIX2("/servlet/excelData",Z29, $C$14,$B29&amp;":"&amp;Z$16&amp;Z$17&amp;":"&amp;Z$19&amp;":"&amp;$B30)</f>
        <v>#NAME?</v>
      </c>
      <c r="AA30" s="342" t="e">
        <f ca="1">_xll.BLUEMATRIX2("/servlet/excelData",AA29, $C$14,$B29&amp;":"&amp;AA$16&amp;AA$17&amp;":"&amp;AA$19&amp;":"&amp;$B30)</f>
        <v>#NAME?</v>
      </c>
      <c r="AB30" s="343" t="e">
        <f ca="1">_xll.BLUEMATRIX2("/servlet/excelData",AB29, $C$14,$B29&amp;":"&amp;AB$16&amp;AB$17&amp;":"&amp;AB$19&amp;":"&amp;$B30)</f>
        <v>#NAME?</v>
      </c>
      <c r="AC30" s="342" t="e">
        <f ca="1">_xll.BLUEMATRIX2("/servlet/excelData",AC29, $C$14,$B29&amp;":"&amp;AC$16&amp;AC$17&amp;":"&amp;AC$19&amp;":"&amp;$B30)</f>
        <v>#NAME?</v>
      </c>
      <c r="AD30" s="342" t="e">
        <f ca="1">_xll.BLUEMATRIX2("/servlet/excelData",AD29, $C$14,$B29&amp;":"&amp;AD$16&amp;AD$17&amp;":"&amp;AD$19&amp;":"&amp;$B30)</f>
        <v>#NAME?</v>
      </c>
      <c r="AE30" s="342" t="e">
        <f ca="1">_xll.BLUEMATRIX2("/servlet/excelData",AE29, $C$14,$B29&amp;":"&amp;AE$16&amp;AE$17&amp;":"&amp;AE$19&amp;":"&amp;$B30)</f>
        <v>#NAME?</v>
      </c>
      <c r="AF30" s="342" t="e">
        <f ca="1">_xll.BLUEMATRIX2("/servlet/excelData",AF29, $C$14,$B29&amp;":"&amp;AF$16&amp;AF$17&amp;":"&amp;AF$19&amp;":"&amp;$B30)</f>
        <v>#NAME?</v>
      </c>
      <c r="AG30" s="343" t="e">
        <f ca="1">_xll.BLUEMATRIX2("/servlet/excelData",AG29, $C$14,$B29&amp;":"&amp;AG$16&amp;AG$17&amp;":"&amp;AG$19&amp;":"&amp;$B30)</f>
        <v>#NAME?</v>
      </c>
      <c r="AH30" s="342" t="e">
        <f ca="1">_xll.BLUEMATRIX2("/servlet/excelData",AH29, $C$14,$B29&amp;":"&amp;AH$16&amp;AH$17&amp;":"&amp;AH$19&amp;":"&amp;$B30)</f>
        <v>#NAME?</v>
      </c>
      <c r="AI30" s="342" t="e">
        <f ca="1">_xll.BLUEMATRIX2("/servlet/excelData",AI29, $C$14,$B29&amp;":"&amp;AI$16&amp;AI$17&amp;":"&amp;AI$19&amp;":"&amp;$B30)</f>
        <v>#NAME?</v>
      </c>
      <c r="AJ30" s="342" t="e">
        <f ca="1">_xll.BLUEMATRIX2("/servlet/excelData",AJ29, $C$14,$B29&amp;":"&amp;AJ$16&amp;AJ$17&amp;":"&amp;AJ$19&amp;":"&amp;$B30)</f>
        <v>#NAME?</v>
      </c>
      <c r="AK30" s="342" t="e">
        <f ca="1">_xll.BLUEMATRIX2("/servlet/excelData",AK29, $C$14,$B29&amp;":"&amp;AK$16&amp;AK$17&amp;":"&amp;AK$19&amp;":"&amp;$B30)</f>
        <v>#NAME?</v>
      </c>
      <c r="AL30" s="343" t="e">
        <f ca="1">_xll.BLUEMATRIX2("/servlet/excelData",AL29, $C$14,$B29&amp;":"&amp;AL$16&amp;AL$17&amp;":"&amp;AL$19&amp;":"&amp;$B30)</f>
        <v>#NAME?</v>
      </c>
      <c r="AM30" s="342" t="e">
        <f ca="1">_xll.BLUEMATRIX2("/servlet/excelData",AM29, $C$14,$B29&amp;":"&amp;AM$16&amp;AM$17&amp;":"&amp;AM$19&amp;":"&amp;$B30)</f>
        <v>#NAME?</v>
      </c>
      <c r="AN30" s="342" t="e">
        <f ca="1">_xll.BLUEMATRIX2("/servlet/excelData",AN29, $C$14,$B29&amp;":"&amp;AN$16&amp;AN$17&amp;":"&amp;AN$19&amp;":"&amp;$B30)</f>
        <v>#NAME?</v>
      </c>
      <c r="AO30" s="342" t="e">
        <f ca="1">_xll.BLUEMATRIX2("/servlet/excelData",AO29, $C$14,$B29&amp;":"&amp;AO$16&amp;AO$17&amp;":"&amp;AO$19&amp;":"&amp;$B30)</f>
        <v>#NAME?</v>
      </c>
      <c r="AP30" s="342" t="e">
        <f ca="1">_xll.BLUEMATRIX2("/servlet/excelData",AP29, $C$14,$B29&amp;":"&amp;AP$16&amp;AP$17&amp;":"&amp;AP$19&amp;":"&amp;$B30)</f>
        <v>#NAME?</v>
      </c>
      <c r="AQ30" s="343" t="e">
        <f ca="1">_xll.BLUEMATRIX2("/servlet/excelData",AQ29, $C$14,$B29&amp;":"&amp;AQ$16&amp;AQ$17&amp;":"&amp;AQ$19&amp;":"&amp;$B30)</f>
        <v>#NAME?</v>
      </c>
      <c r="AR30" s="342" t="e">
        <f ca="1">_xll.BLUEMATRIX2("/servlet/excelData",AR29, $C$14,$B29&amp;":"&amp;AR$16&amp;AR$17&amp;":"&amp;AR$19&amp;":"&amp;$B30)</f>
        <v>#NAME?</v>
      </c>
      <c r="AS30" s="342" t="e">
        <f ca="1">_xll.BLUEMATRIX2("/servlet/excelData",AS29, $C$14,$B29&amp;":"&amp;AS$16&amp;AS$17&amp;":"&amp;AS$19&amp;":"&amp;$B30)</f>
        <v>#NAME?</v>
      </c>
      <c r="AT30" s="342" t="e">
        <f ca="1">_xll.BLUEMATRIX2("/servlet/excelData",AT29, $C$14,$B29&amp;":"&amp;AT$16&amp;AT$17&amp;":"&amp;AT$19&amp;":"&amp;$B30)</f>
        <v>#NAME?</v>
      </c>
      <c r="AU30" s="342" t="e">
        <f ca="1">_xll.BLUEMATRIX2("/servlet/excelData",AU29, $C$14,$B29&amp;":"&amp;AU$16&amp;AU$17&amp;":"&amp;AU$19&amp;":"&amp;$B30)</f>
        <v>#NAME?</v>
      </c>
      <c r="AV30" s="343" t="e">
        <f ca="1">_xll.BLUEMATRIX2("/servlet/excelData",AV29, $C$14,$B29&amp;":"&amp;AV$16&amp;AV$17&amp;":"&amp;AV$19&amp;":"&amp;$B30)</f>
        <v>#NAME?</v>
      </c>
      <c r="AW30" s="342" t="e">
        <f ca="1">_xll.BLUEMATRIX2("/servlet/excelData",AW29, $C$14,$B29&amp;":"&amp;AW$16&amp;AW$17&amp;":"&amp;AW$19&amp;":"&amp;$B30)</f>
        <v>#NAME?</v>
      </c>
      <c r="AX30" s="342" t="e">
        <f ca="1">_xll.BLUEMATRIX2("/servlet/excelData",AX29, $C$14,$B29&amp;":"&amp;AX$16&amp;AX$17&amp;":"&amp;AX$19&amp;":"&amp;$B30)</f>
        <v>#NAME?</v>
      </c>
      <c r="AY30" s="342" t="e">
        <f ca="1">_xll.BLUEMATRIX2("/servlet/excelData",AY29, $C$14,$B29&amp;":"&amp;AY$16&amp;AY$17&amp;":"&amp;AY$19&amp;":"&amp;$B30)</f>
        <v>#NAME?</v>
      </c>
      <c r="AZ30" s="342" t="e">
        <f ca="1">_xll.BLUEMATRIX2("/servlet/excelData",AZ29, $C$14,$B29&amp;":"&amp;AZ$16&amp;AZ$17&amp;":"&amp;AZ$19&amp;":"&amp;$B30)</f>
        <v>#NAME?</v>
      </c>
      <c r="BA30" s="343" t="e">
        <f ca="1">_xll.BLUEMATRIX2("/servlet/excelData",BA29, $C$14,$B29&amp;":"&amp;BA$16&amp;BA$17&amp;":"&amp;BA$19&amp;":"&amp;$B30)</f>
        <v>#NAME?</v>
      </c>
      <c r="BB30" s="344"/>
      <c r="BC30" s="344"/>
      <c r="BE30" s="344"/>
      <c r="BF30" s="344"/>
      <c r="BG30" s="344"/>
      <c r="BH30" s="344"/>
      <c r="BI30" s="344"/>
      <c r="BJ30" s="344"/>
      <c r="BK30" s="344"/>
      <c r="BL30" s="344"/>
      <c r="BM30" s="344"/>
      <c r="BN30" s="344"/>
      <c r="BO30" s="344"/>
      <c r="BP30" s="344"/>
      <c r="BQ30" s="344"/>
      <c r="BR30" s="344"/>
      <c r="BS30" s="344"/>
      <c r="BT30" s="344"/>
      <c r="BU30" s="344"/>
      <c r="BV30" s="344"/>
      <c r="BW30" s="344"/>
      <c r="BX30" s="344"/>
      <c r="BY30" s="344"/>
      <c r="BZ30" s="344"/>
      <c r="CA30" s="344"/>
      <c r="CB30" s="344"/>
      <c r="CC30" s="344"/>
      <c r="CD30" s="344"/>
      <c r="CE30" s="344"/>
      <c r="CF30" s="344"/>
      <c r="CG30" s="344"/>
      <c r="CH30" s="344"/>
      <c r="CI30" s="344"/>
      <c r="CJ30" s="344"/>
      <c r="CK30" s="344"/>
      <c r="CL30" s="344"/>
      <c r="CM30" s="344"/>
      <c r="CN30" s="344"/>
      <c r="CO30" s="344"/>
      <c r="CP30" s="344"/>
      <c r="CQ30" s="344"/>
      <c r="CR30" s="344"/>
      <c r="CS30" s="344"/>
      <c r="CT30" s="344"/>
      <c r="CU30" s="344"/>
      <c r="CV30" s="344"/>
      <c r="CW30" s="344"/>
      <c r="CX30" s="344"/>
      <c r="CY30" s="344"/>
      <c r="CZ30" s="344"/>
      <c r="DA30" s="344"/>
      <c r="DB30" s="344"/>
      <c r="DC30" s="344"/>
      <c r="DD30" s="344"/>
      <c r="DE30" s="344"/>
      <c r="DF30" s="344"/>
      <c r="DG30" s="344"/>
      <c r="DH30" s="344"/>
      <c r="DI30" s="344"/>
      <c r="DJ30" s="344"/>
      <c r="DK30" s="344"/>
      <c r="DL30" s="344"/>
      <c r="DM30" s="344"/>
      <c r="DN30" s="344"/>
      <c r="DO30" s="344"/>
      <c r="DP30" s="344"/>
      <c r="DQ30" s="344"/>
      <c r="DR30" s="344"/>
      <c r="DS30" s="344"/>
      <c r="DT30" s="344"/>
      <c r="DU30" s="344"/>
      <c r="DV30" s="344"/>
      <c r="DW30" s="344"/>
      <c r="DX30" s="344"/>
      <c r="DY30" s="344"/>
      <c r="DZ30" s="344"/>
      <c r="EA30" s="344"/>
      <c r="EB30" s="344"/>
      <c r="EC30" s="344"/>
      <c r="ED30" s="344"/>
      <c r="EE30" s="344"/>
      <c r="EF30" s="344"/>
      <c r="EG30" s="344"/>
      <c r="EH30" s="344"/>
      <c r="EI30" s="344"/>
      <c r="EJ30" s="344"/>
      <c r="EK30" s="344"/>
      <c r="EL30" s="344"/>
      <c r="EM30" s="344"/>
      <c r="EN30" s="344"/>
      <c r="EO30" s="344"/>
      <c r="EP30" s="344"/>
      <c r="EQ30" s="344"/>
      <c r="ER30" s="344"/>
      <c r="ES30" s="344"/>
      <c r="ET30" s="344"/>
      <c r="EU30" s="344"/>
      <c r="EV30" s="344"/>
      <c r="EW30" s="344"/>
      <c r="EX30" s="344"/>
      <c r="EY30" s="344"/>
      <c r="EZ30" s="344"/>
      <c r="FA30" s="344"/>
      <c r="FB30" s="344"/>
      <c r="FC30" s="344"/>
      <c r="FD30" s="344"/>
      <c r="FE30" s="344"/>
      <c r="FF30" s="344"/>
      <c r="FG30" s="344"/>
      <c r="FH30" s="344"/>
      <c r="FI30" s="344"/>
      <c r="FJ30" s="344"/>
      <c r="FK30" s="344"/>
      <c r="FL30" s="344"/>
      <c r="FM30" s="344"/>
      <c r="FN30" s="344"/>
      <c r="FO30" s="344"/>
      <c r="FP30" s="344"/>
      <c r="FQ30" s="344"/>
      <c r="FR30" s="344"/>
      <c r="FS30" s="344"/>
      <c r="FT30" s="344"/>
      <c r="FU30" s="344"/>
      <c r="FV30" s="344"/>
      <c r="FW30" s="344"/>
      <c r="FX30" s="344"/>
      <c r="FY30" s="344"/>
      <c r="FZ30" s="344"/>
      <c r="GA30" s="344"/>
      <c r="GB30" s="344"/>
      <c r="GC30" s="344"/>
      <c r="GD30" s="344"/>
      <c r="GE30" s="344"/>
      <c r="GF30" s="344"/>
      <c r="GG30" s="344"/>
      <c r="GH30" s="344"/>
      <c r="GI30" s="344"/>
      <c r="GJ30" s="344"/>
      <c r="GK30" s="344"/>
      <c r="GL30" s="344"/>
      <c r="GM30" s="344"/>
      <c r="GN30" s="344"/>
      <c r="GO30" s="344"/>
      <c r="GP30" s="344"/>
      <c r="GQ30" s="344"/>
      <c r="GR30" s="344"/>
      <c r="GS30" s="344"/>
      <c r="GT30" s="344"/>
      <c r="GU30" s="344"/>
      <c r="GV30" s="344"/>
      <c r="GW30" s="344"/>
      <c r="GX30" s="344"/>
      <c r="GY30" s="344"/>
      <c r="GZ30" s="344"/>
      <c r="HA30" s="344"/>
      <c r="HB30" s="344"/>
      <c r="HC30" s="344"/>
      <c r="HD30" s="344"/>
      <c r="HE30" s="344"/>
      <c r="HF30" s="344"/>
      <c r="HG30" s="344"/>
      <c r="HH30" s="344"/>
      <c r="HI30" s="344"/>
      <c r="HJ30" s="344"/>
      <c r="HK30" s="344"/>
      <c r="HL30" s="344"/>
      <c r="HM30" s="344"/>
      <c r="HN30" s="344"/>
      <c r="HO30" s="344"/>
      <c r="HP30" s="344"/>
      <c r="HQ30" s="344"/>
      <c r="HR30" s="344"/>
      <c r="HS30" s="344"/>
      <c r="HT30" s="344"/>
      <c r="HU30" s="344"/>
      <c r="HV30" s="344"/>
      <c r="HW30" s="344"/>
      <c r="HX30" s="344"/>
      <c r="HY30" s="344"/>
      <c r="HZ30" s="344"/>
      <c r="IA30" s="344"/>
      <c r="IB30" s="344"/>
      <c r="IC30" s="344"/>
      <c r="ID30" s="344"/>
      <c r="IE30" s="344"/>
      <c r="IF30" s="344"/>
      <c r="IG30" s="344"/>
      <c r="IH30" s="344"/>
      <c r="II30" s="344"/>
      <c r="IJ30" s="344"/>
      <c r="IK30" s="344"/>
      <c r="IL30" s="344"/>
      <c r="IM30" s="344"/>
      <c r="IN30" s="344"/>
      <c r="IO30" s="344"/>
      <c r="IP30" s="344"/>
      <c r="IQ30" s="344"/>
      <c r="IR30" s="344"/>
      <c r="IS30" s="344"/>
      <c r="IT30" s="344"/>
      <c r="IU30" s="344"/>
      <c r="IV30" s="344"/>
      <c r="IW30" s="344"/>
      <c r="IX30" s="344"/>
      <c r="IY30" s="344"/>
      <c r="IZ30" s="344"/>
      <c r="JA30" s="344"/>
      <c r="JB30" s="344"/>
      <c r="JC30" s="344"/>
      <c r="JD30" s="344"/>
      <c r="JE30" s="344"/>
      <c r="JF30" s="344"/>
      <c r="JG30" s="344"/>
      <c r="JH30" s="344"/>
      <c r="JI30" s="344"/>
      <c r="JJ30" s="344"/>
      <c r="JK30" s="344"/>
      <c r="JL30" s="344"/>
      <c r="JM30" s="344"/>
      <c r="JN30" s="344"/>
      <c r="JO30" s="344"/>
      <c r="JP30" s="344"/>
      <c r="JQ30" s="344"/>
      <c r="JR30" s="344"/>
      <c r="JS30" s="344"/>
      <c r="JT30" s="344"/>
      <c r="JU30" s="344"/>
    </row>
    <row r="31" spans="1:281">
      <c r="A31" s="360" t="s">
        <v>591</v>
      </c>
      <c r="B31" s="346" t="s">
        <v>592</v>
      </c>
      <c r="C31" s="347"/>
      <c r="D31" s="361">
        <f>'Income Statement'!AX55</f>
        <v>0.27214958695467262</v>
      </c>
      <c r="E31" s="361">
        <f>'Income Statement'!AY55</f>
        <v>0.26369271027323343</v>
      </c>
      <c r="F31" s="361">
        <f>'Income Statement'!AZ55</f>
        <v>0.29214394985261743</v>
      </c>
      <c r="G31" s="361">
        <f>'Income Statement'!BA55</f>
        <v>0.29270104454206136</v>
      </c>
      <c r="H31" s="361">
        <f>'Income Statement'!BB55</f>
        <v>0.28046292985367721</v>
      </c>
      <c r="I31" s="361">
        <f>'Income Statement'!BC55</f>
        <v>0.26480113828850194</v>
      </c>
      <c r="J31" s="361">
        <f>'Income Statement'!BD55</f>
        <v>0.26125474293502493</v>
      </c>
      <c r="K31" s="361">
        <f>'Income Statement'!BE55</f>
        <v>0.27078141837284481</v>
      </c>
      <c r="L31" s="361">
        <f>'Income Statement'!BF55</f>
        <v>0.2682804392819082</v>
      </c>
      <c r="M31" s="361">
        <f>'Income Statement'!BG55</f>
        <v>0.2663157065811933</v>
      </c>
      <c r="N31" s="361">
        <f>'Income Statement'!BH55</f>
        <v>0.2530681813613761</v>
      </c>
      <c r="O31" s="361">
        <f>'Income Statement'!BI55</f>
        <v>0.2460455930441289</v>
      </c>
      <c r="P31" s="361">
        <f>'Income Statement'!BJ55</f>
        <v>0.25605096920129733</v>
      </c>
      <c r="Q31" s="361">
        <f>'Income Statement'!BK55</f>
        <v>0.2571557797686353</v>
      </c>
      <c r="R31" s="361">
        <f>'Income Statement'!BL55</f>
        <v>0.25311355781248279</v>
      </c>
      <c r="S31" s="361">
        <f>'Income Statement'!BM55</f>
        <v>0.2386118939229713</v>
      </c>
      <c r="T31" s="361">
        <f>'Income Statement'!BN55</f>
        <v>0.27225250526114053</v>
      </c>
      <c r="U31" s="361">
        <f>'Income Statement'!BO55</f>
        <v>0.28331065934104366</v>
      </c>
      <c r="V31" s="361">
        <f>'Income Statement'!BP55</f>
        <v>0.26683085869135664</v>
      </c>
      <c r="W31" s="361">
        <f>'Income Statement'!BQ55</f>
        <v>0.26537468208982207</v>
      </c>
      <c r="X31" s="361">
        <f>'Income Statement'!BR55</f>
        <v>0.26759994843996987</v>
      </c>
      <c r="Y31" s="361">
        <f>'Income Statement'!BS55</f>
        <v>0.26496251507907725</v>
      </c>
      <c r="Z31" s="361">
        <f>'Income Statement'!BT55</f>
        <v>0.25348874570148322</v>
      </c>
      <c r="AA31" s="361">
        <f>'Income Statement'!BU55</f>
        <v>0.23599185583726415</v>
      </c>
      <c r="AB31" s="361">
        <f>'Income Statement'!BV55</f>
        <v>0.25425009326223458</v>
      </c>
      <c r="AC31" s="361">
        <f>'Income Statement'!BW55</f>
        <v>0.2429797328702851</v>
      </c>
      <c r="AD31" s="361">
        <f>'Income Statement'!BX55</f>
        <v>0.23597512188356787</v>
      </c>
      <c r="AE31" s="361">
        <f>'Income Statement'!BY55</f>
        <v>0.24897979885500782</v>
      </c>
      <c r="AF31" s="361">
        <f>'Income Statement'!BZ55</f>
        <v>0.21643669010658528</v>
      </c>
      <c r="AG31" s="361">
        <f>'Income Statement'!CA55</f>
        <v>0.23625232677045341</v>
      </c>
      <c r="AH31" s="361">
        <f>'Income Statement'!CB55</f>
        <v>0.21669672546322691</v>
      </c>
      <c r="AI31" s="361">
        <f>'Income Statement'!CC55</f>
        <v>0.22985490175081652</v>
      </c>
      <c r="AJ31" s="361">
        <f>'Income Statement'!CD55</f>
        <v>0.24766315466034883</v>
      </c>
      <c r="AK31" s="361">
        <f>'Income Statement'!CE55</f>
        <v>0.22330668385540667</v>
      </c>
      <c r="AL31" s="361">
        <f>'Income Statement'!CF55</f>
        <v>0.22957385445172054</v>
      </c>
      <c r="AM31" s="361">
        <f>'Income Statement'!CG55</f>
        <v>0.23754242630655459</v>
      </c>
      <c r="AN31" s="361">
        <f>'Income Statement'!CH55</f>
        <v>0.24505523350388927</v>
      </c>
      <c r="AO31" s="361">
        <f>'Income Statement'!CI55</f>
        <v>0.25355902506179406</v>
      </c>
      <c r="AP31" s="361">
        <f>'Income Statement'!CJ55</f>
        <v>0.24351035146757438</v>
      </c>
      <c r="AQ31" s="361">
        <f>'Income Statement'!CK55</f>
        <v>0.24502491576632646</v>
      </c>
      <c r="AR31" s="361">
        <f>'Income Statement'!CL55</f>
        <v>0.267863367335203</v>
      </c>
      <c r="AS31" s="361">
        <f>'Income Statement'!CM55</f>
        <v>0.26526504025216524</v>
      </c>
      <c r="AT31" s="361">
        <f>'Income Statement'!CN55</f>
        <v>0.2661748442217296</v>
      </c>
      <c r="AU31" s="361">
        <f>'Income Statement'!CO55</f>
        <v>0.26011004706579999</v>
      </c>
      <c r="AV31" s="361">
        <f>'Income Statement'!CP55</f>
        <v>0.26482554139251274</v>
      </c>
      <c r="AW31" s="361">
        <f>'Income Statement'!CQ55</f>
        <v>0.27335184556435455</v>
      </c>
      <c r="AX31" s="361">
        <f>'Income Statement'!CR55</f>
        <v>0.27100958924920748</v>
      </c>
      <c r="AY31" s="361">
        <f>'Income Statement'!CS55</f>
        <v>0.27199217025496886</v>
      </c>
      <c r="AZ31" s="361">
        <f>'Income Statement'!CT55</f>
        <v>0.27623481268981787</v>
      </c>
      <c r="BA31" s="361">
        <f>'Income Statement'!CU55</f>
        <v>0.27313518253902841</v>
      </c>
    </row>
    <row r="32" spans="1:281">
      <c r="A32" s="363"/>
      <c r="B32" s="350" t="s">
        <v>564</v>
      </c>
      <c r="C32" s="351"/>
      <c r="D32" s="352" t="e">
        <f ca="1">_xll.BLUEMATRIX2("/servlet/excelData",D31, $C$14,$B31&amp;":"&amp;D$16&amp;D$17&amp;":"&amp;D$19&amp;":"&amp;$B32)</f>
        <v>#NAME?</v>
      </c>
      <c r="E32" s="353" t="e">
        <f ca="1">_xll.BLUEMATRIX2("/servlet/excelData",E31, $C$14,$B31&amp;":"&amp;E$16&amp;E$17&amp;":"&amp;E$19&amp;":"&amp;$B32)</f>
        <v>#NAME?</v>
      </c>
      <c r="F32" s="353" t="e">
        <f ca="1">_xll.BLUEMATRIX2("/servlet/excelData",F31, $C$14,$B31&amp;":"&amp;F$16&amp;F$17&amp;":"&amp;F$19&amp;":"&amp;$B32)</f>
        <v>#NAME?</v>
      </c>
      <c r="G32" s="353" t="e">
        <f ca="1">_xll.BLUEMATRIX2("/servlet/excelData",G31, $C$14,$B31&amp;":"&amp;G$16&amp;G$17&amp;":"&amp;G$19&amp;":"&amp;$B32)</f>
        <v>#NAME?</v>
      </c>
      <c r="H32" s="301" t="e">
        <f ca="1">_xll.BLUEMATRIX2("/servlet/excelData",H31, $C$14,$B31&amp;":"&amp;H$16&amp;H$17&amp;":"&amp;H$19&amp;":"&amp;$B32)</f>
        <v>#NAME?</v>
      </c>
      <c r="I32" s="353" t="e">
        <f ca="1">_xll.BLUEMATRIX2("/servlet/excelData",I31, $C$14,$B31&amp;":"&amp;I$16&amp;I$17&amp;":"&amp;I$19&amp;":"&amp;$B32)</f>
        <v>#NAME?</v>
      </c>
      <c r="J32" s="353" t="e">
        <f ca="1">_xll.BLUEMATRIX2("/servlet/excelData",J31, $C$14,$B31&amp;":"&amp;J$16&amp;J$17&amp;":"&amp;J$19&amp;":"&amp;$B32)</f>
        <v>#NAME?</v>
      </c>
      <c r="K32" s="353" t="e">
        <f ca="1">_xll.BLUEMATRIX2("/servlet/excelData",K31, $C$14,$B31&amp;":"&amp;K$16&amp;K$17&amp;":"&amp;K$19&amp;":"&amp;$B32)</f>
        <v>#NAME?</v>
      </c>
      <c r="L32" s="353" t="e">
        <f ca="1">_xll.BLUEMATRIX2("/servlet/excelData",L31, $C$14,$B31&amp;":"&amp;L$16&amp;L$17&amp;":"&amp;L$19&amp;":"&amp;$B32)</f>
        <v>#NAME?</v>
      </c>
      <c r="M32" s="301" t="e">
        <f ca="1">_xll.BLUEMATRIX2("/servlet/excelData",M31, $C$14,$B31&amp;":"&amp;M$16&amp;M$17&amp;":"&amp;M$19&amp;":"&amp;$B32)</f>
        <v>#NAME?</v>
      </c>
      <c r="N32" s="353" t="e">
        <f ca="1">_xll.BLUEMATRIX2("/servlet/excelData",N31, $C$14,$B31&amp;":"&amp;N$16&amp;N$17&amp;":"&amp;N$19&amp;":"&amp;$B32)</f>
        <v>#NAME?</v>
      </c>
      <c r="O32" s="353" t="e">
        <f ca="1">_xll.BLUEMATRIX2("/servlet/excelData",O31, $C$14,$B31&amp;":"&amp;O$16&amp;O$17&amp;":"&amp;O$19&amp;":"&amp;$B32)</f>
        <v>#NAME?</v>
      </c>
      <c r="P32" s="353" t="e">
        <f ca="1">_xll.BLUEMATRIX2("/servlet/excelData",P31, $C$14,$B31&amp;":"&amp;P$16&amp;P$17&amp;":"&amp;P$19&amp;":"&amp;$B32)</f>
        <v>#NAME?</v>
      </c>
      <c r="Q32" s="353" t="e">
        <f ca="1">_xll.BLUEMATRIX2("/servlet/excelData",Q31, $C$14,$B31&amp;":"&amp;Q$16&amp;Q$17&amp;":"&amp;Q$19&amp;":"&amp;$B32)</f>
        <v>#NAME?</v>
      </c>
      <c r="R32" s="301" t="e">
        <f ca="1">_xll.BLUEMATRIX2("/servlet/excelData",R31, $C$14,$B31&amp;":"&amp;R$16&amp;R$17&amp;":"&amp;R$19&amp;":"&amp;$B32)</f>
        <v>#NAME?</v>
      </c>
      <c r="S32" s="353" t="e">
        <f ca="1">_xll.BLUEMATRIX2("/servlet/excelData",S31, $C$14,$B31&amp;":"&amp;S$16&amp;S$17&amp;":"&amp;S$19&amp;":"&amp;$B32)</f>
        <v>#NAME?</v>
      </c>
      <c r="T32" s="353" t="e">
        <f ca="1">_xll.BLUEMATRIX2("/servlet/excelData",T31, $C$14,$B31&amp;":"&amp;T$16&amp;T$17&amp;":"&amp;T$19&amp;":"&amp;$B32)</f>
        <v>#NAME?</v>
      </c>
      <c r="U32" s="353" t="e">
        <f ca="1">_xll.BLUEMATRIX2("/servlet/excelData",U31, $C$14,$B31&amp;":"&amp;U$16&amp;U$17&amp;":"&amp;U$19&amp;":"&amp;$B32)</f>
        <v>#NAME?</v>
      </c>
      <c r="V32" s="353" t="e">
        <f ca="1">_xll.BLUEMATRIX2("/servlet/excelData",V31, $C$14,$B31&amp;":"&amp;V$16&amp;V$17&amp;":"&amp;V$19&amp;":"&amp;$B32)</f>
        <v>#NAME?</v>
      </c>
      <c r="W32" s="301" t="e">
        <f ca="1">_xll.BLUEMATRIX2("/servlet/excelData",W31, $C$14,$B31&amp;":"&amp;W$16&amp;W$17&amp;":"&amp;W$19&amp;":"&amp;$B32)</f>
        <v>#NAME?</v>
      </c>
      <c r="X32" s="353" t="e">
        <f ca="1">_xll.BLUEMATRIX2("/servlet/excelData",X31, $C$14,$B31&amp;":"&amp;X$16&amp;X$17&amp;":"&amp;X$19&amp;":"&amp;$B32)</f>
        <v>#NAME?</v>
      </c>
      <c r="Y32" s="353" t="e">
        <f ca="1">_xll.BLUEMATRIX2("/servlet/excelData",Y31, $C$14,$B31&amp;":"&amp;Y$16&amp;Y$17&amp;":"&amp;Y$19&amp;":"&amp;$B32)</f>
        <v>#NAME?</v>
      </c>
      <c r="Z32" s="353" t="e">
        <f ca="1">_xll.BLUEMATRIX2("/servlet/excelData",Z31, $C$14,$B31&amp;":"&amp;Z$16&amp;Z$17&amp;":"&amp;Z$19&amp;":"&amp;$B32)</f>
        <v>#NAME?</v>
      </c>
      <c r="AA32" s="353" t="e">
        <f ca="1">_xll.BLUEMATRIX2("/servlet/excelData",AA31, $C$14,$B31&amp;":"&amp;AA$16&amp;AA$17&amp;":"&amp;AA$19&amp;":"&amp;$B32)</f>
        <v>#NAME?</v>
      </c>
      <c r="AB32" s="301" t="e">
        <f ca="1">_xll.BLUEMATRIX2("/servlet/excelData",AB31, $C$14,$B31&amp;":"&amp;AB$16&amp;AB$17&amp;":"&amp;AB$19&amp;":"&amp;$B32)</f>
        <v>#NAME?</v>
      </c>
      <c r="AC32" s="353" t="e">
        <f ca="1">_xll.BLUEMATRIX2("/servlet/excelData",AC31, $C$14,$B31&amp;":"&amp;AC$16&amp;AC$17&amp;":"&amp;AC$19&amp;":"&amp;$B32)</f>
        <v>#NAME?</v>
      </c>
      <c r="AD32" s="353" t="e">
        <f ca="1">_xll.BLUEMATRIX2("/servlet/excelData",AD31, $C$14,$B31&amp;":"&amp;AD$16&amp;AD$17&amp;":"&amp;AD$19&amp;":"&amp;$B32)</f>
        <v>#NAME?</v>
      </c>
      <c r="AE32" s="353" t="e">
        <f ca="1">_xll.BLUEMATRIX2("/servlet/excelData",AE31, $C$14,$B31&amp;":"&amp;AE$16&amp;AE$17&amp;":"&amp;AE$19&amp;":"&amp;$B32)</f>
        <v>#NAME?</v>
      </c>
      <c r="AF32" s="353" t="e">
        <f ca="1">_xll.BLUEMATRIX2("/servlet/excelData",AF31, $C$14,$B31&amp;":"&amp;AF$16&amp;AF$17&amp;":"&amp;AF$19&amp;":"&amp;$B32)</f>
        <v>#NAME?</v>
      </c>
      <c r="AG32" s="301" t="e">
        <f ca="1">_xll.BLUEMATRIX2("/servlet/excelData",AG31, $C$14,$B31&amp;":"&amp;AG$16&amp;AG$17&amp;":"&amp;AG$19&amp;":"&amp;$B32)</f>
        <v>#NAME?</v>
      </c>
      <c r="AH32" s="353" t="e">
        <f ca="1">_xll.BLUEMATRIX2("/servlet/excelData",AH31, $C$14,$B31&amp;":"&amp;AH$16&amp;AH$17&amp;":"&amp;AH$19&amp;":"&amp;$B32)</f>
        <v>#NAME?</v>
      </c>
      <c r="AI32" s="353" t="e">
        <f ca="1">_xll.BLUEMATRIX2("/servlet/excelData",AI31, $C$14,$B31&amp;":"&amp;AI$16&amp;AI$17&amp;":"&amp;AI$19&amp;":"&amp;$B32)</f>
        <v>#NAME?</v>
      </c>
      <c r="AJ32" s="353" t="e">
        <f ca="1">_xll.BLUEMATRIX2("/servlet/excelData",AJ31, $C$14,$B31&amp;":"&amp;AJ$16&amp;AJ$17&amp;":"&amp;AJ$19&amp;":"&amp;$B32)</f>
        <v>#NAME?</v>
      </c>
      <c r="AK32" s="353" t="e">
        <f ca="1">_xll.BLUEMATRIX2("/servlet/excelData",AK31, $C$14,$B31&amp;":"&amp;AK$16&amp;AK$17&amp;":"&amp;AK$19&amp;":"&amp;$B32)</f>
        <v>#NAME?</v>
      </c>
      <c r="AL32" s="301" t="e">
        <f ca="1">_xll.BLUEMATRIX2("/servlet/excelData",AL31, $C$14,$B31&amp;":"&amp;AL$16&amp;AL$17&amp;":"&amp;AL$19&amp;":"&amp;$B32)</f>
        <v>#NAME?</v>
      </c>
      <c r="AM32" s="353" t="e">
        <f ca="1">_xll.BLUEMATRIX2("/servlet/excelData",AM31, $C$14,$B31&amp;":"&amp;AM$16&amp;AM$17&amp;":"&amp;AM$19&amp;":"&amp;$B32)</f>
        <v>#NAME?</v>
      </c>
      <c r="AN32" s="353" t="e">
        <f ca="1">_xll.BLUEMATRIX2("/servlet/excelData",AN31, $C$14,$B31&amp;":"&amp;AN$16&amp;AN$17&amp;":"&amp;AN$19&amp;":"&amp;$B32)</f>
        <v>#NAME?</v>
      </c>
      <c r="AO32" s="353" t="e">
        <f ca="1">_xll.BLUEMATRIX2("/servlet/excelData",AO31, $C$14,$B31&amp;":"&amp;AO$16&amp;AO$17&amp;":"&amp;AO$19&amp;":"&amp;$B32)</f>
        <v>#NAME?</v>
      </c>
      <c r="AP32" s="353" t="e">
        <f ca="1">_xll.BLUEMATRIX2("/servlet/excelData",AP31, $C$14,$B31&amp;":"&amp;AP$16&amp;AP$17&amp;":"&amp;AP$19&amp;":"&amp;$B32)</f>
        <v>#NAME?</v>
      </c>
      <c r="AQ32" s="301" t="e">
        <f ca="1">_xll.BLUEMATRIX2("/servlet/excelData",AQ31, $C$14,$B31&amp;":"&amp;AQ$16&amp;AQ$17&amp;":"&amp;AQ$19&amp;":"&amp;$B32)</f>
        <v>#NAME?</v>
      </c>
      <c r="AR32" s="353" t="e">
        <f ca="1">_xll.BLUEMATRIX2("/servlet/excelData",AR31, $C$14,$B31&amp;":"&amp;AR$16&amp;AR$17&amp;":"&amp;AR$19&amp;":"&amp;$B32)</f>
        <v>#NAME?</v>
      </c>
      <c r="AS32" s="353" t="e">
        <f ca="1">_xll.BLUEMATRIX2("/servlet/excelData",AS31, $C$14,$B31&amp;":"&amp;AS$16&amp;AS$17&amp;":"&amp;AS$19&amp;":"&amp;$B32)</f>
        <v>#NAME?</v>
      </c>
      <c r="AT32" s="353" t="e">
        <f ca="1">_xll.BLUEMATRIX2("/servlet/excelData",AT31, $C$14,$B31&amp;":"&amp;AT$16&amp;AT$17&amp;":"&amp;AT$19&amp;":"&amp;$B32)</f>
        <v>#NAME?</v>
      </c>
      <c r="AU32" s="353" t="e">
        <f ca="1">_xll.BLUEMATRIX2("/servlet/excelData",AU31, $C$14,$B31&amp;":"&amp;AU$16&amp;AU$17&amp;":"&amp;AU$19&amp;":"&amp;$B32)</f>
        <v>#NAME?</v>
      </c>
      <c r="AV32" s="301" t="e">
        <f ca="1">_xll.BLUEMATRIX2("/servlet/excelData",AV31, $C$14,$B31&amp;":"&amp;AV$16&amp;AV$17&amp;":"&amp;AV$19&amp;":"&amp;$B32)</f>
        <v>#NAME?</v>
      </c>
      <c r="AW32" s="353" t="e">
        <f ca="1">_xll.BLUEMATRIX2("/servlet/excelData",AW31, $C$14,$B31&amp;":"&amp;AW$16&amp;AW$17&amp;":"&amp;AW$19&amp;":"&amp;$B32)</f>
        <v>#NAME?</v>
      </c>
      <c r="AX32" s="353" t="e">
        <f ca="1">_xll.BLUEMATRIX2("/servlet/excelData",AX31, $C$14,$B31&amp;":"&amp;AX$16&amp;AX$17&amp;":"&amp;AX$19&amp;":"&amp;$B32)</f>
        <v>#NAME?</v>
      </c>
      <c r="AY32" s="353" t="e">
        <f ca="1">_xll.BLUEMATRIX2("/servlet/excelData",AY31, $C$14,$B31&amp;":"&amp;AY$16&amp;AY$17&amp;":"&amp;AY$19&amp;":"&amp;$B32)</f>
        <v>#NAME?</v>
      </c>
      <c r="AZ32" s="353" t="e">
        <f ca="1">_xll.BLUEMATRIX2("/servlet/excelData",AZ31, $C$14,$B31&amp;":"&amp;AZ$16&amp;AZ$17&amp;":"&amp;AZ$19&amp;":"&amp;$B32)</f>
        <v>#NAME?</v>
      </c>
      <c r="BA32" s="301" t="e">
        <f ca="1">_xll.BLUEMATRIX2("/servlet/excelData",BA31, $C$14,$B31&amp;":"&amp;BA$16&amp;BA$17&amp;":"&amp;BA$19&amp;":"&amp;$B32)</f>
        <v>#NAME?</v>
      </c>
      <c r="BB32" s="344"/>
      <c r="BC32" s="344"/>
      <c r="BE32" s="344"/>
      <c r="BF32" s="344"/>
      <c r="BG32" s="344"/>
      <c r="BH32" s="344"/>
      <c r="BI32" s="344"/>
      <c r="BJ32" s="344"/>
      <c r="BK32" s="344"/>
      <c r="BL32" s="344"/>
      <c r="BM32" s="344"/>
      <c r="BN32" s="344"/>
      <c r="BO32" s="344"/>
      <c r="BP32" s="344"/>
      <c r="BQ32" s="344"/>
      <c r="BR32" s="344"/>
      <c r="BS32" s="344"/>
      <c r="BT32" s="344"/>
      <c r="BU32" s="344"/>
      <c r="BV32" s="344"/>
      <c r="BW32" s="344"/>
      <c r="BX32" s="344"/>
      <c r="BY32" s="344"/>
      <c r="BZ32" s="344"/>
      <c r="CA32" s="344"/>
      <c r="CB32" s="344"/>
      <c r="CC32" s="344"/>
      <c r="CD32" s="344"/>
      <c r="CE32" s="344"/>
      <c r="CF32" s="344"/>
      <c r="CG32" s="344"/>
      <c r="CH32" s="344"/>
      <c r="CI32" s="344"/>
      <c r="CJ32" s="344"/>
      <c r="CK32" s="344"/>
      <c r="CL32" s="344"/>
      <c r="CM32" s="344"/>
      <c r="CN32" s="344"/>
      <c r="CO32" s="344"/>
      <c r="CP32" s="344"/>
      <c r="CQ32" s="344"/>
      <c r="CR32" s="344"/>
      <c r="CS32" s="344"/>
      <c r="CT32" s="344"/>
      <c r="CU32" s="344"/>
      <c r="CV32" s="344"/>
      <c r="CW32" s="344"/>
      <c r="CX32" s="344"/>
      <c r="CY32" s="344"/>
      <c r="CZ32" s="344"/>
      <c r="DA32" s="344"/>
      <c r="DB32" s="344"/>
      <c r="DC32" s="344"/>
      <c r="DD32" s="344"/>
      <c r="DE32" s="344"/>
      <c r="DF32" s="344"/>
      <c r="DG32" s="344"/>
      <c r="DH32" s="344"/>
      <c r="DI32" s="344"/>
      <c r="DJ32" s="344"/>
      <c r="DK32" s="344"/>
      <c r="DL32" s="344"/>
      <c r="DM32" s="344"/>
      <c r="DN32" s="344"/>
      <c r="DO32" s="344"/>
      <c r="DP32" s="344"/>
      <c r="DQ32" s="344"/>
      <c r="DR32" s="344"/>
      <c r="DS32" s="344"/>
      <c r="DT32" s="344"/>
      <c r="DU32" s="344"/>
      <c r="DV32" s="344"/>
      <c r="DW32" s="344"/>
      <c r="DX32" s="344"/>
      <c r="DY32" s="344"/>
      <c r="DZ32" s="344"/>
      <c r="EA32" s="344"/>
      <c r="EB32" s="344"/>
      <c r="EC32" s="344"/>
      <c r="ED32" s="344"/>
      <c r="EE32" s="344"/>
      <c r="EF32" s="344"/>
      <c r="EG32" s="344"/>
      <c r="EH32" s="344"/>
      <c r="EI32" s="344"/>
      <c r="EJ32" s="344"/>
      <c r="EK32" s="344"/>
      <c r="EL32" s="344"/>
      <c r="EM32" s="344"/>
      <c r="EN32" s="344"/>
      <c r="EO32" s="344"/>
      <c r="EP32" s="344"/>
      <c r="EQ32" s="344"/>
      <c r="ER32" s="344"/>
      <c r="ES32" s="344"/>
      <c r="ET32" s="344"/>
      <c r="EU32" s="344"/>
      <c r="EV32" s="344"/>
      <c r="EW32" s="344"/>
      <c r="EX32" s="344"/>
      <c r="EY32" s="344"/>
      <c r="EZ32" s="344"/>
      <c r="FA32" s="344"/>
      <c r="FB32" s="344"/>
      <c r="FC32" s="344"/>
      <c r="FD32" s="344"/>
      <c r="FE32" s="344"/>
      <c r="FF32" s="344"/>
      <c r="FG32" s="344"/>
      <c r="FH32" s="344"/>
      <c r="FI32" s="344"/>
      <c r="FJ32" s="344"/>
      <c r="FK32" s="344"/>
      <c r="FL32" s="344"/>
      <c r="FM32" s="344"/>
      <c r="FN32" s="344"/>
      <c r="FO32" s="344"/>
      <c r="FP32" s="344"/>
      <c r="FQ32" s="344"/>
      <c r="FR32" s="344"/>
      <c r="FS32" s="344"/>
      <c r="FT32" s="344"/>
      <c r="FU32" s="344"/>
      <c r="FV32" s="344"/>
      <c r="FW32" s="344"/>
      <c r="FX32" s="344"/>
      <c r="FY32" s="344"/>
      <c r="FZ32" s="344"/>
      <c r="GA32" s="344"/>
      <c r="GB32" s="344"/>
      <c r="GC32" s="344"/>
      <c r="GD32" s="344"/>
      <c r="GE32" s="344"/>
      <c r="GF32" s="344"/>
      <c r="GG32" s="344"/>
      <c r="GH32" s="344"/>
      <c r="GI32" s="344"/>
      <c r="GJ32" s="344"/>
      <c r="GK32" s="344"/>
      <c r="GL32" s="344"/>
      <c r="GM32" s="344"/>
      <c r="GN32" s="344"/>
      <c r="GO32" s="344"/>
      <c r="GP32" s="344"/>
      <c r="GQ32" s="344"/>
      <c r="GR32" s="344"/>
      <c r="GS32" s="344"/>
      <c r="GT32" s="344"/>
      <c r="GU32" s="344"/>
      <c r="GV32" s="344"/>
      <c r="GW32" s="344"/>
      <c r="GX32" s="344"/>
      <c r="GY32" s="344"/>
      <c r="GZ32" s="344"/>
      <c r="HA32" s="344"/>
      <c r="HB32" s="344"/>
      <c r="HC32" s="344"/>
      <c r="HD32" s="344"/>
      <c r="HE32" s="344"/>
      <c r="HF32" s="344"/>
      <c r="HG32" s="344"/>
      <c r="HH32" s="344"/>
      <c r="HI32" s="344"/>
      <c r="HJ32" s="344"/>
      <c r="HK32" s="344"/>
      <c r="HL32" s="344"/>
      <c r="HM32" s="344"/>
      <c r="HN32" s="344"/>
      <c r="HO32" s="344"/>
      <c r="HP32" s="344"/>
      <c r="HQ32" s="344"/>
      <c r="HR32" s="344"/>
      <c r="HS32" s="344"/>
      <c r="HT32" s="344"/>
      <c r="HU32" s="344"/>
      <c r="HV32" s="344"/>
      <c r="HW32" s="344"/>
      <c r="HX32" s="344"/>
      <c r="HY32" s="344"/>
      <c r="HZ32" s="344"/>
      <c r="IA32" s="344"/>
      <c r="IB32" s="344"/>
      <c r="IC32" s="344"/>
      <c r="ID32" s="344"/>
      <c r="IE32" s="344"/>
      <c r="IF32" s="344"/>
      <c r="IG32" s="344"/>
      <c r="IH32" s="344"/>
      <c r="II32" s="344"/>
      <c r="IJ32" s="344"/>
      <c r="IK32" s="344"/>
      <c r="IL32" s="344"/>
      <c r="IM32" s="344"/>
      <c r="IN32" s="344"/>
      <c r="IO32" s="344"/>
      <c r="IP32" s="344"/>
      <c r="IQ32" s="344"/>
      <c r="IR32" s="344"/>
      <c r="IS32" s="344"/>
      <c r="IT32" s="344"/>
      <c r="IU32" s="344"/>
      <c r="IV32" s="344"/>
      <c r="IW32" s="344"/>
      <c r="IX32" s="344"/>
      <c r="IY32" s="344"/>
      <c r="IZ32" s="344"/>
      <c r="JA32" s="344"/>
      <c r="JB32" s="344"/>
      <c r="JC32" s="344"/>
      <c r="JD32" s="344"/>
      <c r="JE32" s="344"/>
      <c r="JF32" s="344"/>
      <c r="JG32" s="344"/>
      <c r="JH32" s="344"/>
      <c r="JI32" s="344"/>
      <c r="JJ32" s="344"/>
      <c r="JK32" s="344"/>
      <c r="JL32" s="344"/>
      <c r="JM32" s="344"/>
      <c r="JN32" s="344"/>
      <c r="JO32" s="344"/>
      <c r="JP32" s="344"/>
      <c r="JQ32" s="344"/>
      <c r="JR32" s="344"/>
      <c r="JS32" s="344"/>
      <c r="JT32" s="344"/>
      <c r="JU32" s="344"/>
    </row>
    <row r="33" spans="1:281">
      <c r="A33" s="354" t="s">
        <v>579</v>
      </c>
      <c r="B33" s="336" t="s">
        <v>580</v>
      </c>
      <c r="C33" s="337"/>
      <c r="D33" s="355"/>
      <c r="E33" s="356"/>
      <c r="F33" s="356"/>
      <c r="G33" s="356"/>
      <c r="H33" s="357"/>
      <c r="I33" s="356"/>
      <c r="J33" s="356"/>
      <c r="K33" s="356"/>
      <c r="L33" s="356"/>
      <c r="M33" s="357"/>
      <c r="N33" s="356"/>
      <c r="O33" s="356"/>
      <c r="P33" s="356"/>
      <c r="Q33" s="356"/>
      <c r="R33" s="357"/>
      <c r="S33" s="356"/>
      <c r="T33" s="356"/>
      <c r="U33" s="356"/>
      <c r="V33" s="356"/>
      <c r="W33" s="357"/>
      <c r="X33" s="356"/>
      <c r="Y33" s="356"/>
      <c r="Z33" s="356"/>
      <c r="AA33" s="356"/>
      <c r="AB33" s="357"/>
      <c r="AC33" s="356"/>
      <c r="AD33" s="356"/>
      <c r="AE33" s="356"/>
      <c r="AF33" s="356"/>
      <c r="AG33" s="357"/>
      <c r="AH33" s="356"/>
      <c r="AI33" s="356"/>
      <c r="AJ33" s="356"/>
      <c r="AK33" s="356"/>
      <c r="AL33" s="357"/>
      <c r="AM33" s="356"/>
      <c r="AN33" s="356"/>
      <c r="AO33" s="356"/>
      <c r="AP33" s="356"/>
      <c r="AQ33" s="357"/>
      <c r="AR33" s="356"/>
      <c r="AS33" s="356"/>
      <c r="AT33" s="356"/>
      <c r="AU33" s="356"/>
      <c r="AV33" s="357"/>
      <c r="AW33" s="356"/>
      <c r="AX33" s="356"/>
      <c r="AY33" s="356"/>
      <c r="AZ33" s="356"/>
      <c r="BA33" s="357"/>
    </row>
    <row r="34" spans="1:281">
      <c r="A34" s="358"/>
      <c r="B34" s="340"/>
      <c r="C34" s="341"/>
      <c r="D34" s="359" t="e">
        <f ca="1">_xll.BLUEMATRIX2("/servlet/excelData",D33, $C$14,$B33&amp;":"&amp;D$16&amp;D$17&amp;":"&amp;D$19&amp;":"&amp;$B34)</f>
        <v>#NAME?</v>
      </c>
      <c r="E34" s="342" t="e">
        <f ca="1">_xll.BLUEMATRIX2("/servlet/excelData",E33, $C$14,$B33&amp;":"&amp;E$16&amp;E$17&amp;":"&amp;E$19&amp;":"&amp;$B34)</f>
        <v>#NAME?</v>
      </c>
      <c r="F34" s="342" t="e">
        <f ca="1">_xll.BLUEMATRIX2("/servlet/excelData",F33, $C$14,$B33&amp;":"&amp;F$16&amp;F$17&amp;":"&amp;F$19&amp;":"&amp;$B34)</f>
        <v>#NAME?</v>
      </c>
      <c r="G34" s="342" t="e">
        <f ca="1">_xll.BLUEMATRIX2("/servlet/excelData",G33, $C$14,$B33&amp;":"&amp;G$16&amp;G$17&amp;":"&amp;G$19&amp;":"&amp;$B34)</f>
        <v>#NAME?</v>
      </c>
      <c r="H34" s="343" t="e">
        <f ca="1">_xll.BLUEMATRIX2("/servlet/excelData",H33, $C$14,$B33&amp;":"&amp;H$16&amp;H$17&amp;":"&amp;H$19&amp;":"&amp;$B34)</f>
        <v>#NAME?</v>
      </c>
      <c r="I34" s="342" t="e">
        <f ca="1">_xll.BLUEMATRIX2("/servlet/excelData",I33, $C$14,$B33&amp;":"&amp;I$16&amp;I$17&amp;":"&amp;I$19&amp;":"&amp;$B34)</f>
        <v>#NAME?</v>
      </c>
      <c r="J34" s="342" t="e">
        <f ca="1">_xll.BLUEMATRIX2("/servlet/excelData",J33, $C$14,$B33&amp;":"&amp;J$16&amp;J$17&amp;":"&amp;J$19&amp;":"&amp;$B34)</f>
        <v>#NAME?</v>
      </c>
      <c r="K34" s="342" t="e">
        <f ca="1">_xll.BLUEMATRIX2("/servlet/excelData",K33, $C$14,$B33&amp;":"&amp;K$16&amp;K$17&amp;":"&amp;K$19&amp;":"&amp;$B34)</f>
        <v>#NAME?</v>
      </c>
      <c r="L34" s="342" t="e">
        <f ca="1">_xll.BLUEMATRIX2("/servlet/excelData",L33, $C$14,$B33&amp;":"&amp;L$16&amp;L$17&amp;":"&amp;L$19&amp;":"&amp;$B34)</f>
        <v>#NAME?</v>
      </c>
      <c r="M34" s="343" t="e">
        <f ca="1">_xll.BLUEMATRIX2("/servlet/excelData",M33, $C$14,$B33&amp;":"&amp;M$16&amp;M$17&amp;":"&amp;M$19&amp;":"&amp;$B34)</f>
        <v>#NAME?</v>
      </c>
      <c r="N34" s="342" t="e">
        <f ca="1">_xll.BLUEMATRIX2("/servlet/excelData",N33, $C$14,$B33&amp;":"&amp;N$16&amp;N$17&amp;":"&amp;N$19&amp;":"&amp;$B34)</f>
        <v>#NAME?</v>
      </c>
      <c r="O34" s="342" t="e">
        <f ca="1">_xll.BLUEMATRIX2("/servlet/excelData",O33, $C$14,$B33&amp;":"&amp;O$16&amp;O$17&amp;":"&amp;O$19&amp;":"&amp;$B34)</f>
        <v>#NAME?</v>
      </c>
      <c r="P34" s="342" t="e">
        <f ca="1">_xll.BLUEMATRIX2("/servlet/excelData",P33, $C$14,$B33&amp;":"&amp;P$16&amp;P$17&amp;":"&amp;P$19&amp;":"&amp;$B34)</f>
        <v>#NAME?</v>
      </c>
      <c r="Q34" s="342" t="e">
        <f ca="1">_xll.BLUEMATRIX2("/servlet/excelData",Q33, $C$14,$B33&amp;":"&amp;Q$16&amp;Q$17&amp;":"&amp;Q$19&amp;":"&amp;$B34)</f>
        <v>#NAME?</v>
      </c>
      <c r="R34" s="343" t="e">
        <f ca="1">_xll.BLUEMATRIX2("/servlet/excelData",R33, $C$14,$B33&amp;":"&amp;R$16&amp;R$17&amp;":"&amp;R$19&amp;":"&amp;$B34)</f>
        <v>#NAME?</v>
      </c>
      <c r="S34" s="342" t="e">
        <f ca="1">_xll.BLUEMATRIX2("/servlet/excelData",S33, $C$14,$B33&amp;":"&amp;S$16&amp;S$17&amp;":"&amp;S$19&amp;":"&amp;$B34)</f>
        <v>#NAME?</v>
      </c>
      <c r="T34" s="342" t="e">
        <f ca="1">_xll.BLUEMATRIX2("/servlet/excelData",T33, $C$14,$B33&amp;":"&amp;T$16&amp;T$17&amp;":"&amp;T$19&amp;":"&amp;$B34)</f>
        <v>#NAME?</v>
      </c>
      <c r="U34" s="342" t="e">
        <f ca="1">_xll.BLUEMATRIX2("/servlet/excelData",U33, $C$14,$B33&amp;":"&amp;U$16&amp;U$17&amp;":"&amp;U$19&amp;":"&amp;$B34)</f>
        <v>#NAME?</v>
      </c>
      <c r="V34" s="342" t="e">
        <f ca="1">_xll.BLUEMATRIX2("/servlet/excelData",V33, $C$14,$B33&amp;":"&amp;V$16&amp;V$17&amp;":"&amp;V$19&amp;":"&amp;$B34)</f>
        <v>#NAME?</v>
      </c>
      <c r="W34" s="343" t="e">
        <f ca="1">_xll.BLUEMATRIX2("/servlet/excelData",W33, $C$14,$B33&amp;":"&amp;W$16&amp;W$17&amp;":"&amp;W$19&amp;":"&amp;$B34)</f>
        <v>#NAME?</v>
      </c>
      <c r="X34" s="342" t="e">
        <f ca="1">_xll.BLUEMATRIX2("/servlet/excelData",X33, $C$14,$B33&amp;":"&amp;X$16&amp;X$17&amp;":"&amp;X$19&amp;":"&amp;$B34)</f>
        <v>#NAME?</v>
      </c>
      <c r="Y34" s="342" t="e">
        <f ca="1">_xll.BLUEMATRIX2("/servlet/excelData",Y33, $C$14,$B33&amp;":"&amp;Y$16&amp;Y$17&amp;":"&amp;Y$19&amp;":"&amp;$B34)</f>
        <v>#NAME?</v>
      </c>
      <c r="Z34" s="342" t="e">
        <f ca="1">_xll.BLUEMATRIX2("/servlet/excelData",Z33, $C$14,$B33&amp;":"&amp;Z$16&amp;Z$17&amp;":"&amp;Z$19&amp;":"&amp;$B34)</f>
        <v>#NAME?</v>
      </c>
      <c r="AA34" s="342" t="e">
        <f ca="1">_xll.BLUEMATRIX2("/servlet/excelData",AA33, $C$14,$B33&amp;":"&amp;AA$16&amp;AA$17&amp;":"&amp;AA$19&amp;":"&amp;$B34)</f>
        <v>#NAME?</v>
      </c>
      <c r="AB34" s="343" t="e">
        <f ca="1">_xll.BLUEMATRIX2("/servlet/excelData",AB33, $C$14,$B33&amp;":"&amp;AB$16&amp;AB$17&amp;":"&amp;AB$19&amp;":"&amp;$B34)</f>
        <v>#NAME?</v>
      </c>
      <c r="AC34" s="342" t="e">
        <f ca="1">_xll.BLUEMATRIX2("/servlet/excelData",AC33, $C$14,$B33&amp;":"&amp;AC$16&amp;AC$17&amp;":"&amp;AC$19&amp;":"&amp;$B34)</f>
        <v>#NAME?</v>
      </c>
      <c r="AD34" s="342" t="e">
        <f ca="1">_xll.BLUEMATRIX2("/servlet/excelData",AD33, $C$14,$B33&amp;":"&amp;AD$16&amp;AD$17&amp;":"&amp;AD$19&amp;":"&amp;$B34)</f>
        <v>#NAME?</v>
      </c>
      <c r="AE34" s="342" t="e">
        <f ca="1">_xll.BLUEMATRIX2("/servlet/excelData",AE33, $C$14,$B33&amp;":"&amp;AE$16&amp;AE$17&amp;":"&amp;AE$19&amp;":"&amp;$B34)</f>
        <v>#NAME?</v>
      </c>
      <c r="AF34" s="342" t="e">
        <f ca="1">_xll.BLUEMATRIX2("/servlet/excelData",AF33, $C$14,$B33&amp;":"&amp;AF$16&amp;AF$17&amp;":"&amp;AF$19&amp;":"&amp;$B34)</f>
        <v>#NAME?</v>
      </c>
      <c r="AG34" s="343" t="e">
        <f ca="1">_xll.BLUEMATRIX2("/servlet/excelData",AG33, $C$14,$B33&amp;":"&amp;AG$16&amp;AG$17&amp;":"&amp;AG$19&amp;":"&amp;$B34)</f>
        <v>#NAME?</v>
      </c>
      <c r="AH34" s="342" t="e">
        <f ca="1">_xll.BLUEMATRIX2("/servlet/excelData",AH33, $C$14,$B33&amp;":"&amp;AH$16&amp;AH$17&amp;":"&amp;AH$19&amp;":"&amp;$B34)</f>
        <v>#NAME?</v>
      </c>
      <c r="AI34" s="342" t="e">
        <f ca="1">_xll.BLUEMATRIX2("/servlet/excelData",AI33, $C$14,$B33&amp;":"&amp;AI$16&amp;AI$17&amp;":"&amp;AI$19&amp;":"&amp;$B34)</f>
        <v>#NAME?</v>
      </c>
      <c r="AJ34" s="342" t="e">
        <f ca="1">_xll.BLUEMATRIX2("/servlet/excelData",AJ33, $C$14,$B33&amp;":"&amp;AJ$16&amp;AJ$17&amp;":"&amp;AJ$19&amp;":"&amp;$B34)</f>
        <v>#NAME?</v>
      </c>
      <c r="AK34" s="342" t="e">
        <f ca="1">_xll.BLUEMATRIX2("/servlet/excelData",AK33, $C$14,$B33&amp;":"&amp;AK$16&amp;AK$17&amp;":"&amp;AK$19&amp;":"&amp;$B34)</f>
        <v>#NAME?</v>
      </c>
      <c r="AL34" s="343" t="e">
        <f ca="1">_xll.BLUEMATRIX2("/servlet/excelData",AL33, $C$14,$B33&amp;":"&amp;AL$16&amp;AL$17&amp;":"&amp;AL$19&amp;":"&amp;$B34)</f>
        <v>#NAME?</v>
      </c>
      <c r="AM34" s="342" t="e">
        <f ca="1">_xll.BLUEMATRIX2("/servlet/excelData",AM33, $C$14,$B33&amp;":"&amp;AM$16&amp;AM$17&amp;":"&amp;AM$19&amp;":"&amp;$B34)</f>
        <v>#NAME?</v>
      </c>
      <c r="AN34" s="342" t="e">
        <f ca="1">_xll.BLUEMATRIX2("/servlet/excelData",AN33, $C$14,$B33&amp;":"&amp;AN$16&amp;AN$17&amp;":"&amp;AN$19&amp;":"&amp;$B34)</f>
        <v>#NAME?</v>
      </c>
      <c r="AO34" s="342" t="e">
        <f ca="1">_xll.BLUEMATRIX2("/servlet/excelData",AO33, $C$14,$B33&amp;":"&amp;AO$16&amp;AO$17&amp;":"&amp;AO$19&amp;":"&amp;$B34)</f>
        <v>#NAME?</v>
      </c>
      <c r="AP34" s="342" t="e">
        <f ca="1">_xll.BLUEMATRIX2("/servlet/excelData",AP33, $C$14,$B33&amp;":"&amp;AP$16&amp;AP$17&amp;":"&amp;AP$19&amp;":"&amp;$B34)</f>
        <v>#NAME?</v>
      </c>
      <c r="AQ34" s="343" t="e">
        <f ca="1">_xll.BLUEMATRIX2("/servlet/excelData",AQ33, $C$14,$B33&amp;":"&amp;AQ$16&amp;AQ$17&amp;":"&amp;AQ$19&amp;":"&amp;$B34)</f>
        <v>#NAME?</v>
      </c>
      <c r="AR34" s="342" t="e">
        <f ca="1">_xll.BLUEMATRIX2("/servlet/excelData",AR33, $C$14,$B33&amp;":"&amp;AR$16&amp;AR$17&amp;":"&amp;AR$19&amp;":"&amp;$B34)</f>
        <v>#NAME?</v>
      </c>
      <c r="AS34" s="342" t="e">
        <f ca="1">_xll.BLUEMATRIX2("/servlet/excelData",AS33, $C$14,$B33&amp;":"&amp;AS$16&amp;AS$17&amp;":"&amp;AS$19&amp;":"&amp;$B34)</f>
        <v>#NAME?</v>
      </c>
      <c r="AT34" s="342" t="e">
        <f ca="1">_xll.BLUEMATRIX2("/servlet/excelData",AT33, $C$14,$B33&amp;":"&amp;AT$16&amp;AT$17&amp;":"&amp;AT$19&amp;":"&amp;$B34)</f>
        <v>#NAME?</v>
      </c>
      <c r="AU34" s="342" t="e">
        <f ca="1">_xll.BLUEMATRIX2("/servlet/excelData",AU33, $C$14,$B33&amp;":"&amp;AU$16&amp;AU$17&amp;":"&amp;AU$19&amp;":"&amp;$B34)</f>
        <v>#NAME?</v>
      </c>
      <c r="AV34" s="343" t="e">
        <f ca="1">_xll.BLUEMATRIX2("/servlet/excelData",AV33, $C$14,$B33&amp;":"&amp;AV$16&amp;AV$17&amp;":"&amp;AV$19&amp;":"&amp;$B34)</f>
        <v>#NAME?</v>
      </c>
      <c r="AW34" s="342" t="e">
        <f ca="1">_xll.BLUEMATRIX2("/servlet/excelData",AW33, $C$14,$B33&amp;":"&amp;AW$16&amp;AW$17&amp;":"&amp;AW$19&amp;":"&amp;$B34)</f>
        <v>#NAME?</v>
      </c>
      <c r="AX34" s="342" t="e">
        <f ca="1">_xll.BLUEMATRIX2("/servlet/excelData",AX33, $C$14,$B33&amp;":"&amp;AX$16&amp;AX$17&amp;":"&amp;AX$19&amp;":"&amp;$B34)</f>
        <v>#NAME?</v>
      </c>
      <c r="AY34" s="342" t="e">
        <f ca="1">_xll.BLUEMATRIX2("/servlet/excelData",AY33, $C$14,$B33&amp;":"&amp;AY$16&amp;AY$17&amp;":"&amp;AY$19&amp;":"&amp;$B34)</f>
        <v>#NAME?</v>
      </c>
      <c r="AZ34" s="342" t="e">
        <f ca="1">_xll.BLUEMATRIX2("/servlet/excelData",AZ33, $C$14,$B33&amp;":"&amp;AZ$16&amp;AZ$17&amp;":"&amp;AZ$19&amp;":"&amp;$B34)</f>
        <v>#NAME?</v>
      </c>
      <c r="BA34" s="343" t="e">
        <f ca="1">_xll.BLUEMATRIX2("/servlet/excelData",BA33, $C$14,$B33&amp;":"&amp;BA$16&amp;BA$17&amp;":"&amp;BA$19&amp;":"&amp;$B34)</f>
        <v>#NAME?</v>
      </c>
      <c r="BB34" s="344"/>
      <c r="BC34" s="344"/>
      <c r="BE34" s="344"/>
      <c r="BF34" s="344"/>
      <c r="BG34" s="344"/>
      <c r="BH34" s="344"/>
      <c r="BI34" s="344"/>
      <c r="BJ34" s="344"/>
      <c r="BK34" s="344"/>
      <c r="BL34" s="344"/>
      <c r="BM34" s="344"/>
      <c r="BN34" s="344"/>
      <c r="BO34" s="344"/>
      <c r="BP34" s="344"/>
      <c r="BQ34" s="344"/>
      <c r="BR34" s="344"/>
      <c r="BS34" s="344"/>
      <c r="BT34" s="344"/>
      <c r="BU34" s="344"/>
      <c r="BV34" s="344"/>
      <c r="BW34" s="344"/>
      <c r="BX34" s="344"/>
      <c r="BY34" s="344"/>
      <c r="BZ34" s="344"/>
      <c r="CA34" s="344"/>
      <c r="CB34" s="344"/>
      <c r="CC34" s="344"/>
      <c r="CD34" s="344"/>
      <c r="CE34" s="344"/>
      <c r="CF34" s="344"/>
      <c r="CG34" s="344"/>
      <c r="CH34" s="344"/>
      <c r="CI34" s="344"/>
      <c r="CJ34" s="344"/>
      <c r="CK34" s="344"/>
      <c r="CL34" s="344"/>
      <c r="CM34" s="344"/>
      <c r="CN34" s="344"/>
      <c r="CO34" s="344"/>
      <c r="CP34" s="344"/>
      <c r="CQ34" s="344"/>
      <c r="CR34" s="344"/>
      <c r="CS34" s="344"/>
      <c r="CT34" s="344"/>
      <c r="CU34" s="344"/>
      <c r="CV34" s="344"/>
      <c r="CW34" s="344"/>
      <c r="CX34" s="344"/>
      <c r="CY34" s="344"/>
      <c r="CZ34" s="344"/>
      <c r="DA34" s="344"/>
      <c r="DB34" s="344"/>
      <c r="DC34" s="344"/>
      <c r="DD34" s="344"/>
      <c r="DE34" s="344"/>
      <c r="DF34" s="344"/>
      <c r="DG34" s="344"/>
      <c r="DH34" s="344"/>
      <c r="DI34" s="344"/>
      <c r="DJ34" s="344"/>
      <c r="DK34" s="344"/>
      <c r="DL34" s="344"/>
      <c r="DM34" s="344"/>
      <c r="DN34" s="344"/>
      <c r="DO34" s="344"/>
      <c r="DP34" s="344"/>
      <c r="DQ34" s="344"/>
      <c r="DR34" s="344"/>
      <c r="DS34" s="344"/>
      <c r="DT34" s="344"/>
      <c r="DU34" s="344"/>
      <c r="DV34" s="344"/>
      <c r="DW34" s="344"/>
      <c r="DX34" s="344"/>
      <c r="DY34" s="344"/>
      <c r="DZ34" s="344"/>
      <c r="EA34" s="344"/>
      <c r="EB34" s="344"/>
      <c r="EC34" s="344"/>
      <c r="ED34" s="344"/>
      <c r="EE34" s="344"/>
      <c r="EF34" s="344"/>
      <c r="EG34" s="344"/>
      <c r="EH34" s="344"/>
      <c r="EI34" s="344"/>
      <c r="EJ34" s="344"/>
      <c r="EK34" s="344"/>
      <c r="EL34" s="344"/>
      <c r="EM34" s="344"/>
      <c r="EN34" s="344"/>
      <c r="EO34" s="344"/>
      <c r="EP34" s="344"/>
      <c r="EQ34" s="344"/>
      <c r="ER34" s="344"/>
      <c r="ES34" s="344"/>
      <c r="ET34" s="344"/>
      <c r="EU34" s="344"/>
      <c r="EV34" s="344"/>
      <c r="EW34" s="344"/>
      <c r="EX34" s="344"/>
      <c r="EY34" s="344"/>
      <c r="EZ34" s="344"/>
      <c r="FA34" s="344"/>
      <c r="FB34" s="344"/>
      <c r="FC34" s="344"/>
      <c r="FD34" s="344"/>
      <c r="FE34" s="344"/>
      <c r="FF34" s="344"/>
      <c r="FG34" s="344"/>
      <c r="FH34" s="344"/>
      <c r="FI34" s="344"/>
      <c r="FJ34" s="344"/>
      <c r="FK34" s="344"/>
      <c r="FL34" s="344"/>
      <c r="FM34" s="344"/>
      <c r="FN34" s="344"/>
      <c r="FO34" s="344"/>
      <c r="FP34" s="344"/>
      <c r="FQ34" s="344"/>
      <c r="FR34" s="344"/>
      <c r="FS34" s="344"/>
      <c r="FT34" s="344"/>
      <c r="FU34" s="344"/>
      <c r="FV34" s="344"/>
      <c r="FW34" s="344"/>
      <c r="FX34" s="344"/>
      <c r="FY34" s="344"/>
      <c r="FZ34" s="344"/>
      <c r="GA34" s="344"/>
      <c r="GB34" s="344"/>
      <c r="GC34" s="344"/>
      <c r="GD34" s="344"/>
      <c r="GE34" s="344"/>
      <c r="GF34" s="344"/>
      <c r="GG34" s="344"/>
      <c r="GH34" s="344"/>
      <c r="GI34" s="344"/>
      <c r="GJ34" s="344"/>
      <c r="GK34" s="344"/>
      <c r="GL34" s="344"/>
      <c r="GM34" s="344"/>
      <c r="GN34" s="344"/>
      <c r="GO34" s="344"/>
      <c r="GP34" s="344"/>
      <c r="GQ34" s="344"/>
      <c r="GR34" s="344"/>
      <c r="GS34" s="344"/>
      <c r="GT34" s="344"/>
      <c r="GU34" s="344"/>
      <c r="GV34" s="344"/>
      <c r="GW34" s="344"/>
      <c r="GX34" s="344"/>
      <c r="GY34" s="344"/>
      <c r="GZ34" s="344"/>
      <c r="HA34" s="344"/>
      <c r="HB34" s="344"/>
      <c r="HC34" s="344"/>
      <c r="HD34" s="344"/>
      <c r="HE34" s="344"/>
      <c r="HF34" s="344"/>
      <c r="HG34" s="344"/>
      <c r="HH34" s="344"/>
      <c r="HI34" s="344"/>
      <c r="HJ34" s="344"/>
      <c r="HK34" s="344"/>
      <c r="HL34" s="344"/>
      <c r="HM34" s="344"/>
      <c r="HN34" s="344"/>
      <c r="HO34" s="344"/>
      <c r="HP34" s="344"/>
      <c r="HQ34" s="344"/>
      <c r="HR34" s="344"/>
      <c r="HS34" s="344"/>
      <c r="HT34" s="344"/>
      <c r="HU34" s="344"/>
      <c r="HV34" s="344"/>
      <c r="HW34" s="344"/>
      <c r="HX34" s="344"/>
      <c r="HY34" s="344"/>
      <c r="HZ34" s="344"/>
      <c r="IA34" s="344"/>
      <c r="IB34" s="344"/>
      <c r="IC34" s="344"/>
      <c r="ID34" s="344"/>
      <c r="IE34" s="344"/>
      <c r="IF34" s="344"/>
      <c r="IG34" s="344"/>
      <c r="IH34" s="344"/>
      <c r="II34" s="344"/>
      <c r="IJ34" s="344"/>
      <c r="IK34" s="344"/>
      <c r="IL34" s="344"/>
      <c r="IM34" s="344"/>
      <c r="IN34" s="344"/>
      <c r="IO34" s="344"/>
      <c r="IP34" s="344"/>
      <c r="IQ34" s="344"/>
      <c r="IR34" s="344"/>
      <c r="IS34" s="344"/>
      <c r="IT34" s="344"/>
      <c r="IU34" s="344"/>
      <c r="IV34" s="344"/>
      <c r="IW34" s="344"/>
      <c r="IX34" s="344"/>
      <c r="IY34" s="344"/>
      <c r="IZ34" s="344"/>
      <c r="JA34" s="344"/>
      <c r="JB34" s="344"/>
      <c r="JC34" s="344"/>
      <c r="JD34" s="344"/>
      <c r="JE34" s="344"/>
      <c r="JF34" s="344"/>
      <c r="JG34" s="344"/>
      <c r="JH34" s="344"/>
      <c r="JI34" s="344"/>
      <c r="JJ34" s="344"/>
      <c r="JK34" s="344"/>
      <c r="JL34" s="344"/>
      <c r="JM34" s="344"/>
      <c r="JN34" s="344"/>
      <c r="JO34" s="344"/>
      <c r="JP34" s="344"/>
      <c r="JQ34" s="344"/>
      <c r="JR34" s="344"/>
      <c r="JS34" s="344"/>
      <c r="JT34" s="344"/>
      <c r="JU34" s="344"/>
    </row>
    <row r="35" spans="1:281">
      <c r="A35" s="364" t="s">
        <v>593</v>
      </c>
      <c r="B35" s="365" t="s">
        <v>593</v>
      </c>
      <c r="C35" s="366"/>
      <c r="D35" s="355"/>
      <c r="E35" s="356"/>
      <c r="F35" s="356"/>
      <c r="G35" s="356"/>
      <c r="H35" s="357"/>
      <c r="I35" s="356"/>
      <c r="J35" s="356"/>
      <c r="K35" s="356"/>
      <c r="L35" s="356"/>
      <c r="M35" s="357"/>
      <c r="N35" s="356"/>
      <c r="O35" s="356"/>
      <c r="P35" s="356"/>
      <c r="Q35" s="356"/>
      <c r="R35" s="357"/>
      <c r="S35" s="356"/>
      <c r="T35" s="356"/>
      <c r="U35" s="356"/>
      <c r="V35" s="356"/>
      <c r="W35" s="357"/>
      <c r="X35" s="356"/>
      <c r="Y35" s="356"/>
      <c r="Z35" s="356"/>
      <c r="AA35" s="356"/>
      <c r="AB35" s="357"/>
      <c r="AC35" s="356"/>
      <c r="AD35" s="356"/>
      <c r="AE35" s="356"/>
      <c r="AF35" s="356"/>
      <c r="AG35" s="357"/>
      <c r="AH35" s="356"/>
      <c r="AI35" s="356"/>
      <c r="AJ35" s="356"/>
      <c r="AK35" s="356"/>
      <c r="AL35" s="357"/>
      <c r="AM35" s="356"/>
      <c r="AN35" s="356"/>
      <c r="AO35" s="356"/>
      <c r="AP35" s="356"/>
      <c r="AQ35" s="357"/>
      <c r="AR35" s="356"/>
      <c r="AS35" s="356"/>
      <c r="AT35" s="356"/>
      <c r="AU35" s="356"/>
      <c r="AV35" s="357"/>
      <c r="AW35" s="356"/>
      <c r="AX35" s="356"/>
      <c r="AY35" s="356"/>
      <c r="AZ35" s="356"/>
      <c r="BA35" s="357"/>
    </row>
    <row r="36" spans="1:281">
      <c r="A36" s="367"/>
      <c r="B36" s="340"/>
      <c r="C36" s="368"/>
      <c r="D36" s="359" t="e">
        <f ca="1">_xll.BLUEMATRIX2("/servlet/excelData",D35, $C$14,$B35&amp;":"&amp;D$16&amp;D$17&amp;":"&amp;D$19&amp;":"&amp;$B36)</f>
        <v>#NAME?</v>
      </c>
      <c r="E36" s="342" t="e">
        <f ca="1">_xll.BLUEMATRIX2("/servlet/excelData",E35, $C$14,$B35&amp;":"&amp;E$16&amp;E$17&amp;":"&amp;E$19&amp;":"&amp;$B36)</f>
        <v>#NAME?</v>
      </c>
      <c r="F36" s="342" t="e">
        <f ca="1">_xll.BLUEMATRIX2("/servlet/excelData",F35, $C$14,$B35&amp;":"&amp;F$16&amp;F$17&amp;":"&amp;F$19&amp;":"&amp;$B36)</f>
        <v>#NAME?</v>
      </c>
      <c r="G36" s="342" t="e">
        <f ca="1">_xll.BLUEMATRIX2("/servlet/excelData",G35, $C$14,$B35&amp;":"&amp;G$16&amp;G$17&amp;":"&amp;G$19&amp;":"&amp;$B36)</f>
        <v>#NAME?</v>
      </c>
      <c r="H36" s="343" t="e">
        <f ca="1">_xll.BLUEMATRIX2("/servlet/excelData",H35, $C$14,$B35&amp;":"&amp;H$16&amp;H$17&amp;":"&amp;H$19&amp;":"&amp;$B36)</f>
        <v>#NAME?</v>
      </c>
      <c r="I36" s="342" t="e">
        <f ca="1">_xll.BLUEMATRIX2("/servlet/excelData",I35, $C$14,$B35&amp;":"&amp;I$16&amp;I$17&amp;":"&amp;I$19&amp;":"&amp;$B36)</f>
        <v>#NAME?</v>
      </c>
      <c r="J36" s="342" t="e">
        <f ca="1">_xll.BLUEMATRIX2("/servlet/excelData",J35, $C$14,$B35&amp;":"&amp;J$16&amp;J$17&amp;":"&amp;J$19&amp;":"&amp;$B36)</f>
        <v>#NAME?</v>
      </c>
      <c r="K36" s="342" t="e">
        <f ca="1">_xll.BLUEMATRIX2("/servlet/excelData",K35, $C$14,$B35&amp;":"&amp;K$16&amp;K$17&amp;":"&amp;K$19&amp;":"&amp;$B36)</f>
        <v>#NAME?</v>
      </c>
      <c r="L36" s="342" t="e">
        <f ca="1">_xll.BLUEMATRIX2("/servlet/excelData",L35, $C$14,$B35&amp;":"&amp;L$16&amp;L$17&amp;":"&amp;L$19&amp;":"&amp;$B36)</f>
        <v>#NAME?</v>
      </c>
      <c r="M36" s="343" t="e">
        <f ca="1">_xll.BLUEMATRIX2("/servlet/excelData",M35, $C$14,$B35&amp;":"&amp;M$16&amp;M$17&amp;":"&amp;M$19&amp;":"&amp;$B36)</f>
        <v>#NAME?</v>
      </c>
      <c r="N36" s="342" t="e">
        <f ca="1">_xll.BLUEMATRIX2("/servlet/excelData",N35, $C$14,$B35&amp;":"&amp;N$16&amp;N$17&amp;":"&amp;N$19&amp;":"&amp;$B36)</f>
        <v>#NAME?</v>
      </c>
      <c r="O36" s="342" t="e">
        <f ca="1">_xll.BLUEMATRIX2("/servlet/excelData",O35, $C$14,$B35&amp;":"&amp;O$16&amp;O$17&amp;":"&amp;O$19&amp;":"&amp;$B36)</f>
        <v>#NAME?</v>
      </c>
      <c r="P36" s="342" t="e">
        <f ca="1">_xll.BLUEMATRIX2("/servlet/excelData",P35, $C$14,$B35&amp;":"&amp;P$16&amp;P$17&amp;":"&amp;P$19&amp;":"&amp;$B36)</f>
        <v>#NAME?</v>
      </c>
      <c r="Q36" s="342" t="e">
        <f ca="1">_xll.BLUEMATRIX2("/servlet/excelData",Q35, $C$14,$B35&amp;":"&amp;Q$16&amp;Q$17&amp;":"&amp;Q$19&amp;":"&amp;$B36)</f>
        <v>#NAME?</v>
      </c>
      <c r="R36" s="343" t="e">
        <f ca="1">_xll.BLUEMATRIX2("/servlet/excelData",R35, $C$14,$B35&amp;":"&amp;R$16&amp;R$17&amp;":"&amp;R$19&amp;":"&amp;$B36)</f>
        <v>#NAME?</v>
      </c>
      <c r="S36" s="342" t="e">
        <f ca="1">_xll.BLUEMATRIX2("/servlet/excelData",S35, $C$14,$B35&amp;":"&amp;S$16&amp;S$17&amp;":"&amp;S$19&amp;":"&amp;$B36)</f>
        <v>#NAME?</v>
      </c>
      <c r="T36" s="342" t="e">
        <f ca="1">_xll.BLUEMATRIX2("/servlet/excelData",T35, $C$14,$B35&amp;":"&amp;T$16&amp;T$17&amp;":"&amp;T$19&amp;":"&amp;$B36)</f>
        <v>#NAME?</v>
      </c>
      <c r="U36" s="342" t="e">
        <f ca="1">_xll.BLUEMATRIX2("/servlet/excelData",U35, $C$14,$B35&amp;":"&amp;U$16&amp;U$17&amp;":"&amp;U$19&amp;":"&amp;$B36)</f>
        <v>#NAME?</v>
      </c>
      <c r="V36" s="342" t="e">
        <f ca="1">_xll.BLUEMATRIX2("/servlet/excelData",V35, $C$14,$B35&amp;":"&amp;V$16&amp;V$17&amp;":"&amp;V$19&amp;":"&amp;$B36)</f>
        <v>#NAME?</v>
      </c>
      <c r="W36" s="343" t="e">
        <f ca="1">_xll.BLUEMATRIX2("/servlet/excelData",W35, $C$14,$B35&amp;":"&amp;W$16&amp;W$17&amp;":"&amp;W$19&amp;":"&amp;$B36)</f>
        <v>#NAME?</v>
      </c>
      <c r="X36" s="342" t="e">
        <f ca="1">_xll.BLUEMATRIX2("/servlet/excelData",X35, $C$14,$B35&amp;":"&amp;X$16&amp;X$17&amp;":"&amp;X$19&amp;":"&amp;$B36)</f>
        <v>#NAME?</v>
      </c>
      <c r="Y36" s="342" t="e">
        <f ca="1">_xll.BLUEMATRIX2("/servlet/excelData",Y35, $C$14,$B35&amp;":"&amp;Y$16&amp;Y$17&amp;":"&amp;Y$19&amp;":"&amp;$B36)</f>
        <v>#NAME?</v>
      </c>
      <c r="Z36" s="342" t="e">
        <f ca="1">_xll.BLUEMATRIX2("/servlet/excelData",Z35, $C$14,$B35&amp;":"&amp;Z$16&amp;Z$17&amp;":"&amp;Z$19&amp;":"&amp;$B36)</f>
        <v>#NAME?</v>
      </c>
      <c r="AA36" s="342" t="e">
        <f ca="1">_xll.BLUEMATRIX2("/servlet/excelData",AA35, $C$14,$B35&amp;":"&amp;AA$16&amp;AA$17&amp;":"&amp;AA$19&amp;":"&amp;$B36)</f>
        <v>#NAME?</v>
      </c>
      <c r="AB36" s="343" t="e">
        <f ca="1">_xll.BLUEMATRIX2("/servlet/excelData",AB35, $C$14,$B35&amp;":"&amp;AB$16&amp;AB$17&amp;":"&amp;AB$19&amp;":"&amp;$B36)</f>
        <v>#NAME?</v>
      </c>
      <c r="AC36" s="342" t="e">
        <f ca="1">_xll.BLUEMATRIX2("/servlet/excelData",AC35, $C$14,$B35&amp;":"&amp;AC$16&amp;AC$17&amp;":"&amp;AC$19&amp;":"&amp;$B36)</f>
        <v>#NAME?</v>
      </c>
      <c r="AD36" s="342" t="e">
        <f ca="1">_xll.BLUEMATRIX2("/servlet/excelData",AD35, $C$14,$B35&amp;":"&amp;AD$16&amp;AD$17&amp;":"&amp;AD$19&amp;":"&amp;$B36)</f>
        <v>#NAME?</v>
      </c>
      <c r="AE36" s="342" t="e">
        <f ca="1">_xll.BLUEMATRIX2("/servlet/excelData",AE35, $C$14,$B35&amp;":"&amp;AE$16&amp;AE$17&amp;":"&amp;AE$19&amp;":"&amp;$B36)</f>
        <v>#NAME?</v>
      </c>
      <c r="AF36" s="342" t="e">
        <f ca="1">_xll.BLUEMATRIX2("/servlet/excelData",AF35, $C$14,$B35&amp;":"&amp;AF$16&amp;AF$17&amp;":"&amp;AF$19&amp;":"&amp;$B36)</f>
        <v>#NAME?</v>
      </c>
      <c r="AG36" s="343" t="e">
        <f ca="1">_xll.BLUEMATRIX2("/servlet/excelData",AG35, $C$14,$B35&amp;":"&amp;AG$16&amp;AG$17&amp;":"&amp;AG$19&amp;":"&amp;$B36)</f>
        <v>#NAME?</v>
      </c>
      <c r="AH36" s="342" t="e">
        <f ca="1">_xll.BLUEMATRIX2("/servlet/excelData",AH35, $C$14,$B35&amp;":"&amp;AH$16&amp;AH$17&amp;":"&amp;AH$19&amp;":"&amp;$B36)</f>
        <v>#NAME?</v>
      </c>
      <c r="AI36" s="342" t="e">
        <f ca="1">_xll.BLUEMATRIX2("/servlet/excelData",AI35, $C$14,$B35&amp;":"&amp;AI$16&amp;AI$17&amp;":"&amp;AI$19&amp;":"&amp;$B36)</f>
        <v>#NAME?</v>
      </c>
      <c r="AJ36" s="342" t="e">
        <f ca="1">_xll.BLUEMATRIX2("/servlet/excelData",AJ35, $C$14,$B35&amp;":"&amp;AJ$16&amp;AJ$17&amp;":"&amp;AJ$19&amp;":"&amp;$B36)</f>
        <v>#NAME?</v>
      </c>
      <c r="AK36" s="342" t="e">
        <f ca="1">_xll.BLUEMATRIX2("/servlet/excelData",AK35, $C$14,$B35&amp;":"&amp;AK$16&amp;AK$17&amp;":"&amp;AK$19&amp;":"&amp;$B36)</f>
        <v>#NAME?</v>
      </c>
      <c r="AL36" s="343" t="e">
        <f ca="1">_xll.BLUEMATRIX2("/servlet/excelData",AL35, $C$14,$B35&amp;":"&amp;AL$16&amp;AL$17&amp;":"&amp;AL$19&amp;":"&amp;$B36)</f>
        <v>#NAME?</v>
      </c>
      <c r="AM36" s="342" t="e">
        <f ca="1">_xll.BLUEMATRIX2("/servlet/excelData",AM35, $C$14,$B35&amp;":"&amp;AM$16&amp;AM$17&amp;":"&amp;AM$19&amp;":"&amp;$B36)</f>
        <v>#NAME?</v>
      </c>
      <c r="AN36" s="342" t="e">
        <f ca="1">_xll.BLUEMATRIX2("/servlet/excelData",AN35, $C$14,$B35&amp;":"&amp;AN$16&amp;AN$17&amp;":"&amp;AN$19&amp;":"&amp;$B36)</f>
        <v>#NAME?</v>
      </c>
      <c r="AO36" s="342" t="e">
        <f ca="1">_xll.BLUEMATRIX2("/servlet/excelData",AO35, $C$14,$B35&amp;":"&amp;AO$16&amp;AO$17&amp;":"&amp;AO$19&amp;":"&amp;$B36)</f>
        <v>#NAME?</v>
      </c>
      <c r="AP36" s="342" t="e">
        <f ca="1">_xll.BLUEMATRIX2("/servlet/excelData",AP35, $C$14,$B35&amp;":"&amp;AP$16&amp;AP$17&amp;":"&amp;AP$19&amp;":"&amp;$B36)</f>
        <v>#NAME?</v>
      </c>
      <c r="AQ36" s="343" t="e">
        <f ca="1">_xll.BLUEMATRIX2("/servlet/excelData",AQ35, $C$14,$B35&amp;":"&amp;AQ$16&amp;AQ$17&amp;":"&amp;AQ$19&amp;":"&amp;$B36)</f>
        <v>#NAME?</v>
      </c>
      <c r="AR36" s="342" t="e">
        <f ca="1">_xll.BLUEMATRIX2("/servlet/excelData",AR35, $C$14,$B35&amp;":"&amp;AR$16&amp;AR$17&amp;":"&amp;AR$19&amp;":"&amp;$B36)</f>
        <v>#NAME?</v>
      </c>
      <c r="AS36" s="342" t="e">
        <f ca="1">_xll.BLUEMATRIX2("/servlet/excelData",AS35, $C$14,$B35&amp;":"&amp;AS$16&amp;AS$17&amp;":"&amp;AS$19&amp;":"&amp;$B36)</f>
        <v>#NAME?</v>
      </c>
      <c r="AT36" s="342" t="e">
        <f ca="1">_xll.BLUEMATRIX2("/servlet/excelData",AT35, $C$14,$B35&amp;":"&amp;AT$16&amp;AT$17&amp;":"&amp;AT$19&amp;":"&amp;$B36)</f>
        <v>#NAME?</v>
      </c>
      <c r="AU36" s="342" t="e">
        <f ca="1">_xll.BLUEMATRIX2("/servlet/excelData",AU35, $C$14,$B35&amp;":"&amp;AU$16&amp;AU$17&amp;":"&amp;AU$19&amp;":"&amp;$B36)</f>
        <v>#NAME?</v>
      </c>
      <c r="AV36" s="343" t="e">
        <f ca="1">_xll.BLUEMATRIX2("/servlet/excelData",AV35, $C$14,$B35&amp;":"&amp;AV$16&amp;AV$17&amp;":"&amp;AV$19&amp;":"&amp;$B36)</f>
        <v>#NAME?</v>
      </c>
      <c r="AW36" s="342" t="e">
        <f ca="1">_xll.BLUEMATRIX2("/servlet/excelData",AW35, $C$14,$B35&amp;":"&amp;AW$16&amp;AW$17&amp;":"&amp;AW$19&amp;":"&amp;$B36)</f>
        <v>#NAME?</v>
      </c>
      <c r="AX36" s="342" t="e">
        <f ca="1">_xll.BLUEMATRIX2("/servlet/excelData",AX35, $C$14,$B35&amp;":"&amp;AX$16&amp;AX$17&amp;":"&amp;AX$19&amp;":"&amp;$B36)</f>
        <v>#NAME?</v>
      </c>
      <c r="AY36" s="342" t="e">
        <f ca="1">_xll.BLUEMATRIX2("/servlet/excelData",AY35, $C$14,$B35&amp;":"&amp;AY$16&amp;AY$17&amp;":"&amp;AY$19&amp;":"&amp;$B36)</f>
        <v>#NAME?</v>
      </c>
      <c r="AZ36" s="342" t="e">
        <f ca="1">_xll.BLUEMATRIX2("/servlet/excelData",AZ35, $C$14,$B35&amp;":"&amp;AZ$16&amp;AZ$17&amp;":"&amp;AZ$19&amp;":"&amp;$B36)</f>
        <v>#NAME?</v>
      </c>
      <c r="BA36" s="343" t="e">
        <f ca="1">_xll.BLUEMATRIX2("/servlet/excelData",BA35, $C$14,$B35&amp;":"&amp;BA$16&amp;BA$17&amp;":"&amp;BA$19&amp;":"&amp;$B36)</f>
        <v>#NAME?</v>
      </c>
      <c r="BB36" s="344"/>
      <c r="BC36" s="344"/>
      <c r="BE36" s="344"/>
      <c r="BF36" s="344"/>
      <c r="BG36" s="344"/>
      <c r="BH36" s="344"/>
      <c r="BI36" s="344"/>
      <c r="BJ36" s="344"/>
      <c r="BK36" s="344"/>
      <c r="BL36" s="344"/>
      <c r="BM36" s="344"/>
      <c r="BN36" s="344"/>
      <c r="BO36" s="344"/>
      <c r="BP36" s="344"/>
      <c r="BQ36" s="344"/>
      <c r="BR36" s="344"/>
      <c r="BS36" s="344"/>
      <c r="BT36" s="344"/>
      <c r="BU36" s="344"/>
      <c r="BV36" s="344"/>
      <c r="BW36" s="344"/>
      <c r="BX36" s="344"/>
      <c r="BY36" s="344"/>
      <c r="BZ36" s="344"/>
      <c r="CA36" s="344"/>
      <c r="CB36" s="344"/>
      <c r="CC36" s="344"/>
      <c r="CD36" s="344"/>
      <c r="CE36" s="344"/>
      <c r="CF36" s="344"/>
      <c r="CG36" s="344"/>
      <c r="CH36" s="344"/>
      <c r="CI36" s="344"/>
      <c r="CJ36" s="344"/>
      <c r="CK36" s="344"/>
      <c r="CL36" s="344"/>
      <c r="CM36" s="344"/>
      <c r="CN36" s="344"/>
      <c r="CO36" s="344"/>
      <c r="CP36" s="344"/>
      <c r="CQ36" s="344"/>
      <c r="CR36" s="344"/>
      <c r="CS36" s="344"/>
      <c r="CT36" s="344"/>
      <c r="CU36" s="344"/>
      <c r="CV36" s="344"/>
      <c r="CW36" s="344"/>
      <c r="CX36" s="344"/>
      <c r="CY36" s="344"/>
      <c r="CZ36" s="344"/>
      <c r="DA36" s="344"/>
      <c r="DB36" s="344"/>
      <c r="DC36" s="344"/>
      <c r="DD36" s="344"/>
      <c r="DE36" s="344"/>
      <c r="DF36" s="344"/>
      <c r="DG36" s="344"/>
      <c r="DH36" s="344"/>
      <c r="DI36" s="344"/>
      <c r="DJ36" s="344"/>
      <c r="DK36" s="344"/>
      <c r="DL36" s="344"/>
      <c r="DM36" s="344"/>
      <c r="DN36" s="344"/>
      <c r="DO36" s="344"/>
      <c r="DP36" s="344"/>
      <c r="DQ36" s="344"/>
      <c r="DR36" s="344"/>
      <c r="DS36" s="344"/>
      <c r="DT36" s="344"/>
      <c r="DU36" s="344"/>
      <c r="DV36" s="344"/>
      <c r="DW36" s="344"/>
      <c r="DX36" s="344"/>
      <c r="DY36" s="344"/>
      <c r="DZ36" s="344"/>
      <c r="EA36" s="344"/>
      <c r="EB36" s="344"/>
      <c r="EC36" s="344"/>
      <c r="ED36" s="344"/>
      <c r="EE36" s="344"/>
      <c r="EF36" s="344"/>
      <c r="EG36" s="344"/>
      <c r="EH36" s="344"/>
      <c r="EI36" s="344"/>
      <c r="EJ36" s="344"/>
      <c r="EK36" s="344"/>
      <c r="EL36" s="344"/>
      <c r="EM36" s="344"/>
      <c r="EN36" s="344"/>
      <c r="EO36" s="344"/>
      <c r="EP36" s="344"/>
      <c r="EQ36" s="344"/>
      <c r="ER36" s="344"/>
      <c r="ES36" s="344"/>
      <c r="ET36" s="344"/>
      <c r="EU36" s="344"/>
      <c r="EV36" s="344"/>
      <c r="EW36" s="344"/>
      <c r="EX36" s="344"/>
      <c r="EY36" s="344"/>
      <c r="EZ36" s="344"/>
      <c r="FA36" s="344"/>
      <c r="FB36" s="344"/>
      <c r="FC36" s="344"/>
      <c r="FD36" s="344"/>
      <c r="FE36" s="344"/>
      <c r="FF36" s="344"/>
      <c r="FG36" s="344"/>
      <c r="FH36" s="344"/>
      <c r="FI36" s="344"/>
      <c r="FJ36" s="344"/>
      <c r="FK36" s="344"/>
      <c r="FL36" s="344"/>
      <c r="FM36" s="344"/>
      <c r="FN36" s="344"/>
      <c r="FO36" s="344"/>
      <c r="FP36" s="344"/>
      <c r="FQ36" s="344"/>
      <c r="FR36" s="344"/>
      <c r="FS36" s="344"/>
      <c r="FT36" s="344"/>
      <c r="FU36" s="344"/>
      <c r="FV36" s="344"/>
      <c r="FW36" s="344"/>
      <c r="FX36" s="344"/>
      <c r="FY36" s="344"/>
      <c r="FZ36" s="344"/>
      <c r="GA36" s="344"/>
      <c r="GB36" s="344"/>
      <c r="GC36" s="344"/>
      <c r="GD36" s="344"/>
      <c r="GE36" s="344"/>
      <c r="GF36" s="344"/>
      <c r="GG36" s="344"/>
      <c r="GH36" s="344"/>
      <c r="GI36" s="344"/>
      <c r="GJ36" s="344"/>
      <c r="GK36" s="344"/>
      <c r="GL36" s="344"/>
      <c r="GM36" s="344"/>
      <c r="GN36" s="344"/>
      <c r="GO36" s="344"/>
      <c r="GP36" s="344"/>
      <c r="GQ36" s="344"/>
      <c r="GR36" s="344"/>
      <c r="GS36" s="344"/>
      <c r="GT36" s="344"/>
      <c r="GU36" s="344"/>
      <c r="GV36" s="344"/>
      <c r="GW36" s="344"/>
      <c r="GX36" s="344"/>
      <c r="GY36" s="344"/>
      <c r="GZ36" s="344"/>
      <c r="HA36" s="344"/>
      <c r="HB36" s="344"/>
      <c r="HC36" s="344"/>
      <c r="HD36" s="344"/>
      <c r="HE36" s="344"/>
      <c r="HF36" s="344"/>
      <c r="HG36" s="344"/>
      <c r="HH36" s="344"/>
      <c r="HI36" s="344"/>
      <c r="HJ36" s="344"/>
      <c r="HK36" s="344"/>
      <c r="HL36" s="344"/>
      <c r="HM36" s="344"/>
      <c r="HN36" s="344"/>
      <c r="HO36" s="344"/>
      <c r="HP36" s="344"/>
      <c r="HQ36" s="344"/>
      <c r="HR36" s="344"/>
      <c r="HS36" s="344"/>
      <c r="HT36" s="344"/>
      <c r="HU36" s="344"/>
      <c r="HV36" s="344"/>
      <c r="HW36" s="344"/>
      <c r="HX36" s="344"/>
      <c r="HY36" s="344"/>
      <c r="HZ36" s="344"/>
      <c r="IA36" s="344"/>
      <c r="IB36" s="344"/>
      <c r="IC36" s="344"/>
      <c r="ID36" s="344"/>
      <c r="IE36" s="344"/>
      <c r="IF36" s="344"/>
      <c r="IG36" s="344"/>
      <c r="IH36" s="344"/>
      <c r="II36" s="344"/>
      <c r="IJ36" s="344"/>
      <c r="IK36" s="344"/>
      <c r="IL36" s="344"/>
      <c r="IM36" s="344"/>
      <c r="IN36" s="344"/>
      <c r="IO36" s="344"/>
      <c r="IP36" s="344"/>
      <c r="IQ36" s="344"/>
      <c r="IR36" s="344"/>
      <c r="IS36" s="344"/>
      <c r="IT36" s="344"/>
      <c r="IU36" s="344"/>
      <c r="IV36" s="344"/>
      <c r="IW36" s="344"/>
      <c r="IX36" s="344"/>
      <c r="IY36" s="344"/>
      <c r="IZ36" s="344"/>
      <c r="JA36" s="344"/>
      <c r="JB36" s="344"/>
      <c r="JC36" s="344"/>
      <c r="JD36" s="344"/>
      <c r="JE36" s="344"/>
      <c r="JF36" s="344"/>
      <c r="JG36" s="344"/>
      <c r="JH36" s="344"/>
      <c r="JI36" s="344"/>
      <c r="JJ36" s="344"/>
      <c r="JK36" s="344"/>
      <c r="JL36" s="344"/>
      <c r="JM36" s="344"/>
      <c r="JN36" s="344"/>
      <c r="JO36" s="344"/>
      <c r="JP36" s="344"/>
      <c r="JQ36" s="344"/>
      <c r="JR36" s="344"/>
      <c r="JS36" s="344"/>
      <c r="JT36" s="344"/>
      <c r="JU36" s="344"/>
    </row>
    <row r="37" spans="1:281">
      <c r="B37" s="293"/>
    </row>
    <row r="38" spans="1:281">
      <c r="A38" s="369"/>
      <c r="B38" s="369"/>
    </row>
    <row r="39" spans="1:281">
      <c r="A39" s="369"/>
      <c r="B39" s="369"/>
    </row>
    <row r="40" spans="1:281">
      <c r="A40" s="369"/>
      <c r="B40" s="369"/>
    </row>
    <row r="41" spans="1:281">
      <c r="A41" s="369"/>
      <c r="B41" s="369"/>
    </row>
    <row r="42" spans="1:281">
      <c r="A42" s="369"/>
      <c r="B42" s="369"/>
    </row>
    <row r="43" spans="1:281">
      <c r="A43" s="369"/>
      <c r="B43" s="369"/>
    </row>
    <row r="44" spans="1:281">
      <c r="D44" s="303" t="s">
        <v>594</v>
      </c>
    </row>
    <row r="45" spans="1:281">
      <c r="A45" s="303" t="s">
        <v>595</v>
      </c>
      <c r="B45" s="303">
        <v>3</v>
      </c>
      <c r="C45" s="370"/>
      <c r="D45" s="293">
        <v>0</v>
      </c>
    </row>
    <row r="46" spans="1:281">
      <c r="A46" s="303" t="s">
        <v>596</v>
      </c>
      <c r="B46" s="303">
        <v>6</v>
      </c>
      <c r="C46" s="370"/>
      <c r="D46" s="293">
        <v>0</v>
      </c>
    </row>
    <row r="47" spans="1:281">
      <c r="A47" s="303" t="s">
        <v>597</v>
      </c>
      <c r="B47" s="303">
        <v>9</v>
      </c>
      <c r="C47" s="370"/>
      <c r="D47" s="293">
        <v>0</v>
      </c>
    </row>
    <row r="48" spans="1:281">
      <c r="A48" s="303" t="s">
        <v>598</v>
      </c>
      <c r="B48" s="303">
        <v>12</v>
      </c>
      <c r="C48" s="370"/>
      <c r="D48" s="293">
        <v>0</v>
      </c>
    </row>
  </sheetData>
  <dataValidations count="1">
    <dataValidation type="list" allowBlank="1" showInputMessage="1" showErrorMessage="1" sqref="C10 XED983046 WUH983046 WKL983046 WAP983046 VQT983046 VGX983046 UXB983046 UNF983046 UDJ983046 TTN983046 TJR983046 SZV983046 SPZ983046 SGD983046 RWH983046 RML983046 RCP983046 QST983046 QIX983046 PZB983046 PPF983046 PFJ983046 OVN983046 OLR983046 OBV983046 NRZ983046 NID983046 MYH983046 MOL983046 MEP983046 LUT983046 LKX983046 LBB983046 KRF983046 KHJ983046 JXN983046 JNR983046 JDV983046 ITZ983046 IKD983046 IAH983046 HQL983046 HGP983046 GWT983046 GMX983046 GDB983046 FTF983046 FJJ983046 EZN983046 EPR983046 EFV983046 DVZ983046 DMD983046 DCH983046 CSL983046 CIP983046 BYT983046 BOX983046 BFB983046 AVF983046 ALJ983046 ABN983046 RR983046 HV983046 XED917510 WUH917510 WKL917510 WAP917510 VQT917510 VGX917510 UXB917510 UNF917510 UDJ917510 TTN917510 TJR917510 SZV917510 SPZ917510 SGD917510 RWH917510 RML917510 RCP917510 QST917510 QIX917510 PZB917510 PPF917510 PFJ917510 OVN917510 OLR917510 OBV917510 NRZ917510 NID917510 MYH917510 MOL917510 MEP917510 LUT917510 LKX917510 LBB917510 KRF917510 KHJ917510 JXN917510 JNR917510 JDV917510 ITZ917510 IKD917510 IAH917510 HQL917510 HGP917510 GWT917510 GMX917510 GDB917510 FTF917510 FJJ917510 EZN917510 EPR917510 EFV917510 DVZ917510 DMD917510 DCH917510 CSL917510 CIP917510 BYT917510 BOX917510 BFB917510 AVF917510 ALJ917510 ABN917510 RR917510 HV917510 XED851974 WUH851974 WKL851974 WAP851974 VQT851974 VGX851974 UXB851974 UNF851974 UDJ851974 TTN851974 TJR851974 SZV851974 SPZ851974 SGD851974 RWH851974 RML851974 RCP851974 QST851974 QIX851974 PZB851974 PPF851974 PFJ851974 OVN851974 OLR851974 OBV851974 NRZ851974 NID851974 MYH851974 MOL851974 MEP851974 LUT851974 LKX851974 LBB851974 KRF851974 KHJ851974 JXN851974 JNR851974 JDV851974 ITZ851974 IKD851974 IAH851974 HQL851974 HGP851974 GWT851974 GMX851974 GDB851974 FTF851974 FJJ851974 EZN851974 EPR851974 EFV851974 DVZ851974 DMD851974 DCH851974 CSL851974 CIP851974 BYT851974 BOX851974 BFB851974 AVF851974 ALJ851974 ABN851974 RR851974 HV851974 XED786438 WUH786438 WKL786438 WAP786438 VQT786438 VGX786438 UXB786438 UNF786438 UDJ786438 TTN786438 TJR786438 SZV786438 SPZ786438 SGD786438 RWH786438 RML786438 RCP786438 QST786438 QIX786438 PZB786438 PPF786438 PFJ786438 OVN786438 OLR786438 OBV786438 NRZ786438 NID786438 MYH786438 MOL786438 MEP786438 LUT786438 LKX786438 LBB786438 KRF786438 KHJ786438 JXN786438 JNR786438 JDV786438 ITZ786438 IKD786438 IAH786438 HQL786438 HGP786438 GWT786438 GMX786438 GDB786438 FTF786438 FJJ786438 EZN786438 EPR786438 EFV786438 DVZ786438 DMD786438 DCH786438 CSL786438 CIP786438 BYT786438 BOX786438 BFB786438 AVF786438 ALJ786438 ABN786438 RR786438 HV786438 XED720902 WUH720902 WKL720902 WAP720902 VQT720902 VGX720902 UXB720902 UNF720902 UDJ720902 TTN720902 TJR720902 SZV720902 SPZ720902 SGD720902 RWH720902 RML720902 RCP720902 QST720902 QIX720902 PZB720902 PPF720902 PFJ720902 OVN720902 OLR720902 OBV720902 NRZ720902 NID720902 MYH720902 MOL720902 MEP720902 LUT720902 LKX720902 LBB720902 KRF720902 KHJ720902 JXN720902 JNR720902 JDV720902 ITZ720902 IKD720902 IAH720902 HQL720902 HGP720902 GWT720902 GMX720902 GDB720902 FTF720902 FJJ720902 EZN720902 EPR720902 EFV720902 DVZ720902 DMD720902 DCH720902 CSL720902 CIP720902 BYT720902 BOX720902 BFB720902 AVF720902 ALJ720902 ABN720902 RR720902 HV720902 XED655366 WUH655366 WKL655366 WAP655366 VQT655366 VGX655366 UXB655366 UNF655366 UDJ655366 TTN655366 TJR655366 SZV655366 SPZ655366 SGD655366 RWH655366 RML655366 RCP655366 QST655366 QIX655366 PZB655366 PPF655366 PFJ655366 OVN655366 OLR655366 OBV655366 NRZ655366 NID655366 MYH655366 MOL655366 MEP655366 LUT655366 LKX655366 LBB655366 KRF655366 KHJ655366 JXN655366 JNR655366 JDV655366 ITZ655366 IKD655366 IAH655366 HQL655366 HGP655366 GWT655366 GMX655366 GDB655366 FTF655366 FJJ655366 EZN655366 EPR655366 EFV655366 DVZ655366 DMD655366 DCH655366 CSL655366 CIP655366 BYT655366 BOX655366 BFB655366 AVF655366 ALJ655366 ABN655366 RR655366 HV655366 XED589830 WUH589830 WKL589830 WAP589830 VQT589830 VGX589830 UXB589830 UNF589830 UDJ589830 TTN589830 TJR589830 SZV589830 SPZ589830 SGD589830 RWH589830 RML589830 RCP589830 QST589830 QIX589830 PZB589830 PPF589830 PFJ589830 OVN589830 OLR589830 OBV589830 NRZ589830 NID589830 MYH589830 MOL589830 MEP589830 LUT589830 LKX589830 LBB589830 KRF589830 KHJ589830 JXN589830 JNR589830 JDV589830 ITZ589830 IKD589830 IAH589830 HQL589830 HGP589830 GWT589830 GMX589830 GDB589830 FTF589830 FJJ589830 EZN589830 EPR589830 EFV589830 DVZ589830 DMD589830 DCH589830 CSL589830 CIP589830 BYT589830 BOX589830 BFB589830 AVF589830 ALJ589830 ABN589830 RR589830 HV589830 XED524294 WUH524294 WKL524294 WAP524294 VQT524294 VGX524294 UXB524294 UNF524294 UDJ524294 TTN524294 TJR524294 SZV524294 SPZ524294 SGD524294 RWH524294 RML524294 RCP524294 QST524294 QIX524294 PZB524294 PPF524294 PFJ524294 OVN524294 OLR524294 OBV524294 NRZ524294 NID524294 MYH524294 MOL524294 MEP524294 LUT524294 LKX524294 LBB524294 KRF524294 KHJ524294 JXN524294 JNR524294 JDV524294 ITZ524294 IKD524294 IAH524294 HQL524294 HGP524294 GWT524294 GMX524294 GDB524294 FTF524294 FJJ524294 EZN524294 EPR524294 EFV524294 DVZ524294 DMD524294 DCH524294 CSL524294 CIP524294 BYT524294 BOX524294 BFB524294 AVF524294 ALJ524294 ABN524294 RR524294 HV524294 XED458758 WUH458758 WKL458758 WAP458758 VQT458758 VGX458758 UXB458758 UNF458758 UDJ458758 TTN458758 TJR458758 SZV458758 SPZ458758 SGD458758 RWH458758 RML458758 RCP458758 QST458758 QIX458758 PZB458758 PPF458758 PFJ458758 OVN458758 OLR458758 OBV458758 NRZ458758 NID458758 MYH458758 MOL458758 MEP458758 LUT458758 LKX458758 LBB458758 KRF458758 KHJ458758 JXN458758 JNR458758 JDV458758 ITZ458758 IKD458758 IAH458758 HQL458758 HGP458758 GWT458758 GMX458758 GDB458758 FTF458758 FJJ458758 EZN458758 EPR458758 EFV458758 DVZ458758 DMD458758 DCH458758 CSL458758 CIP458758 BYT458758 BOX458758 BFB458758 AVF458758 ALJ458758 ABN458758 RR458758 HV458758 XED393222 WUH393222 WKL393222 WAP393222 VQT393222 VGX393222 UXB393222 UNF393222 UDJ393222 TTN393222 TJR393222 SZV393222 SPZ393222 SGD393222 RWH393222 RML393222 RCP393222 QST393222 QIX393222 PZB393222 PPF393222 PFJ393222 OVN393222 OLR393222 OBV393222 NRZ393222 NID393222 MYH393222 MOL393222 MEP393222 LUT393222 LKX393222 LBB393222 KRF393222 KHJ393222 JXN393222 JNR393222 JDV393222 ITZ393222 IKD393222 IAH393222 HQL393222 HGP393222 GWT393222 GMX393222 GDB393222 FTF393222 FJJ393222 EZN393222 EPR393222 EFV393222 DVZ393222 DMD393222 DCH393222 CSL393222 CIP393222 BYT393222 BOX393222 BFB393222 AVF393222 ALJ393222 ABN393222 RR393222 HV393222 XED327686 WUH327686 WKL327686 WAP327686 VQT327686 VGX327686 UXB327686 UNF327686 UDJ327686 TTN327686 TJR327686 SZV327686 SPZ327686 SGD327686 RWH327686 RML327686 RCP327686 QST327686 QIX327686 PZB327686 PPF327686 PFJ327686 OVN327686 OLR327686 OBV327686 NRZ327686 NID327686 MYH327686 MOL327686 MEP327686 LUT327686 LKX327686 LBB327686 KRF327686 KHJ327686 JXN327686 JNR327686 JDV327686 ITZ327686 IKD327686 IAH327686 HQL327686 HGP327686 GWT327686 GMX327686 GDB327686 FTF327686 FJJ327686 EZN327686 EPR327686 EFV327686 DVZ327686 DMD327686 DCH327686 CSL327686 CIP327686 BYT327686 BOX327686 BFB327686 AVF327686 ALJ327686 ABN327686 RR327686 HV327686 XED262150 WUH262150 WKL262150 WAP262150 VQT262150 VGX262150 UXB262150 UNF262150 UDJ262150 TTN262150 TJR262150 SZV262150 SPZ262150 SGD262150 RWH262150 RML262150 RCP262150 QST262150 QIX262150 PZB262150 PPF262150 PFJ262150 OVN262150 OLR262150 OBV262150 NRZ262150 NID262150 MYH262150 MOL262150 MEP262150 LUT262150 LKX262150 LBB262150 KRF262150 KHJ262150 JXN262150 JNR262150 JDV262150 ITZ262150 IKD262150 IAH262150 HQL262150 HGP262150 GWT262150 GMX262150 GDB262150 FTF262150 FJJ262150 EZN262150 EPR262150 EFV262150 DVZ262150 DMD262150 DCH262150 CSL262150 CIP262150 BYT262150 BOX262150 BFB262150 AVF262150 ALJ262150 ABN262150 RR262150 HV262150 XED196614 WUH196614 WKL196614 WAP196614 VQT196614 VGX196614 UXB196614 UNF196614 UDJ196614 TTN196614 TJR196614 SZV196614 SPZ196614 SGD196614 RWH196614 RML196614 RCP196614 QST196614 QIX196614 PZB196614 PPF196614 PFJ196614 OVN196614 OLR196614 OBV196614 NRZ196614 NID196614 MYH196614 MOL196614 MEP196614 LUT196614 LKX196614 LBB196614 KRF196614 KHJ196614 JXN196614 JNR196614 JDV196614 ITZ196614 IKD196614 IAH196614 HQL196614 HGP196614 GWT196614 GMX196614 GDB196614 FTF196614 FJJ196614 EZN196614 EPR196614 EFV196614 DVZ196614 DMD196614 DCH196614 CSL196614 CIP196614 BYT196614 BOX196614 BFB196614 AVF196614 ALJ196614 ABN196614 RR196614 HV196614 XED131078 WUH131078 WKL131078 WAP131078 VQT131078 VGX131078 UXB131078 UNF131078 UDJ131078 TTN131078 TJR131078 SZV131078 SPZ131078 SGD131078 RWH131078 RML131078 RCP131078 QST131078 QIX131078 PZB131078 PPF131078 PFJ131078 OVN131078 OLR131078 OBV131078 NRZ131078 NID131078 MYH131078 MOL131078 MEP131078 LUT131078 LKX131078 LBB131078 KRF131078 KHJ131078 JXN131078 JNR131078 JDV131078 ITZ131078 IKD131078 IAH131078 HQL131078 HGP131078 GWT131078 GMX131078 GDB131078 FTF131078 FJJ131078 EZN131078 EPR131078 EFV131078 DVZ131078 DMD131078 DCH131078 CSL131078 CIP131078 BYT131078 BOX131078 BFB131078 AVF131078 ALJ131078 ABN131078 RR131078 HV131078 XED65542 WUH65542 WKL65542 WAP65542 VQT65542 VGX65542 UXB65542 UNF65542 UDJ65542 TTN65542 TJR65542 SZV65542 SPZ65542 SGD65542 RWH65542 RML65542 RCP65542 QST65542 QIX65542 PZB65542 PPF65542 PFJ65542 OVN65542 OLR65542 OBV65542 NRZ65542 NID65542 MYH65542 MOL65542 MEP65542 LUT65542 LKX65542 LBB65542 KRF65542 KHJ65542 JXN65542 JNR65542 JDV65542 ITZ65542 IKD65542 IAH65542 HQL65542 HGP65542 GWT65542 GMX65542 GDB65542 FTF65542 FJJ65542 EZN65542 EPR65542 EFV65542 DVZ65542 DMD65542 DCH65542 CSL65542 CIP65542 BYT65542 BOX65542 BFB65542 AVF65542 ALJ65542 ABN65542 RR65542 HV65542 XED6 WUH6 WKL6 WAP6 VQT6 VGX6 UXB6 UNF6 UDJ6 TTN6 TJR6 SZV6 SPZ6 SGD6 RWH6 RML6 RCP6 QST6 QIX6 PZB6 PPF6 PFJ6 OVN6 OLR6 OBV6 NRZ6 NID6 MYH6 MOL6 MEP6 LUT6 LKX6 LBB6 KRF6 KHJ6 JXN6 JNR6 JDV6 ITZ6 IKD6 IAH6 HQL6 HGP6 GWT6 GMX6 GDB6 FTF6 FJJ6 EZN6 EPR6 EFV6 DVZ6 DMD6 DCH6 CSL6 CIP6 BYT6 BOX6 BFB6 AVF6 ALJ6 ABN6 RR6 HV6 WWJ1048536 WMN1048536 WCR1048536 VSV1048536 VIZ1048536 UZD1048536 UPH1048536 UFL1048536 TVP1048536 TLT1048536 TBX1048536 SSB1048536 SIF1048536 RYJ1048536 RON1048536 RER1048536 QUV1048536 QKZ1048536 QBD1048536 PRH1048536 PHL1048536 OXP1048536 ONT1048536 ODX1048536 NUB1048536 NKF1048536 NAJ1048536 MQN1048536 MGR1048536 LWV1048536 LMZ1048536 LDD1048536 KTH1048536 KJL1048536 JZP1048536 JPT1048536 JFX1048536 IWB1048536 IMF1048536 ICJ1048536 HSN1048536 HIR1048536 GYV1048536 GOZ1048536 GFD1048536 FVH1048536 FLL1048536 FBP1048536 ERT1048536 EHX1048536 DYB1048536 DOF1048536 DEJ1048536 CUN1048536 CKR1048536 CAV1048536 BQZ1048536 BHD1048536 AXH1048536 ANL1048536 ADP1048536 TT1048536 JX1048536 C1048536 WWJ983000 WMN983000 WCR983000 VSV983000 VIZ983000 UZD983000 UPH983000 UFL983000 TVP983000 TLT983000 TBX983000 SSB983000 SIF983000 RYJ983000 RON983000 RER983000 QUV983000 QKZ983000 QBD983000 PRH983000 PHL983000 OXP983000 ONT983000 ODX983000 NUB983000 NKF983000 NAJ983000 MQN983000 MGR983000 LWV983000 LMZ983000 LDD983000 KTH983000 KJL983000 JZP983000 JPT983000 JFX983000 IWB983000 IMF983000 ICJ983000 HSN983000 HIR983000 GYV983000 GOZ983000 GFD983000 FVH983000 FLL983000 FBP983000 ERT983000 EHX983000 DYB983000 DOF983000 DEJ983000 CUN983000 CKR983000 CAV983000 BQZ983000 BHD983000 AXH983000 ANL983000 ADP983000 TT983000 JX983000 C983000 WWJ917464 WMN917464 WCR917464 VSV917464 VIZ917464 UZD917464 UPH917464 UFL917464 TVP917464 TLT917464 TBX917464 SSB917464 SIF917464 RYJ917464 RON917464 RER917464 QUV917464 QKZ917464 QBD917464 PRH917464 PHL917464 OXP917464 ONT917464 ODX917464 NUB917464 NKF917464 NAJ917464 MQN917464 MGR917464 LWV917464 LMZ917464 LDD917464 KTH917464 KJL917464 JZP917464 JPT917464 JFX917464 IWB917464 IMF917464 ICJ917464 HSN917464 HIR917464 GYV917464 GOZ917464 GFD917464 FVH917464 FLL917464 FBP917464 ERT917464 EHX917464 DYB917464 DOF917464 DEJ917464 CUN917464 CKR917464 CAV917464 BQZ917464 BHD917464 AXH917464 ANL917464 ADP917464 TT917464 JX917464 C917464 WWJ851928 WMN851928 WCR851928 VSV851928 VIZ851928 UZD851928 UPH851928 UFL851928 TVP851928 TLT851928 TBX851928 SSB851928 SIF851928 RYJ851928 RON851928 RER851928 QUV851928 QKZ851928 QBD851928 PRH851928 PHL851928 OXP851928 ONT851928 ODX851928 NUB851928 NKF851928 NAJ851928 MQN851928 MGR851928 LWV851928 LMZ851928 LDD851928 KTH851928 KJL851928 JZP851928 JPT851928 JFX851928 IWB851928 IMF851928 ICJ851928 HSN851928 HIR851928 GYV851928 GOZ851928 GFD851928 FVH851928 FLL851928 FBP851928 ERT851928 EHX851928 DYB851928 DOF851928 DEJ851928 CUN851928 CKR851928 CAV851928 BQZ851928 BHD851928 AXH851928 ANL851928 ADP851928 TT851928 JX851928 C851928 WWJ786392 WMN786392 WCR786392 VSV786392 VIZ786392 UZD786392 UPH786392 UFL786392 TVP786392 TLT786392 TBX786392 SSB786392 SIF786392 RYJ786392 RON786392 RER786392 QUV786392 QKZ786392 QBD786392 PRH786392 PHL786392 OXP786392 ONT786392 ODX786392 NUB786392 NKF786392 NAJ786392 MQN786392 MGR786392 LWV786392 LMZ786392 LDD786392 KTH786392 KJL786392 JZP786392 JPT786392 JFX786392 IWB786392 IMF786392 ICJ786392 HSN786392 HIR786392 GYV786392 GOZ786392 GFD786392 FVH786392 FLL786392 FBP786392 ERT786392 EHX786392 DYB786392 DOF786392 DEJ786392 CUN786392 CKR786392 CAV786392 BQZ786392 BHD786392 AXH786392 ANL786392 ADP786392 TT786392 JX786392 C786392 WWJ720856 WMN720856 WCR720856 VSV720856 VIZ720856 UZD720856 UPH720856 UFL720856 TVP720856 TLT720856 TBX720856 SSB720856 SIF720856 RYJ720856 RON720856 RER720856 QUV720856 QKZ720856 QBD720856 PRH720856 PHL720856 OXP720856 ONT720856 ODX720856 NUB720856 NKF720856 NAJ720856 MQN720856 MGR720856 LWV720856 LMZ720856 LDD720856 KTH720856 KJL720856 JZP720856 JPT720856 JFX720856 IWB720856 IMF720856 ICJ720856 HSN720856 HIR720856 GYV720856 GOZ720856 GFD720856 FVH720856 FLL720856 FBP720856 ERT720856 EHX720856 DYB720856 DOF720856 DEJ720856 CUN720856 CKR720856 CAV720856 BQZ720856 BHD720856 AXH720856 ANL720856 ADP720856 TT720856 JX720856 C720856 WWJ655320 WMN655320 WCR655320 VSV655320 VIZ655320 UZD655320 UPH655320 UFL655320 TVP655320 TLT655320 TBX655320 SSB655320 SIF655320 RYJ655320 RON655320 RER655320 QUV655320 QKZ655320 QBD655320 PRH655320 PHL655320 OXP655320 ONT655320 ODX655320 NUB655320 NKF655320 NAJ655320 MQN655320 MGR655320 LWV655320 LMZ655320 LDD655320 KTH655320 KJL655320 JZP655320 JPT655320 JFX655320 IWB655320 IMF655320 ICJ655320 HSN655320 HIR655320 GYV655320 GOZ655320 GFD655320 FVH655320 FLL655320 FBP655320 ERT655320 EHX655320 DYB655320 DOF655320 DEJ655320 CUN655320 CKR655320 CAV655320 BQZ655320 BHD655320 AXH655320 ANL655320 ADP655320 TT655320 JX655320 C655320 WWJ589784 WMN589784 WCR589784 VSV589784 VIZ589784 UZD589784 UPH589784 UFL589784 TVP589784 TLT589784 TBX589784 SSB589784 SIF589784 RYJ589784 RON589784 RER589784 QUV589784 QKZ589784 QBD589784 PRH589784 PHL589784 OXP589784 ONT589784 ODX589784 NUB589784 NKF589784 NAJ589784 MQN589784 MGR589784 LWV589784 LMZ589784 LDD589784 KTH589784 KJL589784 JZP589784 JPT589784 JFX589784 IWB589784 IMF589784 ICJ589784 HSN589784 HIR589784 GYV589784 GOZ589784 GFD589784 FVH589784 FLL589784 FBP589784 ERT589784 EHX589784 DYB589784 DOF589784 DEJ589784 CUN589784 CKR589784 CAV589784 BQZ589784 BHD589784 AXH589784 ANL589784 ADP589784 TT589784 JX589784 C589784 WWJ524248 WMN524248 WCR524248 VSV524248 VIZ524248 UZD524248 UPH524248 UFL524248 TVP524248 TLT524248 TBX524248 SSB524248 SIF524248 RYJ524248 RON524248 RER524248 QUV524248 QKZ524248 QBD524248 PRH524248 PHL524248 OXP524248 ONT524248 ODX524248 NUB524248 NKF524248 NAJ524248 MQN524248 MGR524248 LWV524248 LMZ524248 LDD524248 KTH524248 KJL524248 JZP524248 JPT524248 JFX524248 IWB524248 IMF524248 ICJ524248 HSN524248 HIR524248 GYV524248 GOZ524248 GFD524248 FVH524248 FLL524248 FBP524248 ERT524248 EHX524248 DYB524248 DOF524248 DEJ524248 CUN524248 CKR524248 CAV524248 BQZ524248 BHD524248 AXH524248 ANL524248 ADP524248 TT524248 JX524248 C524248 WWJ458712 WMN458712 WCR458712 VSV458712 VIZ458712 UZD458712 UPH458712 UFL458712 TVP458712 TLT458712 TBX458712 SSB458712 SIF458712 RYJ458712 RON458712 RER458712 QUV458712 QKZ458712 QBD458712 PRH458712 PHL458712 OXP458712 ONT458712 ODX458712 NUB458712 NKF458712 NAJ458712 MQN458712 MGR458712 LWV458712 LMZ458712 LDD458712 KTH458712 KJL458712 JZP458712 JPT458712 JFX458712 IWB458712 IMF458712 ICJ458712 HSN458712 HIR458712 GYV458712 GOZ458712 GFD458712 FVH458712 FLL458712 FBP458712 ERT458712 EHX458712 DYB458712 DOF458712 DEJ458712 CUN458712 CKR458712 CAV458712 BQZ458712 BHD458712 AXH458712 ANL458712 ADP458712 TT458712 JX458712 C458712 WWJ393176 WMN393176 WCR393176 VSV393176 VIZ393176 UZD393176 UPH393176 UFL393176 TVP393176 TLT393176 TBX393176 SSB393176 SIF393176 RYJ393176 RON393176 RER393176 QUV393176 QKZ393176 QBD393176 PRH393176 PHL393176 OXP393176 ONT393176 ODX393176 NUB393176 NKF393176 NAJ393176 MQN393176 MGR393176 LWV393176 LMZ393176 LDD393176 KTH393176 KJL393176 JZP393176 JPT393176 JFX393176 IWB393176 IMF393176 ICJ393176 HSN393176 HIR393176 GYV393176 GOZ393176 GFD393176 FVH393176 FLL393176 FBP393176 ERT393176 EHX393176 DYB393176 DOF393176 DEJ393176 CUN393176 CKR393176 CAV393176 BQZ393176 BHD393176 AXH393176 ANL393176 ADP393176 TT393176 JX393176 C393176 WWJ327640 WMN327640 WCR327640 VSV327640 VIZ327640 UZD327640 UPH327640 UFL327640 TVP327640 TLT327640 TBX327640 SSB327640 SIF327640 RYJ327640 RON327640 RER327640 QUV327640 QKZ327640 QBD327640 PRH327640 PHL327640 OXP327640 ONT327640 ODX327640 NUB327640 NKF327640 NAJ327640 MQN327640 MGR327640 LWV327640 LMZ327640 LDD327640 KTH327640 KJL327640 JZP327640 JPT327640 JFX327640 IWB327640 IMF327640 ICJ327640 HSN327640 HIR327640 GYV327640 GOZ327640 GFD327640 FVH327640 FLL327640 FBP327640 ERT327640 EHX327640 DYB327640 DOF327640 DEJ327640 CUN327640 CKR327640 CAV327640 BQZ327640 BHD327640 AXH327640 ANL327640 ADP327640 TT327640 JX327640 C327640 WWJ262104 WMN262104 WCR262104 VSV262104 VIZ262104 UZD262104 UPH262104 UFL262104 TVP262104 TLT262104 TBX262104 SSB262104 SIF262104 RYJ262104 RON262104 RER262104 QUV262104 QKZ262104 QBD262104 PRH262104 PHL262104 OXP262104 ONT262104 ODX262104 NUB262104 NKF262104 NAJ262104 MQN262104 MGR262104 LWV262104 LMZ262104 LDD262104 KTH262104 KJL262104 JZP262104 JPT262104 JFX262104 IWB262104 IMF262104 ICJ262104 HSN262104 HIR262104 GYV262104 GOZ262104 GFD262104 FVH262104 FLL262104 FBP262104 ERT262104 EHX262104 DYB262104 DOF262104 DEJ262104 CUN262104 CKR262104 CAV262104 BQZ262104 BHD262104 AXH262104 ANL262104 ADP262104 TT262104 JX262104 C262104 WWJ196568 WMN196568 WCR196568 VSV196568 VIZ196568 UZD196568 UPH196568 UFL196568 TVP196568 TLT196568 TBX196568 SSB196568 SIF196568 RYJ196568 RON196568 RER196568 QUV196568 QKZ196568 QBD196568 PRH196568 PHL196568 OXP196568 ONT196568 ODX196568 NUB196568 NKF196568 NAJ196568 MQN196568 MGR196568 LWV196568 LMZ196568 LDD196568 KTH196568 KJL196568 JZP196568 JPT196568 JFX196568 IWB196568 IMF196568 ICJ196568 HSN196568 HIR196568 GYV196568 GOZ196568 GFD196568 FVH196568 FLL196568 FBP196568 ERT196568 EHX196568 DYB196568 DOF196568 DEJ196568 CUN196568 CKR196568 CAV196568 BQZ196568 BHD196568 AXH196568 ANL196568 ADP196568 TT196568 JX196568 C196568 WWJ131032 WMN131032 WCR131032 VSV131032 VIZ131032 UZD131032 UPH131032 UFL131032 TVP131032 TLT131032 TBX131032 SSB131032 SIF131032 RYJ131032 RON131032 RER131032 QUV131032 QKZ131032 QBD131032 PRH131032 PHL131032 OXP131032 ONT131032 ODX131032 NUB131032 NKF131032 NAJ131032 MQN131032 MGR131032 LWV131032 LMZ131032 LDD131032 KTH131032 KJL131032 JZP131032 JPT131032 JFX131032 IWB131032 IMF131032 ICJ131032 HSN131032 HIR131032 GYV131032 GOZ131032 GFD131032 FVH131032 FLL131032 FBP131032 ERT131032 EHX131032 DYB131032 DOF131032 DEJ131032 CUN131032 CKR131032 CAV131032 BQZ131032 BHD131032 AXH131032 ANL131032 ADP131032 TT131032 JX131032 C131032 WWJ65496 WMN65496 WCR65496 VSV65496 VIZ65496 UZD65496 UPH65496 UFL65496 TVP65496 TLT65496 TBX65496 SSB65496 SIF65496 RYJ65496 RON65496 RER65496 QUV65496 QKZ65496 QBD65496 PRH65496 PHL65496 OXP65496 ONT65496 ODX65496 NUB65496 NKF65496 NAJ65496 MQN65496 MGR65496 LWV65496 LMZ65496 LDD65496 KTH65496 KJL65496 JZP65496 JPT65496 JFX65496 IWB65496 IMF65496 ICJ65496 HSN65496 HIR65496 GYV65496 GOZ65496 GFD65496 FVH65496 FLL65496 FBP65496 ERT65496 EHX65496 DYB65496 DOF65496 DEJ65496 CUN65496 CKR65496 CAV65496 BQZ65496 BHD65496 AXH65496 ANL65496 ADP65496 TT65496 JX65496 C65496 XED1048535 WUH1048535 WKL1048535 WAP1048535 VQT1048535 VGX1048535 UXB1048535 UNF1048535 UDJ1048535 TTN1048535 TJR1048535 SZV1048535 SPZ1048535 SGD1048535 RWH1048535 RML1048535 RCP1048535 QST1048535 QIX1048535 PZB1048535 PPF1048535 PFJ1048535 OVN1048535 OLR1048535 OBV1048535 NRZ1048535 NID1048535 MYH1048535 MOL1048535 MEP1048535 LUT1048535 LKX1048535 LBB1048535 KRF1048535 KHJ1048535 JXN1048535 JNR1048535 JDV1048535 ITZ1048535 IKD1048535 IAH1048535 HQL1048535 HGP1048535 GWT1048535 GMX1048535 GDB1048535 FTF1048535 FJJ1048535 EZN1048535 EPR1048535 EFV1048535 DVZ1048535 DMD1048535 DCH1048535 CSL1048535 CIP1048535 BYT1048535 BOX1048535 BFB1048535 AVF1048535 ALJ1048535 ABN1048535 RR1048535 HV1048535 XED982999 WUH982999 WKL982999 WAP982999 VQT982999 VGX982999 UXB982999 UNF982999 UDJ982999 TTN982999 TJR982999 SZV982999 SPZ982999 SGD982999 RWH982999 RML982999 RCP982999 QST982999 QIX982999 PZB982999 PPF982999 PFJ982999 OVN982999 OLR982999 OBV982999 NRZ982999 NID982999 MYH982999 MOL982999 MEP982999 LUT982999 LKX982999 LBB982999 KRF982999 KHJ982999 JXN982999 JNR982999 JDV982999 ITZ982999 IKD982999 IAH982999 HQL982999 HGP982999 GWT982999 GMX982999 GDB982999 FTF982999 FJJ982999 EZN982999 EPR982999 EFV982999 DVZ982999 DMD982999 DCH982999 CSL982999 CIP982999 BYT982999 BOX982999 BFB982999 AVF982999 ALJ982999 ABN982999 RR982999 HV982999 XED917463 WUH917463 WKL917463 WAP917463 VQT917463 VGX917463 UXB917463 UNF917463 UDJ917463 TTN917463 TJR917463 SZV917463 SPZ917463 SGD917463 RWH917463 RML917463 RCP917463 QST917463 QIX917463 PZB917463 PPF917463 PFJ917463 OVN917463 OLR917463 OBV917463 NRZ917463 NID917463 MYH917463 MOL917463 MEP917463 LUT917463 LKX917463 LBB917463 KRF917463 KHJ917463 JXN917463 JNR917463 JDV917463 ITZ917463 IKD917463 IAH917463 HQL917463 HGP917463 GWT917463 GMX917463 GDB917463 FTF917463 FJJ917463 EZN917463 EPR917463 EFV917463 DVZ917463 DMD917463 DCH917463 CSL917463 CIP917463 BYT917463 BOX917463 BFB917463 AVF917463 ALJ917463 ABN917463 RR917463 HV917463 XED851927 WUH851927 WKL851927 WAP851927 VQT851927 VGX851927 UXB851927 UNF851927 UDJ851927 TTN851927 TJR851927 SZV851927 SPZ851927 SGD851927 RWH851927 RML851927 RCP851927 QST851927 QIX851927 PZB851927 PPF851927 PFJ851927 OVN851927 OLR851927 OBV851927 NRZ851927 NID851927 MYH851927 MOL851927 MEP851927 LUT851927 LKX851927 LBB851927 KRF851927 KHJ851927 JXN851927 JNR851927 JDV851927 ITZ851927 IKD851927 IAH851927 HQL851927 HGP851927 GWT851927 GMX851927 GDB851927 FTF851927 FJJ851927 EZN851927 EPR851927 EFV851927 DVZ851927 DMD851927 DCH851927 CSL851927 CIP851927 BYT851927 BOX851927 BFB851927 AVF851927 ALJ851927 ABN851927 RR851927 HV851927 XED786391 WUH786391 WKL786391 WAP786391 VQT786391 VGX786391 UXB786391 UNF786391 UDJ786391 TTN786391 TJR786391 SZV786391 SPZ786391 SGD786391 RWH786391 RML786391 RCP786391 QST786391 QIX786391 PZB786391 PPF786391 PFJ786391 OVN786391 OLR786391 OBV786391 NRZ786391 NID786391 MYH786391 MOL786391 MEP786391 LUT786391 LKX786391 LBB786391 KRF786391 KHJ786391 JXN786391 JNR786391 JDV786391 ITZ786391 IKD786391 IAH786391 HQL786391 HGP786391 GWT786391 GMX786391 GDB786391 FTF786391 FJJ786391 EZN786391 EPR786391 EFV786391 DVZ786391 DMD786391 DCH786391 CSL786391 CIP786391 BYT786391 BOX786391 BFB786391 AVF786391 ALJ786391 ABN786391 RR786391 HV786391 XED720855 WUH720855 WKL720855 WAP720855 VQT720855 VGX720855 UXB720855 UNF720855 UDJ720855 TTN720855 TJR720855 SZV720855 SPZ720855 SGD720855 RWH720855 RML720855 RCP720855 QST720855 QIX720855 PZB720855 PPF720855 PFJ720855 OVN720855 OLR720855 OBV720855 NRZ720855 NID720855 MYH720855 MOL720855 MEP720855 LUT720855 LKX720855 LBB720855 KRF720855 KHJ720855 JXN720855 JNR720855 JDV720855 ITZ720855 IKD720855 IAH720855 HQL720855 HGP720855 GWT720855 GMX720855 GDB720855 FTF720855 FJJ720855 EZN720855 EPR720855 EFV720855 DVZ720855 DMD720855 DCH720855 CSL720855 CIP720855 BYT720855 BOX720855 BFB720855 AVF720855 ALJ720855 ABN720855 RR720855 HV720855 XED655319 WUH655319 WKL655319 WAP655319 VQT655319 VGX655319 UXB655319 UNF655319 UDJ655319 TTN655319 TJR655319 SZV655319 SPZ655319 SGD655319 RWH655319 RML655319 RCP655319 QST655319 QIX655319 PZB655319 PPF655319 PFJ655319 OVN655319 OLR655319 OBV655319 NRZ655319 NID655319 MYH655319 MOL655319 MEP655319 LUT655319 LKX655319 LBB655319 KRF655319 KHJ655319 JXN655319 JNR655319 JDV655319 ITZ655319 IKD655319 IAH655319 HQL655319 HGP655319 GWT655319 GMX655319 GDB655319 FTF655319 FJJ655319 EZN655319 EPR655319 EFV655319 DVZ655319 DMD655319 DCH655319 CSL655319 CIP655319 BYT655319 BOX655319 BFB655319 AVF655319 ALJ655319 ABN655319 RR655319 HV655319 XED589783 WUH589783 WKL589783 WAP589783 VQT589783 VGX589783 UXB589783 UNF589783 UDJ589783 TTN589783 TJR589783 SZV589783 SPZ589783 SGD589783 RWH589783 RML589783 RCP589783 QST589783 QIX589783 PZB589783 PPF589783 PFJ589783 OVN589783 OLR589783 OBV589783 NRZ589783 NID589783 MYH589783 MOL589783 MEP589783 LUT589783 LKX589783 LBB589783 KRF589783 KHJ589783 JXN589783 JNR589783 JDV589783 ITZ589783 IKD589783 IAH589783 HQL589783 HGP589783 GWT589783 GMX589783 GDB589783 FTF589783 FJJ589783 EZN589783 EPR589783 EFV589783 DVZ589783 DMD589783 DCH589783 CSL589783 CIP589783 BYT589783 BOX589783 BFB589783 AVF589783 ALJ589783 ABN589783 RR589783 HV589783 XED524247 WUH524247 WKL524247 WAP524247 VQT524247 VGX524247 UXB524247 UNF524247 UDJ524247 TTN524247 TJR524247 SZV524247 SPZ524247 SGD524247 RWH524247 RML524247 RCP524247 QST524247 QIX524247 PZB524247 PPF524247 PFJ524247 OVN524247 OLR524247 OBV524247 NRZ524247 NID524247 MYH524247 MOL524247 MEP524247 LUT524247 LKX524247 LBB524247 KRF524247 KHJ524247 JXN524247 JNR524247 JDV524247 ITZ524247 IKD524247 IAH524247 HQL524247 HGP524247 GWT524247 GMX524247 GDB524247 FTF524247 FJJ524247 EZN524247 EPR524247 EFV524247 DVZ524247 DMD524247 DCH524247 CSL524247 CIP524247 BYT524247 BOX524247 BFB524247 AVF524247 ALJ524247 ABN524247 RR524247 HV524247 XED458711 WUH458711 WKL458711 WAP458711 VQT458711 VGX458711 UXB458711 UNF458711 UDJ458711 TTN458711 TJR458711 SZV458711 SPZ458711 SGD458711 RWH458711 RML458711 RCP458711 QST458711 QIX458711 PZB458711 PPF458711 PFJ458711 OVN458711 OLR458711 OBV458711 NRZ458711 NID458711 MYH458711 MOL458711 MEP458711 LUT458711 LKX458711 LBB458711 KRF458711 KHJ458711 JXN458711 JNR458711 JDV458711 ITZ458711 IKD458711 IAH458711 HQL458711 HGP458711 GWT458711 GMX458711 GDB458711 FTF458711 FJJ458711 EZN458711 EPR458711 EFV458711 DVZ458711 DMD458711 DCH458711 CSL458711 CIP458711 BYT458711 BOX458711 BFB458711 AVF458711 ALJ458711 ABN458711 RR458711 HV458711 XED393175 WUH393175 WKL393175 WAP393175 VQT393175 VGX393175 UXB393175 UNF393175 UDJ393175 TTN393175 TJR393175 SZV393175 SPZ393175 SGD393175 RWH393175 RML393175 RCP393175 QST393175 QIX393175 PZB393175 PPF393175 PFJ393175 OVN393175 OLR393175 OBV393175 NRZ393175 NID393175 MYH393175 MOL393175 MEP393175 LUT393175 LKX393175 LBB393175 KRF393175 KHJ393175 JXN393175 JNR393175 JDV393175 ITZ393175 IKD393175 IAH393175 HQL393175 HGP393175 GWT393175 GMX393175 GDB393175 FTF393175 FJJ393175 EZN393175 EPR393175 EFV393175 DVZ393175 DMD393175 DCH393175 CSL393175 CIP393175 BYT393175 BOX393175 BFB393175 AVF393175 ALJ393175 ABN393175 RR393175 HV393175 XED327639 WUH327639 WKL327639 WAP327639 VQT327639 VGX327639 UXB327639 UNF327639 UDJ327639 TTN327639 TJR327639 SZV327639 SPZ327639 SGD327639 RWH327639 RML327639 RCP327639 QST327639 QIX327639 PZB327639 PPF327639 PFJ327639 OVN327639 OLR327639 OBV327639 NRZ327639 NID327639 MYH327639 MOL327639 MEP327639 LUT327639 LKX327639 LBB327639 KRF327639 KHJ327639 JXN327639 JNR327639 JDV327639 ITZ327639 IKD327639 IAH327639 HQL327639 HGP327639 GWT327639 GMX327639 GDB327639 FTF327639 FJJ327639 EZN327639 EPR327639 EFV327639 DVZ327639 DMD327639 DCH327639 CSL327639 CIP327639 BYT327639 BOX327639 BFB327639 AVF327639 ALJ327639 ABN327639 RR327639 HV327639 XED262103 WUH262103 WKL262103 WAP262103 VQT262103 VGX262103 UXB262103 UNF262103 UDJ262103 TTN262103 TJR262103 SZV262103 SPZ262103 SGD262103 RWH262103 RML262103 RCP262103 QST262103 QIX262103 PZB262103 PPF262103 PFJ262103 OVN262103 OLR262103 OBV262103 NRZ262103 NID262103 MYH262103 MOL262103 MEP262103 LUT262103 LKX262103 LBB262103 KRF262103 KHJ262103 JXN262103 JNR262103 JDV262103 ITZ262103 IKD262103 IAH262103 HQL262103 HGP262103 GWT262103 GMX262103 GDB262103 FTF262103 FJJ262103 EZN262103 EPR262103 EFV262103 DVZ262103 DMD262103 DCH262103 CSL262103 CIP262103 BYT262103 BOX262103 BFB262103 AVF262103 ALJ262103 ABN262103 RR262103 HV262103 XED196567 WUH196567 WKL196567 WAP196567 VQT196567 VGX196567 UXB196567 UNF196567 UDJ196567 TTN196567 TJR196567 SZV196567 SPZ196567 SGD196567 RWH196567 RML196567 RCP196567 QST196567 QIX196567 PZB196567 PPF196567 PFJ196567 OVN196567 OLR196567 OBV196567 NRZ196567 NID196567 MYH196567 MOL196567 MEP196567 LUT196567 LKX196567 LBB196567 KRF196567 KHJ196567 JXN196567 JNR196567 JDV196567 ITZ196567 IKD196567 IAH196567 HQL196567 HGP196567 GWT196567 GMX196567 GDB196567 FTF196567 FJJ196567 EZN196567 EPR196567 EFV196567 DVZ196567 DMD196567 DCH196567 CSL196567 CIP196567 BYT196567 BOX196567 BFB196567 AVF196567 ALJ196567 ABN196567 RR196567 HV196567 XED131031 WUH131031 WKL131031 WAP131031 VQT131031 VGX131031 UXB131031 UNF131031 UDJ131031 TTN131031 TJR131031 SZV131031 SPZ131031 SGD131031 RWH131031 RML131031 RCP131031 QST131031 QIX131031 PZB131031 PPF131031 PFJ131031 OVN131031 OLR131031 OBV131031 NRZ131031 NID131031 MYH131031 MOL131031 MEP131031 LUT131031 LKX131031 LBB131031 KRF131031 KHJ131031 JXN131031 JNR131031 JDV131031 ITZ131031 IKD131031 IAH131031 HQL131031 HGP131031 GWT131031 GMX131031 GDB131031 FTF131031 FJJ131031 EZN131031 EPR131031 EFV131031 DVZ131031 DMD131031 DCH131031 CSL131031 CIP131031 BYT131031 BOX131031 BFB131031 AVF131031 ALJ131031 ABN131031 RR131031 HV131031 XED65495 WUH65495 WKL65495 WAP65495 VQT65495 VGX65495 UXB65495 UNF65495 UDJ65495 TTN65495 TJR65495 SZV65495 SPZ65495 SGD65495 RWH65495 RML65495 RCP65495 QST65495 QIX65495 PZB65495 PPF65495 PFJ65495 OVN65495 OLR65495 OBV65495 NRZ65495 NID65495 MYH65495 MOL65495 MEP65495 LUT65495 LKX65495 LBB65495 KRF65495 KHJ65495 JXN65495 JNR65495 JDV65495 ITZ65495 IKD65495 IAH65495 HQL65495 HGP65495 GWT65495 GMX65495 GDB65495 FTF65495 FJJ65495 EZN65495 EPR65495 EFV65495 DVZ65495 DMD65495 DCH65495 CSL65495 CIP65495 BYT65495 BOX65495 BFB65495 AVF65495 ALJ65495 ABN65495 RR65495 HV65495 WWJ983050 WMN983050 WCR983050 VSV983050 VIZ983050 UZD983050 UPH983050 UFL983050 TVP983050 TLT983050 TBX983050 SSB983050 SIF983050 RYJ983050 RON983050 RER983050 QUV983050 QKZ983050 QBD983050 PRH983050 PHL983050 OXP983050 ONT983050 ODX983050 NUB983050 NKF983050 NAJ983050 MQN983050 MGR983050 LWV983050 LMZ983050 LDD983050 KTH983050 KJL983050 JZP983050 JPT983050 JFX983050 IWB983050 IMF983050 ICJ983050 HSN983050 HIR983050 GYV983050 GOZ983050 GFD983050 FVH983050 FLL983050 FBP983050 ERT983050 EHX983050 DYB983050 DOF983050 DEJ983050 CUN983050 CKR983050 CAV983050 BQZ983050 BHD983050 AXH983050 ANL983050 ADP983050 TT983050 JX983050 C983050 WWJ917514 WMN917514 WCR917514 VSV917514 VIZ917514 UZD917514 UPH917514 UFL917514 TVP917514 TLT917514 TBX917514 SSB917514 SIF917514 RYJ917514 RON917514 RER917514 QUV917514 QKZ917514 QBD917514 PRH917514 PHL917514 OXP917514 ONT917514 ODX917514 NUB917514 NKF917514 NAJ917514 MQN917514 MGR917514 LWV917514 LMZ917514 LDD917514 KTH917514 KJL917514 JZP917514 JPT917514 JFX917514 IWB917514 IMF917514 ICJ917514 HSN917514 HIR917514 GYV917514 GOZ917514 GFD917514 FVH917514 FLL917514 FBP917514 ERT917514 EHX917514 DYB917514 DOF917514 DEJ917514 CUN917514 CKR917514 CAV917514 BQZ917514 BHD917514 AXH917514 ANL917514 ADP917514 TT917514 JX917514 C917514 WWJ851978 WMN851978 WCR851978 VSV851978 VIZ851978 UZD851978 UPH851978 UFL851978 TVP851978 TLT851978 TBX851978 SSB851978 SIF851978 RYJ851978 RON851978 RER851978 QUV851978 QKZ851978 QBD851978 PRH851978 PHL851978 OXP851978 ONT851978 ODX851978 NUB851978 NKF851978 NAJ851978 MQN851978 MGR851978 LWV851978 LMZ851978 LDD851978 KTH851978 KJL851978 JZP851978 JPT851978 JFX851978 IWB851978 IMF851978 ICJ851978 HSN851978 HIR851978 GYV851978 GOZ851978 GFD851978 FVH851978 FLL851978 FBP851978 ERT851978 EHX851978 DYB851978 DOF851978 DEJ851978 CUN851978 CKR851978 CAV851978 BQZ851978 BHD851978 AXH851978 ANL851978 ADP851978 TT851978 JX851978 C851978 WWJ786442 WMN786442 WCR786442 VSV786442 VIZ786442 UZD786442 UPH786442 UFL786442 TVP786442 TLT786442 TBX786442 SSB786442 SIF786442 RYJ786442 RON786442 RER786442 QUV786442 QKZ786442 QBD786442 PRH786442 PHL786442 OXP786442 ONT786442 ODX786442 NUB786442 NKF786442 NAJ786442 MQN786442 MGR786442 LWV786442 LMZ786442 LDD786442 KTH786442 KJL786442 JZP786442 JPT786442 JFX786442 IWB786442 IMF786442 ICJ786442 HSN786442 HIR786442 GYV786442 GOZ786442 GFD786442 FVH786442 FLL786442 FBP786442 ERT786442 EHX786442 DYB786442 DOF786442 DEJ786442 CUN786442 CKR786442 CAV786442 BQZ786442 BHD786442 AXH786442 ANL786442 ADP786442 TT786442 JX786442 C786442 WWJ720906 WMN720906 WCR720906 VSV720906 VIZ720906 UZD720906 UPH720906 UFL720906 TVP720906 TLT720906 TBX720906 SSB720906 SIF720906 RYJ720906 RON720906 RER720906 QUV720906 QKZ720906 QBD720906 PRH720906 PHL720906 OXP720906 ONT720906 ODX720906 NUB720906 NKF720906 NAJ720906 MQN720906 MGR720906 LWV720906 LMZ720906 LDD720906 KTH720906 KJL720906 JZP720906 JPT720906 JFX720906 IWB720906 IMF720906 ICJ720906 HSN720906 HIR720906 GYV720906 GOZ720906 GFD720906 FVH720906 FLL720906 FBP720906 ERT720906 EHX720906 DYB720906 DOF720906 DEJ720906 CUN720906 CKR720906 CAV720906 BQZ720906 BHD720906 AXH720906 ANL720906 ADP720906 TT720906 JX720906 C720906 WWJ655370 WMN655370 WCR655370 VSV655370 VIZ655370 UZD655370 UPH655370 UFL655370 TVP655370 TLT655370 TBX655370 SSB655370 SIF655370 RYJ655370 RON655370 RER655370 QUV655370 QKZ655370 QBD655370 PRH655370 PHL655370 OXP655370 ONT655370 ODX655370 NUB655370 NKF655370 NAJ655370 MQN655370 MGR655370 LWV655370 LMZ655370 LDD655370 KTH655370 KJL655370 JZP655370 JPT655370 JFX655370 IWB655370 IMF655370 ICJ655370 HSN655370 HIR655370 GYV655370 GOZ655370 GFD655370 FVH655370 FLL655370 FBP655370 ERT655370 EHX655370 DYB655370 DOF655370 DEJ655370 CUN655370 CKR655370 CAV655370 BQZ655370 BHD655370 AXH655370 ANL655370 ADP655370 TT655370 JX655370 C655370 WWJ589834 WMN589834 WCR589834 VSV589834 VIZ589834 UZD589834 UPH589834 UFL589834 TVP589834 TLT589834 TBX589834 SSB589834 SIF589834 RYJ589834 RON589834 RER589834 QUV589834 QKZ589834 QBD589834 PRH589834 PHL589834 OXP589834 ONT589834 ODX589834 NUB589834 NKF589834 NAJ589834 MQN589834 MGR589834 LWV589834 LMZ589834 LDD589834 KTH589834 KJL589834 JZP589834 JPT589834 JFX589834 IWB589834 IMF589834 ICJ589834 HSN589834 HIR589834 GYV589834 GOZ589834 GFD589834 FVH589834 FLL589834 FBP589834 ERT589834 EHX589834 DYB589834 DOF589834 DEJ589834 CUN589834 CKR589834 CAV589834 BQZ589834 BHD589834 AXH589834 ANL589834 ADP589834 TT589834 JX589834 C589834 WWJ524298 WMN524298 WCR524298 VSV524298 VIZ524298 UZD524298 UPH524298 UFL524298 TVP524298 TLT524298 TBX524298 SSB524298 SIF524298 RYJ524298 RON524298 RER524298 QUV524298 QKZ524298 QBD524298 PRH524298 PHL524298 OXP524298 ONT524298 ODX524298 NUB524298 NKF524298 NAJ524298 MQN524298 MGR524298 LWV524298 LMZ524298 LDD524298 KTH524298 KJL524298 JZP524298 JPT524298 JFX524298 IWB524298 IMF524298 ICJ524298 HSN524298 HIR524298 GYV524298 GOZ524298 GFD524298 FVH524298 FLL524298 FBP524298 ERT524298 EHX524298 DYB524298 DOF524298 DEJ524298 CUN524298 CKR524298 CAV524298 BQZ524298 BHD524298 AXH524298 ANL524298 ADP524298 TT524298 JX524298 C524298 WWJ458762 WMN458762 WCR458762 VSV458762 VIZ458762 UZD458762 UPH458762 UFL458762 TVP458762 TLT458762 TBX458762 SSB458762 SIF458762 RYJ458762 RON458762 RER458762 QUV458762 QKZ458762 QBD458762 PRH458762 PHL458762 OXP458762 ONT458762 ODX458762 NUB458762 NKF458762 NAJ458762 MQN458762 MGR458762 LWV458762 LMZ458762 LDD458762 KTH458762 KJL458762 JZP458762 JPT458762 JFX458762 IWB458762 IMF458762 ICJ458762 HSN458762 HIR458762 GYV458762 GOZ458762 GFD458762 FVH458762 FLL458762 FBP458762 ERT458762 EHX458762 DYB458762 DOF458762 DEJ458762 CUN458762 CKR458762 CAV458762 BQZ458762 BHD458762 AXH458762 ANL458762 ADP458762 TT458762 JX458762 C458762 WWJ393226 WMN393226 WCR393226 VSV393226 VIZ393226 UZD393226 UPH393226 UFL393226 TVP393226 TLT393226 TBX393226 SSB393226 SIF393226 RYJ393226 RON393226 RER393226 QUV393226 QKZ393226 QBD393226 PRH393226 PHL393226 OXP393226 ONT393226 ODX393226 NUB393226 NKF393226 NAJ393226 MQN393226 MGR393226 LWV393226 LMZ393226 LDD393226 KTH393226 KJL393226 JZP393226 JPT393226 JFX393226 IWB393226 IMF393226 ICJ393226 HSN393226 HIR393226 GYV393226 GOZ393226 GFD393226 FVH393226 FLL393226 FBP393226 ERT393226 EHX393226 DYB393226 DOF393226 DEJ393226 CUN393226 CKR393226 CAV393226 BQZ393226 BHD393226 AXH393226 ANL393226 ADP393226 TT393226 JX393226 C393226 WWJ327690 WMN327690 WCR327690 VSV327690 VIZ327690 UZD327690 UPH327690 UFL327690 TVP327690 TLT327690 TBX327690 SSB327690 SIF327690 RYJ327690 RON327690 RER327690 QUV327690 QKZ327690 QBD327690 PRH327690 PHL327690 OXP327690 ONT327690 ODX327690 NUB327690 NKF327690 NAJ327690 MQN327690 MGR327690 LWV327690 LMZ327690 LDD327690 KTH327690 KJL327690 JZP327690 JPT327690 JFX327690 IWB327690 IMF327690 ICJ327690 HSN327690 HIR327690 GYV327690 GOZ327690 GFD327690 FVH327690 FLL327690 FBP327690 ERT327690 EHX327690 DYB327690 DOF327690 DEJ327690 CUN327690 CKR327690 CAV327690 BQZ327690 BHD327690 AXH327690 ANL327690 ADP327690 TT327690 JX327690 C327690 WWJ262154 WMN262154 WCR262154 VSV262154 VIZ262154 UZD262154 UPH262154 UFL262154 TVP262154 TLT262154 TBX262154 SSB262154 SIF262154 RYJ262154 RON262154 RER262154 QUV262154 QKZ262154 QBD262154 PRH262154 PHL262154 OXP262154 ONT262154 ODX262154 NUB262154 NKF262154 NAJ262154 MQN262154 MGR262154 LWV262154 LMZ262154 LDD262154 KTH262154 KJL262154 JZP262154 JPT262154 JFX262154 IWB262154 IMF262154 ICJ262154 HSN262154 HIR262154 GYV262154 GOZ262154 GFD262154 FVH262154 FLL262154 FBP262154 ERT262154 EHX262154 DYB262154 DOF262154 DEJ262154 CUN262154 CKR262154 CAV262154 BQZ262154 BHD262154 AXH262154 ANL262154 ADP262154 TT262154 JX262154 C262154 WWJ196618 WMN196618 WCR196618 VSV196618 VIZ196618 UZD196618 UPH196618 UFL196618 TVP196618 TLT196618 TBX196618 SSB196618 SIF196618 RYJ196618 RON196618 RER196618 QUV196618 QKZ196618 QBD196618 PRH196618 PHL196618 OXP196618 ONT196618 ODX196618 NUB196618 NKF196618 NAJ196618 MQN196618 MGR196618 LWV196618 LMZ196618 LDD196618 KTH196618 KJL196618 JZP196618 JPT196618 JFX196618 IWB196618 IMF196618 ICJ196618 HSN196618 HIR196618 GYV196618 GOZ196618 GFD196618 FVH196618 FLL196618 FBP196618 ERT196618 EHX196618 DYB196618 DOF196618 DEJ196618 CUN196618 CKR196618 CAV196618 BQZ196618 BHD196618 AXH196618 ANL196618 ADP196618 TT196618 JX196618 C196618 WWJ131082 WMN131082 WCR131082 VSV131082 VIZ131082 UZD131082 UPH131082 UFL131082 TVP131082 TLT131082 TBX131082 SSB131082 SIF131082 RYJ131082 RON131082 RER131082 QUV131082 QKZ131082 QBD131082 PRH131082 PHL131082 OXP131082 ONT131082 ODX131082 NUB131082 NKF131082 NAJ131082 MQN131082 MGR131082 LWV131082 LMZ131082 LDD131082 KTH131082 KJL131082 JZP131082 JPT131082 JFX131082 IWB131082 IMF131082 ICJ131082 HSN131082 HIR131082 GYV131082 GOZ131082 GFD131082 FVH131082 FLL131082 FBP131082 ERT131082 EHX131082 DYB131082 DOF131082 DEJ131082 CUN131082 CKR131082 CAV131082 BQZ131082 BHD131082 AXH131082 ANL131082 ADP131082 TT131082 JX131082 C131082 WWJ65546 WMN65546 WCR65546 VSV65546 VIZ65546 UZD65546 UPH65546 UFL65546 TVP65546 TLT65546 TBX65546 SSB65546 SIF65546 RYJ65546 RON65546 RER65546 QUV65546 QKZ65546 QBD65546 PRH65546 PHL65546 OXP65546 ONT65546 ODX65546 NUB65546 NKF65546 NAJ65546 MQN65546 MGR65546 LWV65546 LMZ65546 LDD65546 KTH65546 KJL65546 JZP65546 JPT65546 JFX65546 IWB65546 IMF65546 ICJ65546 HSN65546 HIR65546 GYV65546 GOZ65546 GFD65546 FVH65546 FLL65546 FBP65546 ERT65546 EHX65546 DYB65546 DOF65546 DEJ65546 CUN65546 CKR65546 CAV65546 BQZ65546 BHD65546 AXH65546 ANL65546 ADP65546 TT65546 JX65546 C65546 WWJ10 WMN10 WCR10 VSV10 VIZ10 UZD10 UPH10 UFL10 TVP10 TLT10 TBX10 SSB10 SIF10 RYJ10 RON10 RER10 QUV10 QKZ10 QBD10 PRH10 PHL10 OXP10 ONT10 ODX10 NUB10 NKF10 NAJ10 MQN10 MGR10 LWV10 LMZ10 LDD10 KTH10 KJL10 JZP10 JPT10 JFX10 IWB10 IMF10 ICJ10 HSN10 HIR10 GYV10 GOZ10 GFD10 FVH10 FLL10 FBP10 ERT10 EHX10 DYB10 DOF10 DEJ10 CUN10 CKR10 CAV10 BQZ10 BHD10 AXH10 ANL10 ADP10 TT10 JX10" xr:uid="{00000000-0002-0000-0900-000000000000}">
      <formula1>$BB$5:$BB$12</formula1>
    </dataValidation>
  </dataValidations>
  <hyperlinks>
    <hyperlink ref="A4" r:id="rId1" xr:uid="{00000000-0004-0000-09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1000000}">
          <x14:formula1>
            <xm:f>$BD$1:$BD$26</xm:f>
          </x14:formula1>
          <xm:sqref>B36 WWI983070 WMM983070 WCQ983070 VSU983070 VIY983070 UZC983070 UPG983070 UFK983070 TVO983070 TLS983070 TBW983070 SSA983070 SIE983070 RYI983070 ROM983070 REQ983070 QUU983070 QKY983070 QBC983070 PRG983070 PHK983070 OXO983070 ONS983070 ODW983070 NUA983070 NKE983070 NAI983070 MQM983070 MGQ983070 LWU983070 LMY983070 LDC983070 KTG983070 KJK983070 JZO983070 JPS983070 JFW983070 IWA983070 IME983070 ICI983070 HSM983070 HIQ983070 GYU983070 GOY983070 GFC983070 FVG983070 FLK983070 FBO983070 ERS983070 EHW983070 DYA983070 DOE983070 DEI983070 CUM983070 CKQ983070 CAU983070 BQY983070 BHC983070 AXG983070 ANK983070 ADO983070 TS983070 JW983070 B983070 WWI917534 WMM917534 WCQ917534 VSU917534 VIY917534 UZC917534 UPG917534 UFK917534 TVO917534 TLS917534 TBW917534 SSA917534 SIE917534 RYI917534 ROM917534 REQ917534 QUU917534 QKY917534 QBC917534 PRG917534 PHK917534 OXO917534 ONS917534 ODW917534 NUA917534 NKE917534 NAI917534 MQM917534 MGQ917534 LWU917534 LMY917534 LDC917534 KTG917534 KJK917534 JZO917534 JPS917534 JFW917534 IWA917534 IME917534 ICI917534 HSM917534 HIQ917534 GYU917534 GOY917534 GFC917534 FVG917534 FLK917534 FBO917534 ERS917534 EHW917534 DYA917534 DOE917534 DEI917534 CUM917534 CKQ917534 CAU917534 BQY917534 BHC917534 AXG917534 ANK917534 ADO917534 TS917534 JW917534 B917534 WWI851998 WMM851998 WCQ851998 VSU851998 VIY851998 UZC851998 UPG851998 UFK851998 TVO851998 TLS851998 TBW851998 SSA851998 SIE851998 RYI851998 ROM851998 REQ851998 QUU851998 QKY851998 QBC851998 PRG851998 PHK851998 OXO851998 ONS851998 ODW851998 NUA851998 NKE851998 NAI851998 MQM851998 MGQ851998 LWU851998 LMY851998 LDC851998 KTG851998 KJK851998 JZO851998 JPS851998 JFW851998 IWA851998 IME851998 ICI851998 HSM851998 HIQ851998 GYU851998 GOY851998 GFC851998 FVG851998 FLK851998 FBO851998 ERS851998 EHW851998 DYA851998 DOE851998 DEI851998 CUM851998 CKQ851998 CAU851998 BQY851998 BHC851998 AXG851998 ANK851998 ADO851998 TS851998 JW851998 B851998 WWI786462 WMM786462 WCQ786462 VSU786462 VIY786462 UZC786462 UPG786462 UFK786462 TVO786462 TLS786462 TBW786462 SSA786462 SIE786462 RYI786462 ROM786462 REQ786462 QUU786462 QKY786462 QBC786462 PRG786462 PHK786462 OXO786462 ONS786462 ODW786462 NUA786462 NKE786462 NAI786462 MQM786462 MGQ786462 LWU786462 LMY786462 LDC786462 KTG786462 KJK786462 JZO786462 JPS786462 JFW786462 IWA786462 IME786462 ICI786462 HSM786462 HIQ786462 GYU786462 GOY786462 GFC786462 FVG786462 FLK786462 FBO786462 ERS786462 EHW786462 DYA786462 DOE786462 DEI786462 CUM786462 CKQ786462 CAU786462 BQY786462 BHC786462 AXG786462 ANK786462 ADO786462 TS786462 JW786462 B786462 WWI720926 WMM720926 WCQ720926 VSU720926 VIY720926 UZC720926 UPG720926 UFK720926 TVO720926 TLS720926 TBW720926 SSA720926 SIE720926 RYI720926 ROM720926 REQ720926 QUU720926 QKY720926 QBC720926 PRG720926 PHK720926 OXO720926 ONS720926 ODW720926 NUA720926 NKE720926 NAI720926 MQM720926 MGQ720926 LWU720926 LMY720926 LDC720926 KTG720926 KJK720926 JZO720926 JPS720926 JFW720926 IWA720926 IME720926 ICI720926 HSM720926 HIQ720926 GYU720926 GOY720926 GFC720926 FVG720926 FLK720926 FBO720926 ERS720926 EHW720926 DYA720926 DOE720926 DEI720926 CUM720926 CKQ720926 CAU720926 BQY720926 BHC720926 AXG720926 ANK720926 ADO720926 TS720926 JW720926 B720926 WWI655390 WMM655390 WCQ655390 VSU655390 VIY655390 UZC655390 UPG655390 UFK655390 TVO655390 TLS655390 TBW655390 SSA655390 SIE655390 RYI655390 ROM655390 REQ655390 QUU655390 QKY655390 QBC655390 PRG655390 PHK655390 OXO655390 ONS655390 ODW655390 NUA655390 NKE655390 NAI655390 MQM655390 MGQ655390 LWU655390 LMY655390 LDC655390 KTG655390 KJK655390 JZO655390 JPS655390 JFW655390 IWA655390 IME655390 ICI655390 HSM655390 HIQ655390 GYU655390 GOY655390 GFC655390 FVG655390 FLK655390 FBO655390 ERS655390 EHW655390 DYA655390 DOE655390 DEI655390 CUM655390 CKQ655390 CAU655390 BQY655390 BHC655390 AXG655390 ANK655390 ADO655390 TS655390 JW655390 B655390 WWI589854 WMM589854 WCQ589854 VSU589854 VIY589854 UZC589854 UPG589854 UFK589854 TVO589854 TLS589854 TBW589854 SSA589854 SIE589854 RYI589854 ROM589854 REQ589854 QUU589854 QKY589854 QBC589854 PRG589854 PHK589854 OXO589854 ONS589854 ODW589854 NUA589854 NKE589854 NAI589854 MQM589854 MGQ589854 LWU589854 LMY589854 LDC589854 KTG589854 KJK589854 JZO589854 JPS589854 JFW589854 IWA589854 IME589854 ICI589854 HSM589854 HIQ589854 GYU589854 GOY589854 GFC589854 FVG589854 FLK589854 FBO589854 ERS589854 EHW589854 DYA589854 DOE589854 DEI589854 CUM589854 CKQ589854 CAU589854 BQY589854 BHC589854 AXG589854 ANK589854 ADO589854 TS589854 JW589854 B589854 WWI524318 WMM524318 WCQ524318 VSU524318 VIY524318 UZC524318 UPG524318 UFK524318 TVO524318 TLS524318 TBW524318 SSA524318 SIE524318 RYI524318 ROM524318 REQ524318 QUU524318 QKY524318 QBC524318 PRG524318 PHK524318 OXO524318 ONS524318 ODW524318 NUA524318 NKE524318 NAI524318 MQM524318 MGQ524318 LWU524318 LMY524318 LDC524318 KTG524318 KJK524318 JZO524318 JPS524318 JFW524318 IWA524318 IME524318 ICI524318 HSM524318 HIQ524318 GYU524318 GOY524318 GFC524318 FVG524318 FLK524318 FBO524318 ERS524318 EHW524318 DYA524318 DOE524318 DEI524318 CUM524318 CKQ524318 CAU524318 BQY524318 BHC524318 AXG524318 ANK524318 ADO524318 TS524318 JW524318 B524318 WWI458782 WMM458782 WCQ458782 VSU458782 VIY458782 UZC458782 UPG458782 UFK458782 TVO458782 TLS458782 TBW458782 SSA458782 SIE458782 RYI458782 ROM458782 REQ458782 QUU458782 QKY458782 QBC458782 PRG458782 PHK458782 OXO458782 ONS458782 ODW458782 NUA458782 NKE458782 NAI458782 MQM458782 MGQ458782 LWU458782 LMY458782 LDC458782 KTG458782 KJK458782 JZO458782 JPS458782 JFW458782 IWA458782 IME458782 ICI458782 HSM458782 HIQ458782 GYU458782 GOY458782 GFC458782 FVG458782 FLK458782 FBO458782 ERS458782 EHW458782 DYA458782 DOE458782 DEI458782 CUM458782 CKQ458782 CAU458782 BQY458782 BHC458782 AXG458782 ANK458782 ADO458782 TS458782 JW458782 B458782 WWI393246 WMM393246 WCQ393246 VSU393246 VIY393246 UZC393246 UPG393246 UFK393246 TVO393246 TLS393246 TBW393246 SSA393246 SIE393246 RYI393246 ROM393246 REQ393246 QUU393246 QKY393246 QBC393246 PRG393246 PHK393246 OXO393246 ONS393246 ODW393246 NUA393246 NKE393246 NAI393246 MQM393246 MGQ393246 LWU393246 LMY393246 LDC393246 KTG393246 KJK393246 JZO393246 JPS393246 JFW393246 IWA393246 IME393246 ICI393246 HSM393246 HIQ393246 GYU393246 GOY393246 GFC393246 FVG393246 FLK393246 FBO393246 ERS393246 EHW393246 DYA393246 DOE393246 DEI393246 CUM393246 CKQ393246 CAU393246 BQY393246 BHC393246 AXG393246 ANK393246 ADO393246 TS393246 JW393246 B393246 WWI327710 WMM327710 WCQ327710 VSU327710 VIY327710 UZC327710 UPG327710 UFK327710 TVO327710 TLS327710 TBW327710 SSA327710 SIE327710 RYI327710 ROM327710 REQ327710 QUU327710 QKY327710 QBC327710 PRG327710 PHK327710 OXO327710 ONS327710 ODW327710 NUA327710 NKE327710 NAI327710 MQM327710 MGQ327710 LWU327710 LMY327710 LDC327710 KTG327710 KJK327710 JZO327710 JPS327710 JFW327710 IWA327710 IME327710 ICI327710 HSM327710 HIQ327710 GYU327710 GOY327710 GFC327710 FVG327710 FLK327710 FBO327710 ERS327710 EHW327710 DYA327710 DOE327710 DEI327710 CUM327710 CKQ327710 CAU327710 BQY327710 BHC327710 AXG327710 ANK327710 ADO327710 TS327710 JW327710 B327710 WWI262174 WMM262174 WCQ262174 VSU262174 VIY262174 UZC262174 UPG262174 UFK262174 TVO262174 TLS262174 TBW262174 SSA262174 SIE262174 RYI262174 ROM262174 REQ262174 QUU262174 QKY262174 QBC262174 PRG262174 PHK262174 OXO262174 ONS262174 ODW262174 NUA262174 NKE262174 NAI262174 MQM262174 MGQ262174 LWU262174 LMY262174 LDC262174 KTG262174 KJK262174 JZO262174 JPS262174 JFW262174 IWA262174 IME262174 ICI262174 HSM262174 HIQ262174 GYU262174 GOY262174 GFC262174 FVG262174 FLK262174 FBO262174 ERS262174 EHW262174 DYA262174 DOE262174 DEI262174 CUM262174 CKQ262174 CAU262174 BQY262174 BHC262174 AXG262174 ANK262174 ADO262174 TS262174 JW262174 B262174 WWI196638 WMM196638 WCQ196638 VSU196638 VIY196638 UZC196638 UPG196638 UFK196638 TVO196638 TLS196638 TBW196638 SSA196638 SIE196638 RYI196638 ROM196638 REQ196638 QUU196638 QKY196638 QBC196638 PRG196638 PHK196638 OXO196638 ONS196638 ODW196638 NUA196638 NKE196638 NAI196638 MQM196638 MGQ196638 LWU196638 LMY196638 LDC196638 KTG196638 KJK196638 JZO196638 JPS196638 JFW196638 IWA196638 IME196638 ICI196638 HSM196638 HIQ196638 GYU196638 GOY196638 GFC196638 FVG196638 FLK196638 FBO196638 ERS196638 EHW196638 DYA196638 DOE196638 DEI196638 CUM196638 CKQ196638 CAU196638 BQY196638 BHC196638 AXG196638 ANK196638 ADO196638 TS196638 JW196638 B196638 WWI131102 WMM131102 WCQ131102 VSU131102 VIY131102 UZC131102 UPG131102 UFK131102 TVO131102 TLS131102 TBW131102 SSA131102 SIE131102 RYI131102 ROM131102 REQ131102 QUU131102 QKY131102 QBC131102 PRG131102 PHK131102 OXO131102 ONS131102 ODW131102 NUA131102 NKE131102 NAI131102 MQM131102 MGQ131102 LWU131102 LMY131102 LDC131102 KTG131102 KJK131102 JZO131102 JPS131102 JFW131102 IWA131102 IME131102 ICI131102 HSM131102 HIQ131102 GYU131102 GOY131102 GFC131102 FVG131102 FLK131102 FBO131102 ERS131102 EHW131102 DYA131102 DOE131102 DEI131102 CUM131102 CKQ131102 CAU131102 BQY131102 BHC131102 AXG131102 ANK131102 ADO131102 TS131102 JW131102 B131102 WWI65566 WMM65566 WCQ65566 VSU65566 VIY65566 UZC65566 UPG65566 UFK65566 TVO65566 TLS65566 TBW65566 SSA65566 SIE65566 RYI65566 ROM65566 REQ65566 QUU65566 QKY65566 QBC65566 PRG65566 PHK65566 OXO65566 ONS65566 ODW65566 NUA65566 NKE65566 NAI65566 MQM65566 MGQ65566 LWU65566 LMY65566 LDC65566 KTG65566 KJK65566 JZO65566 JPS65566 JFW65566 IWA65566 IME65566 ICI65566 HSM65566 HIQ65566 GYU65566 GOY65566 GFC65566 FVG65566 FLK65566 FBO65566 ERS65566 EHW65566 DYA65566 DOE65566 DEI65566 CUM65566 CKQ65566 CAU65566 BQY65566 BHC65566 AXG65566 ANK65566 ADO65566 TS65566 JW65566 B65566 WWI30 WMM30 WCQ30 VSU30 VIY30 UZC30 UPG30 UFK30 TVO30 TLS30 TBW30 SSA30 SIE30 RYI30 ROM30 REQ30 QUU30 QKY30 QBC30 PRG30 PHK30 OXO30 ONS30 ODW30 NUA30 NKE30 NAI30 MQM30 MGQ30 LWU30 LMY30 LDC30 KTG30 KJK30 JZO30 JPS30 JFW30 IWA30 IME30 ICI30 HSM30 HIQ30 GYU30 GOY30 GFC30 FVG30 FLK30 FBO30 ERS30 EHW30 DYA30 DOE30 DEI30 CUM30 CKQ30 CAU30 BQY30 BHC30 AXG30 ANK30 ADO30 TS30 JW30 B30 WWI983068 WMM983068 WCQ983068 VSU983068 VIY983068 UZC983068 UPG983068 UFK983068 TVO983068 TLS983068 TBW983068 SSA983068 SIE983068 RYI983068 ROM983068 REQ983068 QUU983068 QKY983068 QBC983068 PRG983068 PHK983068 OXO983068 ONS983068 ODW983068 NUA983068 NKE983068 NAI983068 MQM983068 MGQ983068 LWU983068 LMY983068 LDC983068 KTG983068 KJK983068 JZO983068 JPS983068 JFW983068 IWA983068 IME983068 ICI983068 HSM983068 HIQ983068 GYU983068 GOY983068 GFC983068 FVG983068 FLK983068 FBO983068 ERS983068 EHW983068 DYA983068 DOE983068 DEI983068 CUM983068 CKQ983068 CAU983068 BQY983068 BHC983068 AXG983068 ANK983068 ADO983068 TS983068 JW983068 B983068 WWI917532 WMM917532 WCQ917532 VSU917532 VIY917532 UZC917532 UPG917532 UFK917532 TVO917532 TLS917532 TBW917532 SSA917532 SIE917532 RYI917532 ROM917532 REQ917532 QUU917532 QKY917532 QBC917532 PRG917532 PHK917532 OXO917532 ONS917532 ODW917532 NUA917532 NKE917532 NAI917532 MQM917532 MGQ917532 LWU917532 LMY917532 LDC917532 KTG917532 KJK917532 JZO917532 JPS917532 JFW917532 IWA917532 IME917532 ICI917532 HSM917532 HIQ917532 GYU917532 GOY917532 GFC917532 FVG917532 FLK917532 FBO917532 ERS917532 EHW917532 DYA917532 DOE917532 DEI917532 CUM917532 CKQ917532 CAU917532 BQY917532 BHC917532 AXG917532 ANK917532 ADO917532 TS917532 JW917532 B917532 WWI851996 WMM851996 WCQ851996 VSU851996 VIY851996 UZC851996 UPG851996 UFK851996 TVO851996 TLS851996 TBW851996 SSA851996 SIE851996 RYI851996 ROM851996 REQ851996 QUU851996 QKY851996 QBC851996 PRG851996 PHK851996 OXO851996 ONS851996 ODW851996 NUA851996 NKE851996 NAI851996 MQM851996 MGQ851996 LWU851996 LMY851996 LDC851996 KTG851996 KJK851996 JZO851996 JPS851996 JFW851996 IWA851996 IME851996 ICI851996 HSM851996 HIQ851996 GYU851996 GOY851996 GFC851996 FVG851996 FLK851996 FBO851996 ERS851996 EHW851996 DYA851996 DOE851996 DEI851996 CUM851996 CKQ851996 CAU851996 BQY851996 BHC851996 AXG851996 ANK851996 ADO851996 TS851996 JW851996 B851996 WWI786460 WMM786460 WCQ786460 VSU786460 VIY786460 UZC786460 UPG786460 UFK786460 TVO786460 TLS786460 TBW786460 SSA786460 SIE786460 RYI786460 ROM786460 REQ786460 QUU786460 QKY786460 QBC786460 PRG786460 PHK786460 OXO786460 ONS786460 ODW786460 NUA786460 NKE786460 NAI786460 MQM786460 MGQ786460 LWU786460 LMY786460 LDC786460 KTG786460 KJK786460 JZO786460 JPS786460 JFW786460 IWA786460 IME786460 ICI786460 HSM786460 HIQ786460 GYU786460 GOY786460 GFC786460 FVG786460 FLK786460 FBO786460 ERS786460 EHW786460 DYA786460 DOE786460 DEI786460 CUM786460 CKQ786460 CAU786460 BQY786460 BHC786460 AXG786460 ANK786460 ADO786460 TS786460 JW786460 B786460 WWI720924 WMM720924 WCQ720924 VSU720924 VIY720924 UZC720924 UPG720924 UFK720924 TVO720924 TLS720924 TBW720924 SSA720924 SIE720924 RYI720924 ROM720924 REQ720924 QUU720924 QKY720924 QBC720924 PRG720924 PHK720924 OXO720924 ONS720924 ODW720924 NUA720924 NKE720924 NAI720924 MQM720924 MGQ720924 LWU720924 LMY720924 LDC720924 KTG720924 KJK720924 JZO720924 JPS720924 JFW720924 IWA720924 IME720924 ICI720924 HSM720924 HIQ720924 GYU720924 GOY720924 GFC720924 FVG720924 FLK720924 FBO720924 ERS720924 EHW720924 DYA720924 DOE720924 DEI720924 CUM720924 CKQ720924 CAU720924 BQY720924 BHC720924 AXG720924 ANK720924 ADO720924 TS720924 JW720924 B720924 WWI655388 WMM655388 WCQ655388 VSU655388 VIY655388 UZC655388 UPG655388 UFK655388 TVO655388 TLS655388 TBW655388 SSA655388 SIE655388 RYI655388 ROM655388 REQ655388 QUU655388 QKY655388 QBC655388 PRG655388 PHK655388 OXO655388 ONS655388 ODW655388 NUA655388 NKE655388 NAI655388 MQM655388 MGQ655388 LWU655388 LMY655388 LDC655388 KTG655388 KJK655388 JZO655388 JPS655388 JFW655388 IWA655388 IME655388 ICI655388 HSM655388 HIQ655388 GYU655388 GOY655388 GFC655388 FVG655388 FLK655388 FBO655388 ERS655388 EHW655388 DYA655388 DOE655388 DEI655388 CUM655388 CKQ655388 CAU655388 BQY655388 BHC655388 AXG655388 ANK655388 ADO655388 TS655388 JW655388 B655388 WWI589852 WMM589852 WCQ589852 VSU589852 VIY589852 UZC589852 UPG589852 UFK589852 TVO589852 TLS589852 TBW589852 SSA589852 SIE589852 RYI589852 ROM589852 REQ589852 QUU589852 QKY589852 QBC589852 PRG589852 PHK589852 OXO589852 ONS589852 ODW589852 NUA589852 NKE589852 NAI589852 MQM589852 MGQ589852 LWU589852 LMY589852 LDC589852 KTG589852 KJK589852 JZO589852 JPS589852 JFW589852 IWA589852 IME589852 ICI589852 HSM589852 HIQ589852 GYU589852 GOY589852 GFC589852 FVG589852 FLK589852 FBO589852 ERS589852 EHW589852 DYA589852 DOE589852 DEI589852 CUM589852 CKQ589852 CAU589852 BQY589852 BHC589852 AXG589852 ANK589852 ADO589852 TS589852 JW589852 B589852 WWI524316 WMM524316 WCQ524316 VSU524316 VIY524316 UZC524316 UPG524316 UFK524316 TVO524316 TLS524316 TBW524316 SSA524316 SIE524316 RYI524316 ROM524316 REQ524316 QUU524316 QKY524316 QBC524316 PRG524316 PHK524316 OXO524316 ONS524316 ODW524316 NUA524316 NKE524316 NAI524316 MQM524316 MGQ524316 LWU524316 LMY524316 LDC524316 KTG524316 KJK524316 JZO524316 JPS524316 JFW524316 IWA524316 IME524316 ICI524316 HSM524316 HIQ524316 GYU524316 GOY524316 GFC524316 FVG524316 FLK524316 FBO524316 ERS524316 EHW524316 DYA524316 DOE524316 DEI524316 CUM524316 CKQ524316 CAU524316 BQY524316 BHC524316 AXG524316 ANK524316 ADO524316 TS524316 JW524316 B524316 WWI458780 WMM458780 WCQ458780 VSU458780 VIY458780 UZC458780 UPG458780 UFK458780 TVO458780 TLS458780 TBW458780 SSA458780 SIE458780 RYI458780 ROM458780 REQ458780 QUU458780 QKY458780 QBC458780 PRG458780 PHK458780 OXO458780 ONS458780 ODW458780 NUA458780 NKE458780 NAI458780 MQM458780 MGQ458780 LWU458780 LMY458780 LDC458780 KTG458780 KJK458780 JZO458780 JPS458780 JFW458780 IWA458780 IME458780 ICI458780 HSM458780 HIQ458780 GYU458780 GOY458780 GFC458780 FVG458780 FLK458780 FBO458780 ERS458780 EHW458780 DYA458780 DOE458780 DEI458780 CUM458780 CKQ458780 CAU458780 BQY458780 BHC458780 AXG458780 ANK458780 ADO458780 TS458780 JW458780 B458780 WWI393244 WMM393244 WCQ393244 VSU393244 VIY393244 UZC393244 UPG393244 UFK393244 TVO393244 TLS393244 TBW393244 SSA393244 SIE393244 RYI393244 ROM393244 REQ393244 QUU393244 QKY393244 QBC393244 PRG393244 PHK393244 OXO393244 ONS393244 ODW393244 NUA393244 NKE393244 NAI393244 MQM393244 MGQ393244 LWU393244 LMY393244 LDC393244 KTG393244 KJK393244 JZO393244 JPS393244 JFW393244 IWA393244 IME393244 ICI393244 HSM393244 HIQ393244 GYU393244 GOY393244 GFC393244 FVG393244 FLK393244 FBO393244 ERS393244 EHW393244 DYA393244 DOE393244 DEI393244 CUM393244 CKQ393244 CAU393244 BQY393244 BHC393244 AXG393244 ANK393244 ADO393244 TS393244 JW393244 B393244 WWI327708 WMM327708 WCQ327708 VSU327708 VIY327708 UZC327708 UPG327708 UFK327708 TVO327708 TLS327708 TBW327708 SSA327708 SIE327708 RYI327708 ROM327708 REQ327708 QUU327708 QKY327708 QBC327708 PRG327708 PHK327708 OXO327708 ONS327708 ODW327708 NUA327708 NKE327708 NAI327708 MQM327708 MGQ327708 LWU327708 LMY327708 LDC327708 KTG327708 KJK327708 JZO327708 JPS327708 JFW327708 IWA327708 IME327708 ICI327708 HSM327708 HIQ327708 GYU327708 GOY327708 GFC327708 FVG327708 FLK327708 FBO327708 ERS327708 EHW327708 DYA327708 DOE327708 DEI327708 CUM327708 CKQ327708 CAU327708 BQY327708 BHC327708 AXG327708 ANK327708 ADO327708 TS327708 JW327708 B327708 WWI262172 WMM262172 WCQ262172 VSU262172 VIY262172 UZC262172 UPG262172 UFK262172 TVO262172 TLS262172 TBW262172 SSA262172 SIE262172 RYI262172 ROM262172 REQ262172 QUU262172 QKY262172 QBC262172 PRG262172 PHK262172 OXO262172 ONS262172 ODW262172 NUA262172 NKE262172 NAI262172 MQM262172 MGQ262172 LWU262172 LMY262172 LDC262172 KTG262172 KJK262172 JZO262172 JPS262172 JFW262172 IWA262172 IME262172 ICI262172 HSM262172 HIQ262172 GYU262172 GOY262172 GFC262172 FVG262172 FLK262172 FBO262172 ERS262172 EHW262172 DYA262172 DOE262172 DEI262172 CUM262172 CKQ262172 CAU262172 BQY262172 BHC262172 AXG262172 ANK262172 ADO262172 TS262172 JW262172 B262172 WWI196636 WMM196636 WCQ196636 VSU196636 VIY196636 UZC196636 UPG196636 UFK196636 TVO196636 TLS196636 TBW196636 SSA196636 SIE196636 RYI196636 ROM196636 REQ196636 QUU196636 QKY196636 QBC196636 PRG196636 PHK196636 OXO196636 ONS196636 ODW196636 NUA196636 NKE196636 NAI196636 MQM196636 MGQ196636 LWU196636 LMY196636 LDC196636 KTG196636 KJK196636 JZO196636 JPS196636 JFW196636 IWA196636 IME196636 ICI196636 HSM196636 HIQ196636 GYU196636 GOY196636 GFC196636 FVG196636 FLK196636 FBO196636 ERS196636 EHW196636 DYA196636 DOE196636 DEI196636 CUM196636 CKQ196636 CAU196636 BQY196636 BHC196636 AXG196636 ANK196636 ADO196636 TS196636 JW196636 B196636 WWI131100 WMM131100 WCQ131100 VSU131100 VIY131100 UZC131100 UPG131100 UFK131100 TVO131100 TLS131100 TBW131100 SSA131100 SIE131100 RYI131100 ROM131100 REQ131100 QUU131100 QKY131100 QBC131100 PRG131100 PHK131100 OXO131100 ONS131100 ODW131100 NUA131100 NKE131100 NAI131100 MQM131100 MGQ131100 LWU131100 LMY131100 LDC131100 KTG131100 KJK131100 JZO131100 JPS131100 JFW131100 IWA131100 IME131100 ICI131100 HSM131100 HIQ131100 GYU131100 GOY131100 GFC131100 FVG131100 FLK131100 FBO131100 ERS131100 EHW131100 DYA131100 DOE131100 DEI131100 CUM131100 CKQ131100 CAU131100 BQY131100 BHC131100 AXG131100 ANK131100 ADO131100 TS131100 JW131100 B131100 WWI65564 WMM65564 WCQ65564 VSU65564 VIY65564 UZC65564 UPG65564 UFK65564 TVO65564 TLS65564 TBW65564 SSA65564 SIE65564 RYI65564 ROM65564 REQ65564 QUU65564 QKY65564 QBC65564 PRG65564 PHK65564 OXO65564 ONS65564 ODW65564 NUA65564 NKE65564 NAI65564 MQM65564 MGQ65564 LWU65564 LMY65564 LDC65564 KTG65564 KJK65564 JZO65564 JPS65564 JFW65564 IWA65564 IME65564 ICI65564 HSM65564 HIQ65564 GYU65564 GOY65564 GFC65564 FVG65564 FLK65564 FBO65564 ERS65564 EHW65564 DYA65564 DOE65564 DEI65564 CUM65564 CKQ65564 CAU65564 BQY65564 BHC65564 AXG65564 ANK65564 ADO65564 TS65564 JW65564 B65564 WWI28 WMM28 WCQ28 VSU28 VIY28 UZC28 UPG28 UFK28 TVO28 TLS28 TBW28 SSA28 SIE28 RYI28 ROM28 REQ28 QUU28 QKY28 QBC28 PRG28 PHK28 OXO28 ONS28 ODW28 NUA28 NKE28 NAI28 MQM28 MGQ28 LWU28 LMY28 LDC28 KTG28 KJK28 JZO28 JPS28 JFW28 IWA28 IME28 ICI28 HSM28 HIQ28 GYU28 GOY28 GFC28 FVG28 FLK28 FBO28 ERS28 EHW28 DYA28 DOE28 DEI28 CUM28 CKQ28 CAU28 BQY28 BHC28 AXG28 ANK28 ADO28 TS28 JW28 B28 WWI983062 WMM983062 WCQ983062 VSU983062 VIY983062 UZC983062 UPG983062 UFK983062 TVO983062 TLS983062 TBW983062 SSA983062 SIE983062 RYI983062 ROM983062 REQ983062 QUU983062 QKY983062 QBC983062 PRG983062 PHK983062 OXO983062 ONS983062 ODW983062 NUA983062 NKE983062 NAI983062 MQM983062 MGQ983062 LWU983062 LMY983062 LDC983062 KTG983062 KJK983062 JZO983062 JPS983062 JFW983062 IWA983062 IME983062 ICI983062 HSM983062 HIQ983062 GYU983062 GOY983062 GFC983062 FVG983062 FLK983062 FBO983062 ERS983062 EHW983062 DYA983062 DOE983062 DEI983062 CUM983062 CKQ983062 CAU983062 BQY983062 BHC983062 AXG983062 ANK983062 ADO983062 TS983062 JW983062 B983062 WWI917526 WMM917526 WCQ917526 VSU917526 VIY917526 UZC917526 UPG917526 UFK917526 TVO917526 TLS917526 TBW917526 SSA917526 SIE917526 RYI917526 ROM917526 REQ917526 QUU917526 QKY917526 QBC917526 PRG917526 PHK917526 OXO917526 ONS917526 ODW917526 NUA917526 NKE917526 NAI917526 MQM917526 MGQ917526 LWU917526 LMY917526 LDC917526 KTG917526 KJK917526 JZO917526 JPS917526 JFW917526 IWA917526 IME917526 ICI917526 HSM917526 HIQ917526 GYU917526 GOY917526 GFC917526 FVG917526 FLK917526 FBO917526 ERS917526 EHW917526 DYA917526 DOE917526 DEI917526 CUM917526 CKQ917526 CAU917526 BQY917526 BHC917526 AXG917526 ANK917526 ADO917526 TS917526 JW917526 B917526 WWI851990 WMM851990 WCQ851990 VSU851990 VIY851990 UZC851990 UPG851990 UFK851990 TVO851990 TLS851990 TBW851990 SSA851990 SIE851990 RYI851990 ROM851990 REQ851990 QUU851990 QKY851990 QBC851990 PRG851990 PHK851990 OXO851990 ONS851990 ODW851990 NUA851990 NKE851990 NAI851990 MQM851990 MGQ851990 LWU851990 LMY851990 LDC851990 KTG851990 KJK851990 JZO851990 JPS851990 JFW851990 IWA851990 IME851990 ICI851990 HSM851990 HIQ851990 GYU851990 GOY851990 GFC851990 FVG851990 FLK851990 FBO851990 ERS851990 EHW851990 DYA851990 DOE851990 DEI851990 CUM851990 CKQ851990 CAU851990 BQY851990 BHC851990 AXG851990 ANK851990 ADO851990 TS851990 JW851990 B851990 WWI786454 WMM786454 WCQ786454 VSU786454 VIY786454 UZC786454 UPG786454 UFK786454 TVO786454 TLS786454 TBW786454 SSA786454 SIE786454 RYI786454 ROM786454 REQ786454 QUU786454 QKY786454 QBC786454 PRG786454 PHK786454 OXO786454 ONS786454 ODW786454 NUA786454 NKE786454 NAI786454 MQM786454 MGQ786454 LWU786454 LMY786454 LDC786454 KTG786454 KJK786454 JZO786454 JPS786454 JFW786454 IWA786454 IME786454 ICI786454 HSM786454 HIQ786454 GYU786454 GOY786454 GFC786454 FVG786454 FLK786454 FBO786454 ERS786454 EHW786454 DYA786454 DOE786454 DEI786454 CUM786454 CKQ786454 CAU786454 BQY786454 BHC786454 AXG786454 ANK786454 ADO786454 TS786454 JW786454 B786454 WWI720918 WMM720918 WCQ720918 VSU720918 VIY720918 UZC720918 UPG720918 UFK720918 TVO720918 TLS720918 TBW720918 SSA720918 SIE720918 RYI720918 ROM720918 REQ720918 QUU720918 QKY720918 QBC720918 PRG720918 PHK720918 OXO720918 ONS720918 ODW720918 NUA720918 NKE720918 NAI720918 MQM720918 MGQ720918 LWU720918 LMY720918 LDC720918 KTG720918 KJK720918 JZO720918 JPS720918 JFW720918 IWA720918 IME720918 ICI720918 HSM720918 HIQ720918 GYU720918 GOY720918 GFC720918 FVG720918 FLK720918 FBO720918 ERS720918 EHW720918 DYA720918 DOE720918 DEI720918 CUM720918 CKQ720918 CAU720918 BQY720918 BHC720918 AXG720918 ANK720918 ADO720918 TS720918 JW720918 B720918 WWI655382 WMM655382 WCQ655382 VSU655382 VIY655382 UZC655382 UPG655382 UFK655382 TVO655382 TLS655382 TBW655382 SSA655382 SIE655382 RYI655382 ROM655382 REQ655382 QUU655382 QKY655382 QBC655382 PRG655382 PHK655382 OXO655382 ONS655382 ODW655382 NUA655382 NKE655382 NAI655382 MQM655382 MGQ655382 LWU655382 LMY655382 LDC655382 KTG655382 KJK655382 JZO655382 JPS655382 JFW655382 IWA655382 IME655382 ICI655382 HSM655382 HIQ655382 GYU655382 GOY655382 GFC655382 FVG655382 FLK655382 FBO655382 ERS655382 EHW655382 DYA655382 DOE655382 DEI655382 CUM655382 CKQ655382 CAU655382 BQY655382 BHC655382 AXG655382 ANK655382 ADO655382 TS655382 JW655382 B655382 WWI589846 WMM589846 WCQ589846 VSU589846 VIY589846 UZC589846 UPG589846 UFK589846 TVO589846 TLS589846 TBW589846 SSA589846 SIE589846 RYI589846 ROM589846 REQ589846 QUU589846 QKY589846 QBC589846 PRG589846 PHK589846 OXO589846 ONS589846 ODW589846 NUA589846 NKE589846 NAI589846 MQM589846 MGQ589846 LWU589846 LMY589846 LDC589846 KTG589846 KJK589846 JZO589846 JPS589846 JFW589846 IWA589846 IME589846 ICI589846 HSM589846 HIQ589846 GYU589846 GOY589846 GFC589846 FVG589846 FLK589846 FBO589846 ERS589846 EHW589846 DYA589846 DOE589846 DEI589846 CUM589846 CKQ589846 CAU589846 BQY589846 BHC589846 AXG589846 ANK589846 ADO589846 TS589846 JW589846 B589846 WWI524310 WMM524310 WCQ524310 VSU524310 VIY524310 UZC524310 UPG524310 UFK524310 TVO524310 TLS524310 TBW524310 SSA524310 SIE524310 RYI524310 ROM524310 REQ524310 QUU524310 QKY524310 QBC524310 PRG524310 PHK524310 OXO524310 ONS524310 ODW524310 NUA524310 NKE524310 NAI524310 MQM524310 MGQ524310 LWU524310 LMY524310 LDC524310 KTG524310 KJK524310 JZO524310 JPS524310 JFW524310 IWA524310 IME524310 ICI524310 HSM524310 HIQ524310 GYU524310 GOY524310 GFC524310 FVG524310 FLK524310 FBO524310 ERS524310 EHW524310 DYA524310 DOE524310 DEI524310 CUM524310 CKQ524310 CAU524310 BQY524310 BHC524310 AXG524310 ANK524310 ADO524310 TS524310 JW524310 B524310 WWI458774 WMM458774 WCQ458774 VSU458774 VIY458774 UZC458774 UPG458774 UFK458774 TVO458774 TLS458774 TBW458774 SSA458774 SIE458774 RYI458774 ROM458774 REQ458774 QUU458774 QKY458774 QBC458774 PRG458774 PHK458774 OXO458774 ONS458774 ODW458774 NUA458774 NKE458774 NAI458774 MQM458774 MGQ458774 LWU458774 LMY458774 LDC458774 KTG458774 KJK458774 JZO458774 JPS458774 JFW458774 IWA458774 IME458774 ICI458774 HSM458774 HIQ458774 GYU458774 GOY458774 GFC458774 FVG458774 FLK458774 FBO458774 ERS458774 EHW458774 DYA458774 DOE458774 DEI458774 CUM458774 CKQ458774 CAU458774 BQY458774 BHC458774 AXG458774 ANK458774 ADO458774 TS458774 JW458774 B458774 WWI393238 WMM393238 WCQ393238 VSU393238 VIY393238 UZC393238 UPG393238 UFK393238 TVO393238 TLS393238 TBW393238 SSA393238 SIE393238 RYI393238 ROM393238 REQ393238 QUU393238 QKY393238 QBC393238 PRG393238 PHK393238 OXO393238 ONS393238 ODW393238 NUA393238 NKE393238 NAI393238 MQM393238 MGQ393238 LWU393238 LMY393238 LDC393238 KTG393238 KJK393238 JZO393238 JPS393238 JFW393238 IWA393238 IME393238 ICI393238 HSM393238 HIQ393238 GYU393238 GOY393238 GFC393238 FVG393238 FLK393238 FBO393238 ERS393238 EHW393238 DYA393238 DOE393238 DEI393238 CUM393238 CKQ393238 CAU393238 BQY393238 BHC393238 AXG393238 ANK393238 ADO393238 TS393238 JW393238 B393238 WWI327702 WMM327702 WCQ327702 VSU327702 VIY327702 UZC327702 UPG327702 UFK327702 TVO327702 TLS327702 TBW327702 SSA327702 SIE327702 RYI327702 ROM327702 REQ327702 QUU327702 QKY327702 QBC327702 PRG327702 PHK327702 OXO327702 ONS327702 ODW327702 NUA327702 NKE327702 NAI327702 MQM327702 MGQ327702 LWU327702 LMY327702 LDC327702 KTG327702 KJK327702 JZO327702 JPS327702 JFW327702 IWA327702 IME327702 ICI327702 HSM327702 HIQ327702 GYU327702 GOY327702 GFC327702 FVG327702 FLK327702 FBO327702 ERS327702 EHW327702 DYA327702 DOE327702 DEI327702 CUM327702 CKQ327702 CAU327702 BQY327702 BHC327702 AXG327702 ANK327702 ADO327702 TS327702 JW327702 B327702 WWI262166 WMM262166 WCQ262166 VSU262166 VIY262166 UZC262166 UPG262166 UFK262166 TVO262166 TLS262166 TBW262166 SSA262166 SIE262166 RYI262166 ROM262166 REQ262166 QUU262166 QKY262166 QBC262166 PRG262166 PHK262166 OXO262166 ONS262166 ODW262166 NUA262166 NKE262166 NAI262166 MQM262166 MGQ262166 LWU262166 LMY262166 LDC262166 KTG262166 KJK262166 JZO262166 JPS262166 JFW262166 IWA262166 IME262166 ICI262166 HSM262166 HIQ262166 GYU262166 GOY262166 GFC262166 FVG262166 FLK262166 FBO262166 ERS262166 EHW262166 DYA262166 DOE262166 DEI262166 CUM262166 CKQ262166 CAU262166 BQY262166 BHC262166 AXG262166 ANK262166 ADO262166 TS262166 JW262166 B262166 WWI196630 WMM196630 WCQ196630 VSU196630 VIY196630 UZC196630 UPG196630 UFK196630 TVO196630 TLS196630 TBW196630 SSA196630 SIE196630 RYI196630 ROM196630 REQ196630 QUU196630 QKY196630 QBC196630 PRG196630 PHK196630 OXO196630 ONS196630 ODW196630 NUA196630 NKE196630 NAI196630 MQM196630 MGQ196630 LWU196630 LMY196630 LDC196630 KTG196630 KJK196630 JZO196630 JPS196630 JFW196630 IWA196630 IME196630 ICI196630 HSM196630 HIQ196630 GYU196630 GOY196630 GFC196630 FVG196630 FLK196630 FBO196630 ERS196630 EHW196630 DYA196630 DOE196630 DEI196630 CUM196630 CKQ196630 CAU196630 BQY196630 BHC196630 AXG196630 ANK196630 ADO196630 TS196630 JW196630 B196630 WWI131094 WMM131094 WCQ131094 VSU131094 VIY131094 UZC131094 UPG131094 UFK131094 TVO131094 TLS131094 TBW131094 SSA131094 SIE131094 RYI131094 ROM131094 REQ131094 QUU131094 QKY131094 QBC131094 PRG131094 PHK131094 OXO131094 ONS131094 ODW131094 NUA131094 NKE131094 NAI131094 MQM131094 MGQ131094 LWU131094 LMY131094 LDC131094 KTG131094 KJK131094 JZO131094 JPS131094 JFW131094 IWA131094 IME131094 ICI131094 HSM131094 HIQ131094 GYU131094 GOY131094 GFC131094 FVG131094 FLK131094 FBO131094 ERS131094 EHW131094 DYA131094 DOE131094 DEI131094 CUM131094 CKQ131094 CAU131094 BQY131094 BHC131094 AXG131094 ANK131094 ADO131094 TS131094 JW131094 B131094 WWI65558 WMM65558 WCQ65558 VSU65558 VIY65558 UZC65558 UPG65558 UFK65558 TVO65558 TLS65558 TBW65558 SSA65558 SIE65558 RYI65558 ROM65558 REQ65558 QUU65558 QKY65558 QBC65558 PRG65558 PHK65558 OXO65558 ONS65558 ODW65558 NUA65558 NKE65558 NAI65558 MQM65558 MGQ65558 LWU65558 LMY65558 LDC65558 KTG65558 KJK65558 JZO65558 JPS65558 JFW65558 IWA65558 IME65558 ICI65558 HSM65558 HIQ65558 GYU65558 GOY65558 GFC65558 FVG65558 FLK65558 FBO65558 ERS65558 EHW65558 DYA65558 DOE65558 DEI65558 CUM65558 CKQ65558 CAU65558 BQY65558 BHC65558 AXG65558 ANK65558 ADO65558 TS65558 JW65558 B65558 WWI22 WMM22 WCQ22 VSU22 VIY22 UZC22 UPG22 UFK22 TVO22 TLS22 TBW22 SSA22 SIE22 RYI22 ROM22 REQ22 QUU22 QKY22 QBC22 PRG22 PHK22 OXO22 ONS22 ODW22 NUA22 NKE22 NAI22 MQM22 MGQ22 LWU22 LMY22 LDC22 KTG22 KJK22 JZO22 JPS22 JFW22 IWA22 IME22 ICI22 HSM22 HIQ22 GYU22 GOY22 GFC22 FVG22 FLK22 FBO22 ERS22 EHW22 DYA22 DOE22 DEI22 CUM22 CKQ22 CAU22 BQY22 BHC22 AXG22 ANK22 ADO22 TS22 JW22 B22 WWI983064 WMM983064 WCQ983064 VSU983064 VIY983064 UZC983064 UPG983064 UFK983064 TVO983064 TLS983064 TBW983064 SSA983064 SIE983064 RYI983064 ROM983064 REQ983064 QUU983064 QKY983064 QBC983064 PRG983064 PHK983064 OXO983064 ONS983064 ODW983064 NUA983064 NKE983064 NAI983064 MQM983064 MGQ983064 LWU983064 LMY983064 LDC983064 KTG983064 KJK983064 JZO983064 JPS983064 JFW983064 IWA983064 IME983064 ICI983064 HSM983064 HIQ983064 GYU983064 GOY983064 GFC983064 FVG983064 FLK983064 FBO983064 ERS983064 EHW983064 DYA983064 DOE983064 DEI983064 CUM983064 CKQ983064 CAU983064 BQY983064 BHC983064 AXG983064 ANK983064 ADO983064 TS983064 JW983064 B983064 WWI917528 WMM917528 WCQ917528 VSU917528 VIY917528 UZC917528 UPG917528 UFK917528 TVO917528 TLS917528 TBW917528 SSA917528 SIE917528 RYI917528 ROM917528 REQ917528 QUU917528 QKY917528 QBC917528 PRG917528 PHK917528 OXO917528 ONS917528 ODW917528 NUA917528 NKE917528 NAI917528 MQM917528 MGQ917528 LWU917528 LMY917528 LDC917528 KTG917528 KJK917528 JZO917528 JPS917528 JFW917528 IWA917528 IME917528 ICI917528 HSM917528 HIQ917528 GYU917528 GOY917528 GFC917528 FVG917528 FLK917528 FBO917528 ERS917528 EHW917528 DYA917528 DOE917528 DEI917528 CUM917528 CKQ917528 CAU917528 BQY917528 BHC917528 AXG917528 ANK917528 ADO917528 TS917528 JW917528 B917528 WWI851992 WMM851992 WCQ851992 VSU851992 VIY851992 UZC851992 UPG851992 UFK851992 TVO851992 TLS851992 TBW851992 SSA851992 SIE851992 RYI851992 ROM851992 REQ851992 QUU851992 QKY851992 QBC851992 PRG851992 PHK851992 OXO851992 ONS851992 ODW851992 NUA851992 NKE851992 NAI851992 MQM851992 MGQ851992 LWU851992 LMY851992 LDC851992 KTG851992 KJK851992 JZO851992 JPS851992 JFW851992 IWA851992 IME851992 ICI851992 HSM851992 HIQ851992 GYU851992 GOY851992 GFC851992 FVG851992 FLK851992 FBO851992 ERS851992 EHW851992 DYA851992 DOE851992 DEI851992 CUM851992 CKQ851992 CAU851992 BQY851992 BHC851992 AXG851992 ANK851992 ADO851992 TS851992 JW851992 B851992 WWI786456 WMM786456 WCQ786456 VSU786456 VIY786456 UZC786456 UPG786456 UFK786456 TVO786456 TLS786456 TBW786456 SSA786456 SIE786456 RYI786456 ROM786456 REQ786456 QUU786456 QKY786456 QBC786456 PRG786456 PHK786456 OXO786456 ONS786456 ODW786456 NUA786456 NKE786456 NAI786456 MQM786456 MGQ786456 LWU786456 LMY786456 LDC786456 KTG786456 KJK786456 JZO786456 JPS786456 JFW786456 IWA786456 IME786456 ICI786456 HSM786456 HIQ786456 GYU786456 GOY786456 GFC786456 FVG786456 FLK786456 FBO786456 ERS786456 EHW786456 DYA786456 DOE786456 DEI786456 CUM786456 CKQ786456 CAU786456 BQY786456 BHC786456 AXG786456 ANK786456 ADO786456 TS786456 JW786456 B786456 WWI720920 WMM720920 WCQ720920 VSU720920 VIY720920 UZC720920 UPG720920 UFK720920 TVO720920 TLS720920 TBW720920 SSA720920 SIE720920 RYI720920 ROM720920 REQ720920 QUU720920 QKY720920 QBC720920 PRG720920 PHK720920 OXO720920 ONS720920 ODW720920 NUA720920 NKE720920 NAI720920 MQM720920 MGQ720920 LWU720920 LMY720920 LDC720920 KTG720920 KJK720920 JZO720920 JPS720920 JFW720920 IWA720920 IME720920 ICI720920 HSM720920 HIQ720920 GYU720920 GOY720920 GFC720920 FVG720920 FLK720920 FBO720920 ERS720920 EHW720920 DYA720920 DOE720920 DEI720920 CUM720920 CKQ720920 CAU720920 BQY720920 BHC720920 AXG720920 ANK720920 ADO720920 TS720920 JW720920 B720920 WWI655384 WMM655384 WCQ655384 VSU655384 VIY655384 UZC655384 UPG655384 UFK655384 TVO655384 TLS655384 TBW655384 SSA655384 SIE655384 RYI655384 ROM655384 REQ655384 QUU655384 QKY655384 QBC655384 PRG655384 PHK655384 OXO655384 ONS655384 ODW655384 NUA655384 NKE655384 NAI655384 MQM655384 MGQ655384 LWU655384 LMY655384 LDC655384 KTG655384 KJK655384 JZO655384 JPS655384 JFW655384 IWA655384 IME655384 ICI655384 HSM655384 HIQ655384 GYU655384 GOY655384 GFC655384 FVG655384 FLK655384 FBO655384 ERS655384 EHW655384 DYA655384 DOE655384 DEI655384 CUM655384 CKQ655384 CAU655384 BQY655384 BHC655384 AXG655384 ANK655384 ADO655384 TS655384 JW655384 B655384 WWI589848 WMM589848 WCQ589848 VSU589848 VIY589848 UZC589848 UPG589848 UFK589848 TVO589848 TLS589848 TBW589848 SSA589848 SIE589848 RYI589848 ROM589848 REQ589848 QUU589848 QKY589848 QBC589848 PRG589848 PHK589848 OXO589848 ONS589848 ODW589848 NUA589848 NKE589848 NAI589848 MQM589848 MGQ589848 LWU589848 LMY589848 LDC589848 KTG589848 KJK589848 JZO589848 JPS589848 JFW589848 IWA589848 IME589848 ICI589848 HSM589848 HIQ589848 GYU589848 GOY589848 GFC589848 FVG589848 FLK589848 FBO589848 ERS589848 EHW589848 DYA589848 DOE589848 DEI589848 CUM589848 CKQ589848 CAU589848 BQY589848 BHC589848 AXG589848 ANK589848 ADO589848 TS589848 JW589848 B589848 WWI524312 WMM524312 WCQ524312 VSU524312 VIY524312 UZC524312 UPG524312 UFK524312 TVO524312 TLS524312 TBW524312 SSA524312 SIE524312 RYI524312 ROM524312 REQ524312 QUU524312 QKY524312 QBC524312 PRG524312 PHK524312 OXO524312 ONS524312 ODW524312 NUA524312 NKE524312 NAI524312 MQM524312 MGQ524312 LWU524312 LMY524312 LDC524312 KTG524312 KJK524312 JZO524312 JPS524312 JFW524312 IWA524312 IME524312 ICI524312 HSM524312 HIQ524312 GYU524312 GOY524312 GFC524312 FVG524312 FLK524312 FBO524312 ERS524312 EHW524312 DYA524312 DOE524312 DEI524312 CUM524312 CKQ524312 CAU524312 BQY524312 BHC524312 AXG524312 ANK524312 ADO524312 TS524312 JW524312 B524312 WWI458776 WMM458776 WCQ458776 VSU458776 VIY458776 UZC458776 UPG458776 UFK458776 TVO458776 TLS458776 TBW458776 SSA458776 SIE458776 RYI458776 ROM458776 REQ458776 QUU458776 QKY458776 QBC458776 PRG458776 PHK458776 OXO458776 ONS458776 ODW458776 NUA458776 NKE458776 NAI458776 MQM458776 MGQ458776 LWU458776 LMY458776 LDC458776 KTG458776 KJK458776 JZO458776 JPS458776 JFW458776 IWA458776 IME458776 ICI458776 HSM458776 HIQ458776 GYU458776 GOY458776 GFC458776 FVG458776 FLK458776 FBO458776 ERS458776 EHW458776 DYA458776 DOE458776 DEI458776 CUM458776 CKQ458776 CAU458776 BQY458776 BHC458776 AXG458776 ANK458776 ADO458776 TS458776 JW458776 B458776 WWI393240 WMM393240 WCQ393240 VSU393240 VIY393240 UZC393240 UPG393240 UFK393240 TVO393240 TLS393240 TBW393240 SSA393240 SIE393240 RYI393240 ROM393240 REQ393240 QUU393240 QKY393240 QBC393240 PRG393240 PHK393240 OXO393240 ONS393240 ODW393240 NUA393240 NKE393240 NAI393240 MQM393240 MGQ393240 LWU393240 LMY393240 LDC393240 KTG393240 KJK393240 JZO393240 JPS393240 JFW393240 IWA393240 IME393240 ICI393240 HSM393240 HIQ393240 GYU393240 GOY393240 GFC393240 FVG393240 FLK393240 FBO393240 ERS393240 EHW393240 DYA393240 DOE393240 DEI393240 CUM393240 CKQ393240 CAU393240 BQY393240 BHC393240 AXG393240 ANK393240 ADO393240 TS393240 JW393240 B393240 WWI327704 WMM327704 WCQ327704 VSU327704 VIY327704 UZC327704 UPG327704 UFK327704 TVO327704 TLS327704 TBW327704 SSA327704 SIE327704 RYI327704 ROM327704 REQ327704 QUU327704 QKY327704 QBC327704 PRG327704 PHK327704 OXO327704 ONS327704 ODW327704 NUA327704 NKE327704 NAI327704 MQM327704 MGQ327704 LWU327704 LMY327704 LDC327704 KTG327704 KJK327704 JZO327704 JPS327704 JFW327704 IWA327704 IME327704 ICI327704 HSM327704 HIQ327704 GYU327704 GOY327704 GFC327704 FVG327704 FLK327704 FBO327704 ERS327704 EHW327704 DYA327704 DOE327704 DEI327704 CUM327704 CKQ327704 CAU327704 BQY327704 BHC327704 AXG327704 ANK327704 ADO327704 TS327704 JW327704 B327704 WWI262168 WMM262168 WCQ262168 VSU262168 VIY262168 UZC262168 UPG262168 UFK262168 TVO262168 TLS262168 TBW262168 SSA262168 SIE262168 RYI262168 ROM262168 REQ262168 QUU262168 QKY262168 QBC262168 PRG262168 PHK262168 OXO262168 ONS262168 ODW262168 NUA262168 NKE262168 NAI262168 MQM262168 MGQ262168 LWU262168 LMY262168 LDC262168 KTG262168 KJK262168 JZO262168 JPS262168 JFW262168 IWA262168 IME262168 ICI262168 HSM262168 HIQ262168 GYU262168 GOY262168 GFC262168 FVG262168 FLK262168 FBO262168 ERS262168 EHW262168 DYA262168 DOE262168 DEI262168 CUM262168 CKQ262168 CAU262168 BQY262168 BHC262168 AXG262168 ANK262168 ADO262168 TS262168 JW262168 B262168 WWI196632 WMM196632 WCQ196632 VSU196632 VIY196632 UZC196632 UPG196632 UFK196632 TVO196632 TLS196632 TBW196632 SSA196632 SIE196632 RYI196632 ROM196632 REQ196632 QUU196632 QKY196632 QBC196632 PRG196632 PHK196632 OXO196632 ONS196632 ODW196632 NUA196632 NKE196632 NAI196632 MQM196632 MGQ196632 LWU196632 LMY196632 LDC196632 KTG196632 KJK196632 JZO196632 JPS196632 JFW196632 IWA196632 IME196632 ICI196632 HSM196632 HIQ196632 GYU196632 GOY196632 GFC196632 FVG196632 FLK196632 FBO196632 ERS196632 EHW196632 DYA196632 DOE196632 DEI196632 CUM196632 CKQ196632 CAU196632 BQY196632 BHC196632 AXG196632 ANK196632 ADO196632 TS196632 JW196632 B196632 WWI131096 WMM131096 WCQ131096 VSU131096 VIY131096 UZC131096 UPG131096 UFK131096 TVO131096 TLS131096 TBW131096 SSA131096 SIE131096 RYI131096 ROM131096 REQ131096 QUU131096 QKY131096 QBC131096 PRG131096 PHK131096 OXO131096 ONS131096 ODW131096 NUA131096 NKE131096 NAI131096 MQM131096 MGQ131096 LWU131096 LMY131096 LDC131096 KTG131096 KJK131096 JZO131096 JPS131096 JFW131096 IWA131096 IME131096 ICI131096 HSM131096 HIQ131096 GYU131096 GOY131096 GFC131096 FVG131096 FLK131096 FBO131096 ERS131096 EHW131096 DYA131096 DOE131096 DEI131096 CUM131096 CKQ131096 CAU131096 BQY131096 BHC131096 AXG131096 ANK131096 ADO131096 TS131096 JW131096 B131096 WWI65560 WMM65560 WCQ65560 VSU65560 VIY65560 UZC65560 UPG65560 UFK65560 TVO65560 TLS65560 TBW65560 SSA65560 SIE65560 RYI65560 ROM65560 REQ65560 QUU65560 QKY65560 QBC65560 PRG65560 PHK65560 OXO65560 ONS65560 ODW65560 NUA65560 NKE65560 NAI65560 MQM65560 MGQ65560 LWU65560 LMY65560 LDC65560 KTG65560 KJK65560 JZO65560 JPS65560 JFW65560 IWA65560 IME65560 ICI65560 HSM65560 HIQ65560 GYU65560 GOY65560 GFC65560 FVG65560 FLK65560 FBO65560 ERS65560 EHW65560 DYA65560 DOE65560 DEI65560 CUM65560 CKQ65560 CAU65560 BQY65560 BHC65560 AXG65560 ANK65560 ADO65560 TS65560 JW65560 B65560 WWI24 WMM24 WCQ24 VSU24 VIY24 UZC24 UPG24 UFK24 TVO24 TLS24 TBW24 SSA24 SIE24 RYI24 ROM24 REQ24 QUU24 QKY24 QBC24 PRG24 PHK24 OXO24 ONS24 ODW24 NUA24 NKE24 NAI24 MQM24 MGQ24 LWU24 LMY24 LDC24 KTG24 KJK24 JZO24 JPS24 JFW24 IWA24 IME24 ICI24 HSM24 HIQ24 GYU24 GOY24 GFC24 FVG24 FLK24 FBO24 ERS24 EHW24 DYA24 DOE24 DEI24 CUM24 CKQ24 CAU24 BQY24 BHC24 AXG24 ANK24 ADO24 TS24 JW24 B24 WWI983066 WMM983066 WCQ983066 VSU983066 VIY983066 UZC983066 UPG983066 UFK983066 TVO983066 TLS983066 TBW983066 SSA983066 SIE983066 RYI983066 ROM983066 REQ983066 QUU983066 QKY983066 QBC983066 PRG983066 PHK983066 OXO983066 ONS983066 ODW983066 NUA983066 NKE983066 NAI983066 MQM983066 MGQ983066 LWU983066 LMY983066 LDC983066 KTG983066 KJK983066 JZO983066 JPS983066 JFW983066 IWA983066 IME983066 ICI983066 HSM983066 HIQ983066 GYU983066 GOY983066 GFC983066 FVG983066 FLK983066 FBO983066 ERS983066 EHW983066 DYA983066 DOE983066 DEI983066 CUM983066 CKQ983066 CAU983066 BQY983066 BHC983066 AXG983066 ANK983066 ADO983066 TS983066 JW983066 B983066 WWI917530 WMM917530 WCQ917530 VSU917530 VIY917530 UZC917530 UPG917530 UFK917530 TVO917530 TLS917530 TBW917530 SSA917530 SIE917530 RYI917530 ROM917530 REQ917530 QUU917530 QKY917530 QBC917530 PRG917530 PHK917530 OXO917530 ONS917530 ODW917530 NUA917530 NKE917530 NAI917530 MQM917530 MGQ917530 LWU917530 LMY917530 LDC917530 KTG917530 KJK917530 JZO917530 JPS917530 JFW917530 IWA917530 IME917530 ICI917530 HSM917530 HIQ917530 GYU917530 GOY917530 GFC917530 FVG917530 FLK917530 FBO917530 ERS917530 EHW917530 DYA917530 DOE917530 DEI917530 CUM917530 CKQ917530 CAU917530 BQY917530 BHC917530 AXG917530 ANK917530 ADO917530 TS917530 JW917530 B917530 WWI851994 WMM851994 WCQ851994 VSU851994 VIY851994 UZC851994 UPG851994 UFK851994 TVO851994 TLS851994 TBW851994 SSA851994 SIE851994 RYI851994 ROM851994 REQ851994 QUU851994 QKY851994 QBC851994 PRG851994 PHK851994 OXO851994 ONS851994 ODW851994 NUA851994 NKE851994 NAI851994 MQM851994 MGQ851994 LWU851994 LMY851994 LDC851994 KTG851994 KJK851994 JZO851994 JPS851994 JFW851994 IWA851994 IME851994 ICI851994 HSM851994 HIQ851994 GYU851994 GOY851994 GFC851994 FVG851994 FLK851994 FBO851994 ERS851994 EHW851994 DYA851994 DOE851994 DEI851994 CUM851994 CKQ851994 CAU851994 BQY851994 BHC851994 AXG851994 ANK851994 ADO851994 TS851994 JW851994 B851994 WWI786458 WMM786458 WCQ786458 VSU786458 VIY786458 UZC786458 UPG786458 UFK786458 TVO786458 TLS786458 TBW786458 SSA786458 SIE786458 RYI786458 ROM786458 REQ786458 QUU786458 QKY786458 QBC786458 PRG786458 PHK786458 OXO786458 ONS786458 ODW786458 NUA786458 NKE786458 NAI786458 MQM786458 MGQ786458 LWU786458 LMY786458 LDC786458 KTG786458 KJK786458 JZO786458 JPS786458 JFW786458 IWA786458 IME786458 ICI786458 HSM786458 HIQ786458 GYU786458 GOY786458 GFC786458 FVG786458 FLK786458 FBO786458 ERS786458 EHW786458 DYA786458 DOE786458 DEI786458 CUM786458 CKQ786458 CAU786458 BQY786458 BHC786458 AXG786458 ANK786458 ADO786458 TS786458 JW786458 B786458 WWI720922 WMM720922 WCQ720922 VSU720922 VIY720922 UZC720922 UPG720922 UFK720922 TVO720922 TLS720922 TBW720922 SSA720922 SIE720922 RYI720922 ROM720922 REQ720922 QUU720922 QKY720922 QBC720922 PRG720922 PHK720922 OXO720922 ONS720922 ODW720922 NUA720922 NKE720922 NAI720922 MQM720922 MGQ720922 LWU720922 LMY720922 LDC720922 KTG720922 KJK720922 JZO720922 JPS720922 JFW720922 IWA720922 IME720922 ICI720922 HSM720922 HIQ720922 GYU720922 GOY720922 GFC720922 FVG720922 FLK720922 FBO720922 ERS720922 EHW720922 DYA720922 DOE720922 DEI720922 CUM720922 CKQ720922 CAU720922 BQY720922 BHC720922 AXG720922 ANK720922 ADO720922 TS720922 JW720922 B720922 WWI655386 WMM655386 WCQ655386 VSU655386 VIY655386 UZC655386 UPG655386 UFK655386 TVO655386 TLS655386 TBW655386 SSA655386 SIE655386 RYI655386 ROM655386 REQ655386 QUU655386 QKY655386 QBC655386 PRG655386 PHK655386 OXO655386 ONS655386 ODW655386 NUA655386 NKE655386 NAI655386 MQM655386 MGQ655386 LWU655386 LMY655386 LDC655386 KTG655386 KJK655386 JZO655386 JPS655386 JFW655386 IWA655386 IME655386 ICI655386 HSM655386 HIQ655386 GYU655386 GOY655386 GFC655386 FVG655386 FLK655386 FBO655386 ERS655386 EHW655386 DYA655386 DOE655386 DEI655386 CUM655386 CKQ655386 CAU655386 BQY655386 BHC655386 AXG655386 ANK655386 ADO655386 TS655386 JW655386 B655386 WWI589850 WMM589850 WCQ589850 VSU589850 VIY589850 UZC589850 UPG589850 UFK589850 TVO589850 TLS589850 TBW589850 SSA589850 SIE589850 RYI589850 ROM589850 REQ589850 QUU589850 QKY589850 QBC589850 PRG589850 PHK589850 OXO589850 ONS589850 ODW589850 NUA589850 NKE589850 NAI589850 MQM589850 MGQ589850 LWU589850 LMY589850 LDC589850 KTG589850 KJK589850 JZO589850 JPS589850 JFW589850 IWA589850 IME589850 ICI589850 HSM589850 HIQ589850 GYU589850 GOY589850 GFC589850 FVG589850 FLK589850 FBO589850 ERS589850 EHW589850 DYA589850 DOE589850 DEI589850 CUM589850 CKQ589850 CAU589850 BQY589850 BHC589850 AXG589850 ANK589850 ADO589850 TS589850 JW589850 B589850 WWI524314 WMM524314 WCQ524314 VSU524314 VIY524314 UZC524314 UPG524314 UFK524314 TVO524314 TLS524314 TBW524314 SSA524314 SIE524314 RYI524314 ROM524314 REQ524314 QUU524314 QKY524314 QBC524314 PRG524314 PHK524314 OXO524314 ONS524314 ODW524314 NUA524314 NKE524314 NAI524314 MQM524314 MGQ524314 LWU524314 LMY524314 LDC524314 KTG524314 KJK524314 JZO524314 JPS524314 JFW524314 IWA524314 IME524314 ICI524314 HSM524314 HIQ524314 GYU524314 GOY524314 GFC524314 FVG524314 FLK524314 FBO524314 ERS524314 EHW524314 DYA524314 DOE524314 DEI524314 CUM524314 CKQ524314 CAU524314 BQY524314 BHC524314 AXG524314 ANK524314 ADO524314 TS524314 JW524314 B524314 WWI458778 WMM458778 WCQ458778 VSU458778 VIY458778 UZC458778 UPG458778 UFK458778 TVO458778 TLS458778 TBW458778 SSA458778 SIE458778 RYI458778 ROM458778 REQ458778 QUU458778 QKY458778 QBC458778 PRG458778 PHK458778 OXO458778 ONS458778 ODW458778 NUA458778 NKE458778 NAI458778 MQM458778 MGQ458778 LWU458778 LMY458778 LDC458778 KTG458778 KJK458778 JZO458778 JPS458778 JFW458778 IWA458778 IME458778 ICI458778 HSM458778 HIQ458778 GYU458778 GOY458778 GFC458778 FVG458778 FLK458778 FBO458778 ERS458778 EHW458778 DYA458778 DOE458778 DEI458778 CUM458778 CKQ458778 CAU458778 BQY458778 BHC458778 AXG458778 ANK458778 ADO458778 TS458778 JW458778 B458778 WWI393242 WMM393242 WCQ393242 VSU393242 VIY393242 UZC393242 UPG393242 UFK393242 TVO393242 TLS393242 TBW393242 SSA393242 SIE393242 RYI393242 ROM393242 REQ393242 QUU393242 QKY393242 QBC393242 PRG393242 PHK393242 OXO393242 ONS393242 ODW393242 NUA393242 NKE393242 NAI393242 MQM393242 MGQ393242 LWU393242 LMY393242 LDC393242 KTG393242 KJK393242 JZO393242 JPS393242 JFW393242 IWA393242 IME393242 ICI393242 HSM393242 HIQ393242 GYU393242 GOY393242 GFC393242 FVG393242 FLK393242 FBO393242 ERS393242 EHW393242 DYA393242 DOE393242 DEI393242 CUM393242 CKQ393242 CAU393242 BQY393242 BHC393242 AXG393242 ANK393242 ADO393242 TS393242 JW393242 B393242 WWI327706 WMM327706 WCQ327706 VSU327706 VIY327706 UZC327706 UPG327706 UFK327706 TVO327706 TLS327706 TBW327706 SSA327706 SIE327706 RYI327706 ROM327706 REQ327706 QUU327706 QKY327706 QBC327706 PRG327706 PHK327706 OXO327706 ONS327706 ODW327706 NUA327706 NKE327706 NAI327706 MQM327706 MGQ327706 LWU327706 LMY327706 LDC327706 KTG327706 KJK327706 JZO327706 JPS327706 JFW327706 IWA327706 IME327706 ICI327706 HSM327706 HIQ327706 GYU327706 GOY327706 GFC327706 FVG327706 FLK327706 FBO327706 ERS327706 EHW327706 DYA327706 DOE327706 DEI327706 CUM327706 CKQ327706 CAU327706 BQY327706 BHC327706 AXG327706 ANK327706 ADO327706 TS327706 JW327706 B327706 WWI262170 WMM262170 WCQ262170 VSU262170 VIY262170 UZC262170 UPG262170 UFK262170 TVO262170 TLS262170 TBW262170 SSA262170 SIE262170 RYI262170 ROM262170 REQ262170 QUU262170 QKY262170 QBC262170 PRG262170 PHK262170 OXO262170 ONS262170 ODW262170 NUA262170 NKE262170 NAI262170 MQM262170 MGQ262170 LWU262170 LMY262170 LDC262170 KTG262170 KJK262170 JZO262170 JPS262170 JFW262170 IWA262170 IME262170 ICI262170 HSM262170 HIQ262170 GYU262170 GOY262170 GFC262170 FVG262170 FLK262170 FBO262170 ERS262170 EHW262170 DYA262170 DOE262170 DEI262170 CUM262170 CKQ262170 CAU262170 BQY262170 BHC262170 AXG262170 ANK262170 ADO262170 TS262170 JW262170 B262170 WWI196634 WMM196634 WCQ196634 VSU196634 VIY196634 UZC196634 UPG196634 UFK196634 TVO196634 TLS196634 TBW196634 SSA196634 SIE196634 RYI196634 ROM196634 REQ196634 QUU196634 QKY196634 QBC196634 PRG196634 PHK196634 OXO196634 ONS196634 ODW196634 NUA196634 NKE196634 NAI196634 MQM196634 MGQ196634 LWU196634 LMY196634 LDC196634 KTG196634 KJK196634 JZO196634 JPS196634 JFW196634 IWA196634 IME196634 ICI196634 HSM196634 HIQ196634 GYU196634 GOY196634 GFC196634 FVG196634 FLK196634 FBO196634 ERS196634 EHW196634 DYA196634 DOE196634 DEI196634 CUM196634 CKQ196634 CAU196634 BQY196634 BHC196634 AXG196634 ANK196634 ADO196634 TS196634 JW196634 B196634 WWI131098 WMM131098 WCQ131098 VSU131098 VIY131098 UZC131098 UPG131098 UFK131098 TVO131098 TLS131098 TBW131098 SSA131098 SIE131098 RYI131098 ROM131098 REQ131098 QUU131098 QKY131098 QBC131098 PRG131098 PHK131098 OXO131098 ONS131098 ODW131098 NUA131098 NKE131098 NAI131098 MQM131098 MGQ131098 LWU131098 LMY131098 LDC131098 KTG131098 KJK131098 JZO131098 JPS131098 JFW131098 IWA131098 IME131098 ICI131098 HSM131098 HIQ131098 GYU131098 GOY131098 GFC131098 FVG131098 FLK131098 FBO131098 ERS131098 EHW131098 DYA131098 DOE131098 DEI131098 CUM131098 CKQ131098 CAU131098 BQY131098 BHC131098 AXG131098 ANK131098 ADO131098 TS131098 JW131098 B131098 WWI65562 WMM65562 WCQ65562 VSU65562 VIY65562 UZC65562 UPG65562 UFK65562 TVO65562 TLS65562 TBW65562 SSA65562 SIE65562 RYI65562 ROM65562 REQ65562 QUU65562 QKY65562 QBC65562 PRG65562 PHK65562 OXO65562 ONS65562 ODW65562 NUA65562 NKE65562 NAI65562 MQM65562 MGQ65562 LWU65562 LMY65562 LDC65562 KTG65562 KJK65562 JZO65562 JPS65562 JFW65562 IWA65562 IME65562 ICI65562 HSM65562 HIQ65562 GYU65562 GOY65562 GFC65562 FVG65562 FLK65562 FBO65562 ERS65562 EHW65562 DYA65562 DOE65562 DEI65562 CUM65562 CKQ65562 CAU65562 BQY65562 BHC65562 AXG65562 ANK65562 ADO65562 TS65562 JW65562 B65562 WWI26 WMM26 WCQ26 VSU26 VIY26 UZC26 UPG26 UFK26 TVO26 TLS26 TBW26 SSA26 SIE26 RYI26 ROM26 REQ26 QUU26 QKY26 QBC26 PRG26 PHK26 OXO26 ONS26 ODW26 NUA26 NKE26 NAI26 MQM26 MGQ26 LWU26 LMY26 LDC26 KTG26 KJK26 JZO26 JPS26 JFW26 IWA26 IME26 ICI26 HSM26 HIQ26 GYU26 GOY26 GFC26 FVG26 FLK26 FBO26 ERS26 EHW26 DYA26 DOE26 DEI26 CUM26 CKQ26 CAU26 BQY26 BHC26 AXG26 ANK26 ADO26 TS26 JW26 B26 WWI983072 WMM983072 WCQ983072 VSU983072 VIY983072 UZC983072 UPG983072 UFK983072 TVO983072 TLS983072 TBW983072 SSA983072 SIE983072 RYI983072 ROM983072 REQ983072 QUU983072 QKY983072 QBC983072 PRG983072 PHK983072 OXO983072 ONS983072 ODW983072 NUA983072 NKE983072 NAI983072 MQM983072 MGQ983072 LWU983072 LMY983072 LDC983072 KTG983072 KJK983072 JZO983072 JPS983072 JFW983072 IWA983072 IME983072 ICI983072 HSM983072 HIQ983072 GYU983072 GOY983072 GFC983072 FVG983072 FLK983072 FBO983072 ERS983072 EHW983072 DYA983072 DOE983072 DEI983072 CUM983072 CKQ983072 CAU983072 BQY983072 BHC983072 AXG983072 ANK983072 ADO983072 TS983072 JW983072 B983072 WWI917536 WMM917536 WCQ917536 VSU917536 VIY917536 UZC917536 UPG917536 UFK917536 TVO917536 TLS917536 TBW917536 SSA917536 SIE917536 RYI917536 ROM917536 REQ917536 QUU917536 QKY917536 QBC917536 PRG917536 PHK917536 OXO917536 ONS917536 ODW917536 NUA917536 NKE917536 NAI917536 MQM917536 MGQ917536 LWU917536 LMY917536 LDC917536 KTG917536 KJK917536 JZO917536 JPS917536 JFW917536 IWA917536 IME917536 ICI917536 HSM917536 HIQ917536 GYU917536 GOY917536 GFC917536 FVG917536 FLK917536 FBO917536 ERS917536 EHW917536 DYA917536 DOE917536 DEI917536 CUM917536 CKQ917536 CAU917536 BQY917536 BHC917536 AXG917536 ANK917536 ADO917536 TS917536 JW917536 B917536 WWI852000 WMM852000 WCQ852000 VSU852000 VIY852000 UZC852000 UPG852000 UFK852000 TVO852000 TLS852000 TBW852000 SSA852000 SIE852000 RYI852000 ROM852000 REQ852000 QUU852000 QKY852000 QBC852000 PRG852000 PHK852000 OXO852000 ONS852000 ODW852000 NUA852000 NKE852000 NAI852000 MQM852000 MGQ852000 LWU852000 LMY852000 LDC852000 KTG852000 KJK852000 JZO852000 JPS852000 JFW852000 IWA852000 IME852000 ICI852000 HSM852000 HIQ852000 GYU852000 GOY852000 GFC852000 FVG852000 FLK852000 FBO852000 ERS852000 EHW852000 DYA852000 DOE852000 DEI852000 CUM852000 CKQ852000 CAU852000 BQY852000 BHC852000 AXG852000 ANK852000 ADO852000 TS852000 JW852000 B852000 WWI786464 WMM786464 WCQ786464 VSU786464 VIY786464 UZC786464 UPG786464 UFK786464 TVO786464 TLS786464 TBW786464 SSA786464 SIE786464 RYI786464 ROM786464 REQ786464 QUU786464 QKY786464 QBC786464 PRG786464 PHK786464 OXO786464 ONS786464 ODW786464 NUA786464 NKE786464 NAI786464 MQM786464 MGQ786464 LWU786464 LMY786464 LDC786464 KTG786464 KJK786464 JZO786464 JPS786464 JFW786464 IWA786464 IME786464 ICI786464 HSM786464 HIQ786464 GYU786464 GOY786464 GFC786464 FVG786464 FLK786464 FBO786464 ERS786464 EHW786464 DYA786464 DOE786464 DEI786464 CUM786464 CKQ786464 CAU786464 BQY786464 BHC786464 AXG786464 ANK786464 ADO786464 TS786464 JW786464 B786464 WWI720928 WMM720928 WCQ720928 VSU720928 VIY720928 UZC720928 UPG720928 UFK720928 TVO720928 TLS720928 TBW720928 SSA720928 SIE720928 RYI720928 ROM720928 REQ720928 QUU720928 QKY720928 QBC720928 PRG720928 PHK720928 OXO720928 ONS720928 ODW720928 NUA720928 NKE720928 NAI720928 MQM720928 MGQ720928 LWU720928 LMY720928 LDC720928 KTG720928 KJK720928 JZO720928 JPS720928 JFW720928 IWA720928 IME720928 ICI720928 HSM720928 HIQ720928 GYU720928 GOY720928 GFC720928 FVG720928 FLK720928 FBO720928 ERS720928 EHW720928 DYA720928 DOE720928 DEI720928 CUM720928 CKQ720928 CAU720928 BQY720928 BHC720928 AXG720928 ANK720928 ADO720928 TS720928 JW720928 B720928 WWI655392 WMM655392 WCQ655392 VSU655392 VIY655392 UZC655392 UPG655392 UFK655392 TVO655392 TLS655392 TBW655392 SSA655392 SIE655392 RYI655392 ROM655392 REQ655392 QUU655392 QKY655392 QBC655392 PRG655392 PHK655392 OXO655392 ONS655392 ODW655392 NUA655392 NKE655392 NAI655392 MQM655392 MGQ655392 LWU655392 LMY655392 LDC655392 KTG655392 KJK655392 JZO655392 JPS655392 JFW655392 IWA655392 IME655392 ICI655392 HSM655392 HIQ655392 GYU655392 GOY655392 GFC655392 FVG655392 FLK655392 FBO655392 ERS655392 EHW655392 DYA655392 DOE655392 DEI655392 CUM655392 CKQ655392 CAU655392 BQY655392 BHC655392 AXG655392 ANK655392 ADO655392 TS655392 JW655392 B655392 WWI589856 WMM589856 WCQ589856 VSU589856 VIY589856 UZC589856 UPG589856 UFK589856 TVO589856 TLS589856 TBW589856 SSA589856 SIE589856 RYI589856 ROM589856 REQ589856 QUU589856 QKY589856 QBC589856 PRG589856 PHK589856 OXO589856 ONS589856 ODW589856 NUA589856 NKE589856 NAI589856 MQM589856 MGQ589856 LWU589856 LMY589856 LDC589856 KTG589856 KJK589856 JZO589856 JPS589856 JFW589856 IWA589856 IME589856 ICI589856 HSM589856 HIQ589856 GYU589856 GOY589856 GFC589856 FVG589856 FLK589856 FBO589856 ERS589856 EHW589856 DYA589856 DOE589856 DEI589856 CUM589856 CKQ589856 CAU589856 BQY589856 BHC589856 AXG589856 ANK589856 ADO589856 TS589856 JW589856 B589856 WWI524320 WMM524320 WCQ524320 VSU524320 VIY524320 UZC524320 UPG524320 UFK524320 TVO524320 TLS524320 TBW524320 SSA524320 SIE524320 RYI524320 ROM524320 REQ524320 QUU524320 QKY524320 QBC524320 PRG524320 PHK524320 OXO524320 ONS524320 ODW524320 NUA524320 NKE524320 NAI524320 MQM524320 MGQ524320 LWU524320 LMY524320 LDC524320 KTG524320 KJK524320 JZO524320 JPS524320 JFW524320 IWA524320 IME524320 ICI524320 HSM524320 HIQ524320 GYU524320 GOY524320 GFC524320 FVG524320 FLK524320 FBO524320 ERS524320 EHW524320 DYA524320 DOE524320 DEI524320 CUM524320 CKQ524320 CAU524320 BQY524320 BHC524320 AXG524320 ANK524320 ADO524320 TS524320 JW524320 B524320 WWI458784 WMM458784 WCQ458784 VSU458784 VIY458784 UZC458784 UPG458784 UFK458784 TVO458784 TLS458784 TBW458784 SSA458784 SIE458784 RYI458784 ROM458784 REQ458784 QUU458784 QKY458784 QBC458784 PRG458784 PHK458784 OXO458784 ONS458784 ODW458784 NUA458784 NKE458784 NAI458784 MQM458784 MGQ458784 LWU458784 LMY458784 LDC458784 KTG458784 KJK458784 JZO458784 JPS458784 JFW458784 IWA458784 IME458784 ICI458784 HSM458784 HIQ458784 GYU458784 GOY458784 GFC458784 FVG458784 FLK458784 FBO458784 ERS458784 EHW458784 DYA458784 DOE458784 DEI458784 CUM458784 CKQ458784 CAU458784 BQY458784 BHC458784 AXG458784 ANK458784 ADO458784 TS458784 JW458784 B458784 WWI393248 WMM393248 WCQ393248 VSU393248 VIY393248 UZC393248 UPG393248 UFK393248 TVO393248 TLS393248 TBW393248 SSA393248 SIE393248 RYI393248 ROM393248 REQ393248 QUU393248 QKY393248 QBC393248 PRG393248 PHK393248 OXO393248 ONS393248 ODW393248 NUA393248 NKE393248 NAI393248 MQM393248 MGQ393248 LWU393248 LMY393248 LDC393248 KTG393248 KJK393248 JZO393248 JPS393248 JFW393248 IWA393248 IME393248 ICI393248 HSM393248 HIQ393248 GYU393248 GOY393248 GFC393248 FVG393248 FLK393248 FBO393248 ERS393248 EHW393248 DYA393248 DOE393248 DEI393248 CUM393248 CKQ393248 CAU393248 BQY393248 BHC393248 AXG393248 ANK393248 ADO393248 TS393248 JW393248 B393248 WWI327712 WMM327712 WCQ327712 VSU327712 VIY327712 UZC327712 UPG327712 UFK327712 TVO327712 TLS327712 TBW327712 SSA327712 SIE327712 RYI327712 ROM327712 REQ327712 QUU327712 QKY327712 QBC327712 PRG327712 PHK327712 OXO327712 ONS327712 ODW327712 NUA327712 NKE327712 NAI327712 MQM327712 MGQ327712 LWU327712 LMY327712 LDC327712 KTG327712 KJK327712 JZO327712 JPS327712 JFW327712 IWA327712 IME327712 ICI327712 HSM327712 HIQ327712 GYU327712 GOY327712 GFC327712 FVG327712 FLK327712 FBO327712 ERS327712 EHW327712 DYA327712 DOE327712 DEI327712 CUM327712 CKQ327712 CAU327712 BQY327712 BHC327712 AXG327712 ANK327712 ADO327712 TS327712 JW327712 B327712 WWI262176 WMM262176 WCQ262176 VSU262176 VIY262176 UZC262176 UPG262176 UFK262176 TVO262176 TLS262176 TBW262176 SSA262176 SIE262176 RYI262176 ROM262176 REQ262176 QUU262176 QKY262176 QBC262176 PRG262176 PHK262176 OXO262176 ONS262176 ODW262176 NUA262176 NKE262176 NAI262176 MQM262176 MGQ262176 LWU262176 LMY262176 LDC262176 KTG262176 KJK262176 JZO262176 JPS262176 JFW262176 IWA262176 IME262176 ICI262176 HSM262176 HIQ262176 GYU262176 GOY262176 GFC262176 FVG262176 FLK262176 FBO262176 ERS262176 EHW262176 DYA262176 DOE262176 DEI262176 CUM262176 CKQ262176 CAU262176 BQY262176 BHC262176 AXG262176 ANK262176 ADO262176 TS262176 JW262176 B262176 WWI196640 WMM196640 WCQ196640 VSU196640 VIY196640 UZC196640 UPG196640 UFK196640 TVO196640 TLS196640 TBW196640 SSA196640 SIE196640 RYI196640 ROM196640 REQ196640 QUU196640 QKY196640 QBC196640 PRG196640 PHK196640 OXO196640 ONS196640 ODW196640 NUA196640 NKE196640 NAI196640 MQM196640 MGQ196640 LWU196640 LMY196640 LDC196640 KTG196640 KJK196640 JZO196640 JPS196640 JFW196640 IWA196640 IME196640 ICI196640 HSM196640 HIQ196640 GYU196640 GOY196640 GFC196640 FVG196640 FLK196640 FBO196640 ERS196640 EHW196640 DYA196640 DOE196640 DEI196640 CUM196640 CKQ196640 CAU196640 BQY196640 BHC196640 AXG196640 ANK196640 ADO196640 TS196640 JW196640 B196640 WWI131104 WMM131104 WCQ131104 VSU131104 VIY131104 UZC131104 UPG131104 UFK131104 TVO131104 TLS131104 TBW131104 SSA131104 SIE131104 RYI131104 ROM131104 REQ131104 QUU131104 QKY131104 QBC131104 PRG131104 PHK131104 OXO131104 ONS131104 ODW131104 NUA131104 NKE131104 NAI131104 MQM131104 MGQ131104 LWU131104 LMY131104 LDC131104 KTG131104 KJK131104 JZO131104 JPS131104 JFW131104 IWA131104 IME131104 ICI131104 HSM131104 HIQ131104 GYU131104 GOY131104 GFC131104 FVG131104 FLK131104 FBO131104 ERS131104 EHW131104 DYA131104 DOE131104 DEI131104 CUM131104 CKQ131104 CAU131104 BQY131104 BHC131104 AXG131104 ANK131104 ADO131104 TS131104 JW131104 B131104 WWI65568 WMM65568 WCQ65568 VSU65568 VIY65568 UZC65568 UPG65568 UFK65568 TVO65568 TLS65568 TBW65568 SSA65568 SIE65568 RYI65568 ROM65568 REQ65568 QUU65568 QKY65568 QBC65568 PRG65568 PHK65568 OXO65568 ONS65568 ODW65568 NUA65568 NKE65568 NAI65568 MQM65568 MGQ65568 LWU65568 LMY65568 LDC65568 KTG65568 KJK65568 JZO65568 JPS65568 JFW65568 IWA65568 IME65568 ICI65568 HSM65568 HIQ65568 GYU65568 GOY65568 GFC65568 FVG65568 FLK65568 FBO65568 ERS65568 EHW65568 DYA65568 DOE65568 DEI65568 CUM65568 CKQ65568 CAU65568 BQY65568 BHC65568 AXG65568 ANK65568 ADO65568 TS65568 JW65568 B65568 WWI32 WMM32 WCQ32 VSU32 VIY32 UZC32 UPG32 UFK32 TVO32 TLS32 TBW32 SSA32 SIE32 RYI32 ROM32 REQ32 QUU32 QKY32 QBC32 PRG32 PHK32 OXO32 ONS32 ODW32 NUA32 NKE32 NAI32 MQM32 MGQ32 LWU32 LMY32 LDC32 KTG32 KJK32 JZO32 JPS32 JFW32 IWA32 IME32 ICI32 HSM32 HIQ32 GYU32 GOY32 GFC32 FVG32 FLK32 FBO32 ERS32 EHW32 DYA32 DOE32 DEI32 CUM32 CKQ32 CAU32 BQY32 BHC32 AXG32 ANK32 ADO32 TS32 JW32 B32 WWI983074 WMM983074 WCQ983074 VSU983074 VIY983074 UZC983074 UPG983074 UFK983074 TVO983074 TLS983074 TBW983074 SSA983074 SIE983074 RYI983074 ROM983074 REQ983074 QUU983074 QKY983074 QBC983074 PRG983074 PHK983074 OXO983074 ONS983074 ODW983074 NUA983074 NKE983074 NAI983074 MQM983074 MGQ983074 LWU983074 LMY983074 LDC983074 KTG983074 KJK983074 JZO983074 JPS983074 JFW983074 IWA983074 IME983074 ICI983074 HSM983074 HIQ983074 GYU983074 GOY983074 GFC983074 FVG983074 FLK983074 FBO983074 ERS983074 EHW983074 DYA983074 DOE983074 DEI983074 CUM983074 CKQ983074 CAU983074 BQY983074 BHC983074 AXG983074 ANK983074 ADO983074 TS983074 JW983074 B983074 WWI917538 WMM917538 WCQ917538 VSU917538 VIY917538 UZC917538 UPG917538 UFK917538 TVO917538 TLS917538 TBW917538 SSA917538 SIE917538 RYI917538 ROM917538 REQ917538 QUU917538 QKY917538 QBC917538 PRG917538 PHK917538 OXO917538 ONS917538 ODW917538 NUA917538 NKE917538 NAI917538 MQM917538 MGQ917538 LWU917538 LMY917538 LDC917538 KTG917538 KJK917538 JZO917538 JPS917538 JFW917538 IWA917538 IME917538 ICI917538 HSM917538 HIQ917538 GYU917538 GOY917538 GFC917538 FVG917538 FLK917538 FBO917538 ERS917538 EHW917538 DYA917538 DOE917538 DEI917538 CUM917538 CKQ917538 CAU917538 BQY917538 BHC917538 AXG917538 ANK917538 ADO917538 TS917538 JW917538 B917538 WWI852002 WMM852002 WCQ852002 VSU852002 VIY852002 UZC852002 UPG852002 UFK852002 TVO852002 TLS852002 TBW852002 SSA852002 SIE852002 RYI852002 ROM852002 REQ852002 QUU852002 QKY852002 QBC852002 PRG852002 PHK852002 OXO852002 ONS852002 ODW852002 NUA852002 NKE852002 NAI852002 MQM852002 MGQ852002 LWU852002 LMY852002 LDC852002 KTG852002 KJK852002 JZO852002 JPS852002 JFW852002 IWA852002 IME852002 ICI852002 HSM852002 HIQ852002 GYU852002 GOY852002 GFC852002 FVG852002 FLK852002 FBO852002 ERS852002 EHW852002 DYA852002 DOE852002 DEI852002 CUM852002 CKQ852002 CAU852002 BQY852002 BHC852002 AXG852002 ANK852002 ADO852002 TS852002 JW852002 B852002 WWI786466 WMM786466 WCQ786466 VSU786466 VIY786466 UZC786466 UPG786466 UFK786466 TVO786466 TLS786466 TBW786466 SSA786466 SIE786466 RYI786466 ROM786466 REQ786466 QUU786466 QKY786466 QBC786466 PRG786466 PHK786466 OXO786466 ONS786466 ODW786466 NUA786466 NKE786466 NAI786466 MQM786466 MGQ786466 LWU786466 LMY786466 LDC786466 KTG786466 KJK786466 JZO786466 JPS786466 JFW786466 IWA786466 IME786466 ICI786466 HSM786466 HIQ786466 GYU786466 GOY786466 GFC786466 FVG786466 FLK786466 FBO786466 ERS786466 EHW786466 DYA786466 DOE786466 DEI786466 CUM786466 CKQ786466 CAU786466 BQY786466 BHC786466 AXG786466 ANK786466 ADO786466 TS786466 JW786466 B786466 WWI720930 WMM720930 WCQ720930 VSU720930 VIY720930 UZC720930 UPG720930 UFK720930 TVO720930 TLS720930 TBW720930 SSA720930 SIE720930 RYI720930 ROM720930 REQ720930 QUU720930 QKY720930 QBC720930 PRG720930 PHK720930 OXO720930 ONS720930 ODW720930 NUA720930 NKE720930 NAI720930 MQM720930 MGQ720930 LWU720930 LMY720930 LDC720930 KTG720930 KJK720930 JZO720930 JPS720930 JFW720930 IWA720930 IME720930 ICI720930 HSM720930 HIQ720930 GYU720930 GOY720930 GFC720930 FVG720930 FLK720930 FBO720930 ERS720930 EHW720930 DYA720930 DOE720930 DEI720930 CUM720930 CKQ720930 CAU720930 BQY720930 BHC720930 AXG720930 ANK720930 ADO720930 TS720930 JW720930 B720930 WWI655394 WMM655394 WCQ655394 VSU655394 VIY655394 UZC655394 UPG655394 UFK655394 TVO655394 TLS655394 TBW655394 SSA655394 SIE655394 RYI655394 ROM655394 REQ655394 QUU655394 QKY655394 QBC655394 PRG655394 PHK655394 OXO655394 ONS655394 ODW655394 NUA655394 NKE655394 NAI655394 MQM655394 MGQ655394 LWU655394 LMY655394 LDC655394 KTG655394 KJK655394 JZO655394 JPS655394 JFW655394 IWA655394 IME655394 ICI655394 HSM655394 HIQ655394 GYU655394 GOY655394 GFC655394 FVG655394 FLK655394 FBO655394 ERS655394 EHW655394 DYA655394 DOE655394 DEI655394 CUM655394 CKQ655394 CAU655394 BQY655394 BHC655394 AXG655394 ANK655394 ADO655394 TS655394 JW655394 B655394 WWI589858 WMM589858 WCQ589858 VSU589858 VIY589858 UZC589858 UPG589858 UFK589858 TVO589858 TLS589858 TBW589858 SSA589858 SIE589858 RYI589858 ROM589858 REQ589858 QUU589858 QKY589858 QBC589858 PRG589858 PHK589858 OXO589858 ONS589858 ODW589858 NUA589858 NKE589858 NAI589858 MQM589858 MGQ589858 LWU589858 LMY589858 LDC589858 KTG589858 KJK589858 JZO589858 JPS589858 JFW589858 IWA589858 IME589858 ICI589858 HSM589858 HIQ589858 GYU589858 GOY589858 GFC589858 FVG589858 FLK589858 FBO589858 ERS589858 EHW589858 DYA589858 DOE589858 DEI589858 CUM589858 CKQ589858 CAU589858 BQY589858 BHC589858 AXG589858 ANK589858 ADO589858 TS589858 JW589858 B589858 WWI524322 WMM524322 WCQ524322 VSU524322 VIY524322 UZC524322 UPG524322 UFK524322 TVO524322 TLS524322 TBW524322 SSA524322 SIE524322 RYI524322 ROM524322 REQ524322 QUU524322 QKY524322 QBC524322 PRG524322 PHK524322 OXO524322 ONS524322 ODW524322 NUA524322 NKE524322 NAI524322 MQM524322 MGQ524322 LWU524322 LMY524322 LDC524322 KTG524322 KJK524322 JZO524322 JPS524322 JFW524322 IWA524322 IME524322 ICI524322 HSM524322 HIQ524322 GYU524322 GOY524322 GFC524322 FVG524322 FLK524322 FBO524322 ERS524322 EHW524322 DYA524322 DOE524322 DEI524322 CUM524322 CKQ524322 CAU524322 BQY524322 BHC524322 AXG524322 ANK524322 ADO524322 TS524322 JW524322 B524322 WWI458786 WMM458786 WCQ458786 VSU458786 VIY458786 UZC458786 UPG458786 UFK458786 TVO458786 TLS458786 TBW458786 SSA458786 SIE458786 RYI458786 ROM458786 REQ458786 QUU458786 QKY458786 QBC458786 PRG458786 PHK458786 OXO458786 ONS458786 ODW458786 NUA458786 NKE458786 NAI458786 MQM458786 MGQ458786 LWU458786 LMY458786 LDC458786 KTG458786 KJK458786 JZO458786 JPS458786 JFW458786 IWA458786 IME458786 ICI458786 HSM458786 HIQ458786 GYU458786 GOY458786 GFC458786 FVG458786 FLK458786 FBO458786 ERS458786 EHW458786 DYA458786 DOE458786 DEI458786 CUM458786 CKQ458786 CAU458786 BQY458786 BHC458786 AXG458786 ANK458786 ADO458786 TS458786 JW458786 B458786 WWI393250 WMM393250 WCQ393250 VSU393250 VIY393250 UZC393250 UPG393250 UFK393250 TVO393250 TLS393250 TBW393250 SSA393250 SIE393250 RYI393250 ROM393250 REQ393250 QUU393250 QKY393250 QBC393250 PRG393250 PHK393250 OXO393250 ONS393250 ODW393250 NUA393250 NKE393250 NAI393250 MQM393250 MGQ393250 LWU393250 LMY393250 LDC393250 KTG393250 KJK393250 JZO393250 JPS393250 JFW393250 IWA393250 IME393250 ICI393250 HSM393250 HIQ393250 GYU393250 GOY393250 GFC393250 FVG393250 FLK393250 FBO393250 ERS393250 EHW393250 DYA393250 DOE393250 DEI393250 CUM393250 CKQ393250 CAU393250 BQY393250 BHC393250 AXG393250 ANK393250 ADO393250 TS393250 JW393250 B393250 WWI327714 WMM327714 WCQ327714 VSU327714 VIY327714 UZC327714 UPG327714 UFK327714 TVO327714 TLS327714 TBW327714 SSA327714 SIE327714 RYI327714 ROM327714 REQ327714 QUU327714 QKY327714 QBC327714 PRG327714 PHK327714 OXO327714 ONS327714 ODW327714 NUA327714 NKE327714 NAI327714 MQM327714 MGQ327714 LWU327714 LMY327714 LDC327714 KTG327714 KJK327714 JZO327714 JPS327714 JFW327714 IWA327714 IME327714 ICI327714 HSM327714 HIQ327714 GYU327714 GOY327714 GFC327714 FVG327714 FLK327714 FBO327714 ERS327714 EHW327714 DYA327714 DOE327714 DEI327714 CUM327714 CKQ327714 CAU327714 BQY327714 BHC327714 AXG327714 ANK327714 ADO327714 TS327714 JW327714 B327714 WWI262178 WMM262178 WCQ262178 VSU262178 VIY262178 UZC262178 UPG262178 UFK262178 TVO262178 TLS262178 TBW262178 SSA262178 SIE262178 RYI262178 ROM262178 REQ262178 QUU262178 QKY262178 QBC262178 PRG262178 PHK262178 OXO262178 ONS262178 ODW262178 NUA262178 NKE262178 NAI262178 MQM262178 MGQ262178 LWU262178 LMY262178 LDC262178 KTG262178 KJK262178 JZO262178 JPS262178 JFW262178 IWA262178 IME262178 ICI262178 HSM262178 HIQ262178 GYU262178 GOY262178 GFC262178 FVG262178 FLK262178 FBO262178 ERS262178 EHW262178 DYA262178 DOE262178 DEI262178 CUM262178 CKQ262178 CAU262178 BQY262178 BHC262178 AXG262178 ANK262178 ADO262178 TS262178 JW262178 B262178 WWI196642 WMM196642 WCQ196642 VSU196642 VIY196642 UZC196642 UPG196642 UFK196642 TVO196642 TLS196642 TBW196642 SSA196642 SIE196642 RYI196642 ROM196642 REQ196642 QUU196642 QKY196642 QBC196642 PRG196642 PHK196642 OXO196642 ONS196642 ODW196642 NUA196642 NKE196642 NAI196642 MQM196642 MGQ196642 LWU196642 LMY196642 LDC196642 KTG196642 KJK196642 JZO196642 JPS196642 JFW196642 IWA196642 IME196642 ICI196642 HSM196642 HIQ196642 GYU196642 GOY196642 GFC196642 FVG196642 FLK196642 FBO196642 ERS196642 EHW196642 DYA196642 DOE196642 DEI196642 CUM196642 CKQ196642 CAU196642 BQY196642 BHC196642 AXG196642 ANK196642 ADO196642 TS196642 JW196642 B196642 WWI131106 WMM131106 WCQ131106 VSU131106 VIY131106 UZC131106 UPG131106 UFK131106 TVO131106 TLS131106 TBW131106 SSA131106 SIE131106 RYI131106 ROM131106 REQ131106 QUU131106 QKY131106 QBC131106 PRG131106 PHK131106 OXO131106 ONS131106 ODW131106 NUA131106 NKE131106 NAI131106 MQM131106 MGQ131106 LWU131106 LMY131106 LDC131106 KTG131106 KJK131106 JZO131106 JPS131106 JFW131106 IWA131106 IME131106 ICI131106 HSM131106 HIQ131106 GYU131106 GOY131106 GFC131106 FVG131106 FLK131106 FBO131106 ERS131106 EHW131106 DYA131106 DOE131106 DEI131106 CUM131106 CKQ131106 CAU131106 BQY131106 BHC131106 AXG131106 ANK131106 ADO131106 TS131106 JW131106 B131106 WWI65570 WMM65570 WCQ65570 VSU65570 VIY65570 UZC65570 UPG65570 UFK65570 TVO65570 TLS65570 TBW65570 SSA65570 SIE65570 RYI65570 ROM65570 REQ65570 QUU65570 QKY65570 QBC65570 PRG65570 PHK65570 OXO65570 ONS65570 ODW65570 NUA65570 NKE65570 NAI65570 MQM65570 MGQ65570 LWU65570 LMY65570 LDC65570 KTG65570 KJK65570 JZO65570 JPS65570 JFW65570 IWA65570 IME65570 ICI65570 HSM65570 HIQ65570 GYU65570 GOY65570 GFC65570 FVG65570 FLK65570 FBO65570 ERS65570 EHW65570 DYA65570 DOE65570 DEI65570 CUM65570 CKQ65570 CAU65570 BQY65570 BHC65570 AXG65570 ANK65570 ADO65570 TS65570 JW65570 B65570 WWI34 WMM34 WCQ34 VSU34 VIY34 UZC34 UPG34 UFK34 TVO34 TLS34 TBW34 SSA34 SIE34 RYI34 ROM34 REQ34 QUU34 QKY34 QBC34 PRG34 PHK34 OXO34 ONS34 ODW34 NUA34 NKE34 NAI34 MQM34 MGQ34 LWU34 LMY34 LDC34 KTG34 KJK34 JZO34 JPS34 JFW34 IWA34 IME34 ICI34 HSM34 HIQ34 GYU34 GOY34 GFC34 FVG34 FLK34 FBO34 ERS34 EHW34 DYA34 DOE34 DEI34 CUM34 CKQ34 CAU34 BQY34 BHC34 AXG34 ANK34 ADO34 TS34 JW34 B34 WWI983076 WMM983076 WCQ983076 VSU983076 VIY983076 UZC983076 UPG983076 UFK983076 TVO983076 TLS983076 TBW983076 SSA983076 SIE983076 RYI983076 ROM983076 REQ983076 QUU983076 QKY983076 QBC983076 PRG983076 PHK983076 OXO983076 ONS983076 ODW983076 NUA983076 NKE983076 NAI983076 MQM983076 MGQ983076 LWU983076 LMY983076 LDC983076 KTG983076 KJK983076 JZO983076 JPS983076 JFW983076 IWA983076 IME983076 ICI983076 HSM983076 HIQ983076 GYU983076 GOY983076 GFC983076 FVG983076 FLK983076 FBO983076 ERS983076 EHW983076 DYA983076 DOE983076 DEI983076 CUM983076 CKQ983076 CAU983076 BQY983076 BHC983076 AXG983076 ANK983076 ADO983076 TS983076 JW983076 B983076 WWI917540 WMM917540 WCQ917540 VSU917540 VIY917540 UZC917540 UPG917540 UFK917540 TVO917540 TLS917540 TBW917540 SSA917540 SIE917540 RYI917540 ROM917540 REQ917540 QUU917540 QKY917540 QBC917540 PRG917540 PHK917540 OXO917540 ONS917540 ODW917540 NUA917540 NKE917540 NAI917540 MQM917540 MGQ917540 LWU917540 LMY917540 LDC917540 KTG917540 KJK917540 JZO917540 JPS917540 JFW917540 IWA917540 IME917540 ICI917540 HSM917540 HIQ917540 GYU917540 GOY917540 GFC917540 FVG917540 FLK917540 FBO917540 ERS917540 EHW917540 DYA917540 DOE917540 DEI917540 CUM917540 CKQ917540 CAU917540 BQY917540 BHC917540 AXG917540 ANK917540 ADO917540 TS917540 JW917540 B917540 WWI852004 WMM852004 WCQ852004 VSU852004 VIY852004 UZC852004 UPG852004 UFK852004 TVO852004 TLS852004 TBW852004 SSA852004 SIE852004 RYI852004 ROM852004 REQ852004 QUU852004 QKY852004 QBC852004 PRG852004 PHK852004 OXO852004 ONS852004 ODW852004 NUA852004 NKE852004 NAI852004 MQM852004 MGQ852004 LWU852004 LMY852004 LDC852004 KTG852004 KJK852004 JZO852004 JPS852004 JFW852004 IWA852004 IME852004 ICI852004 HSM852004 HIQ852004 GYU852004 GOY852004 GFC852004 FVG852004 FLK852004 FBO852004 ERS852004 EHW852004 DYA852004 DOE852004 DEI852004 CUM852004 CKQ852004 CAU852004 BQY852004 BHC852004 AXG852004 ANK852004 ADO852004 TS852004 JW852004 B852004 WWI786468 WMM786468 WCQ786468 VSU786468 VIY786468 UZC786468 UPG786468 UFK786468 TVO786468 TLS786468 TBW786468 SSA786468 SIE786468 RYI786468 ROM786468 REQ786468 QUU786468 QKY786468 QBC786468 PRG786468 PHK786468 OXO786468 ONS786468 ODW786468 NUA786468 NKE786468 NAI786468 MQM786468 MGQ786468 LWU786468 LMY786468 LDC786468 KTG786468 KJK786468 JZO786468 JPS786468 JFW786468 IWA786468 IME786468 ICI786468 HSM786468 HIQ786468 GYU786468 GOY786468 GFC786468 FVG786468 FLK786468 FBO786468 ERS786468 EHW786468 DYA786468 DOE786468 DEI786468 CUM786468 CKQ786468 CAU786468 BQY786468 BHC786468 AXG786468 ANK786468 ADO786468 TS786468 JW786468 B786468 WWI720932 WMM720932 WCQ720932 VSU720932 VIY720932 UZC720932 UPG720932 UFK720932 TVO720932 TLS720932 TBW720932 SSA720932 SIE720932 RYI720932 ROM720932 REQ720932 QUU720932 QKY720932 QBC720932 PRG720932 PHK720932 OXO720932 ONS720932 ODW720932 NUA720932 NKE720932 NAI720932 MQM720932 MGQ720932 LWU720932 LMY720932 LDC720932 KTG720932 KJK720932 JZO720932 JPS720932 JFW720932 IWA720932 IME720932 ICI720932 HSM720932 HIQ720932 GYU720932 GOY720932 GFC720932 FVG720932 FLK720932 FBO720932 ERS720932 EHW720932 DYA720932 DOE720932 DEI720932 CUM720932 CKQ720932 CAU720932 BQY720932 BHC720932 AXG720932 ANK720932 ADO720932 TS720932 JW720932 B720932 WWI655396 WMM655396 WCQ655396 VSU655396 VIY655396 UZC655396 UPG655396 UFK655396 TVO655396 TLS655396 TBW655396 SSA655396 SIE655396 RYI655396 ROM655396 REQ655396 QUU655396 QKY655396 QBC655396 PRG655396 PHK655396 OXO655396 ONS655396 ODW655396 NUA655396 NKE655396 NAI655396 MQM655396 MGQ655396 LWU655396 LMY655396 LDC655396 KTG655396 KJK655396 JZO655396 JPS655396 JFW655396 IWA655396 IME655396 ICI655396 HSM655396 HIQ655396 GYU655396 GOY655396 GFC655396 FVG655396 FLK655396 FBO655396 ERS655396 EHW655396 DYA655396 DOE655396 DEI655396 CUM655396 CKQ655396 CAU655396 BQY655396 BHC655396 AXG655396 ANK655396 ADO655396 TS655396 JW655396 B655396 WWI589860 WMM589860 WCQ589860 VSU589860 VIY589860 UZC589860 UPG589860 UFK589860 TVO589860 TLS589860 TBW589860 SSA589860 SIE589860 RYI589860 ROM589860 REQ589860 QUU589860 QKY589860 QBC589860 PRG589860 PHK589860 OXO589860 ONS589860 ODW589860 NUA589860 NKE589860 NAI589860 MQM589860 MGQ589860 LWU589860 LMY589860 LDC589860 KTG589860 KJK589860 JZO589860 JPS589860 JFW589860 IWA589860 IME589860 ICI589860 HSM589860 HIQ589860 GYU589860 GOY589860 GFC589860 FVG589860 FLK589860 FBO589860 ERS589860 EHW589860 DYA589860 DOE589860 DEI589860 CUM589860 CKQ589860 CAU589860 BQY589860 BHC589860 AXG589860 ANK589860 ADO589860 TS589860 JW589860 B589860 WWI524324 WMM524324 WCQ524324 VSU524324 VIY524324 UZC524324 UPG524324 UFK524324 TVO524324 TLS524324 TBW524324 SSA524324 SIE524324 RYI524324 ROM524324 REQ524324 QUU524324 QKY524324 QBC524324 PRG524324 PHK524324 OXO524324 ONS524324 ODW524324 NUA524324 NKE524324 NAI524324 MQM524324 MGQ524324 LWU524324 LMY524324 LDC524324 KTG524324 KJK524324 JZO524324 JPS524324 JFW524324 IWA524324 IME524324 ICI524324 HSM524324 HIQ524324 GYU524324 GOY524324 GFC524324 FVG524324 FLK524324 FBO524324 ERS524324 EHW524324 DYA524324 DOE524324 DEI524324 CUM524324 CKQ524324 CAU524324 BQY524324 BHC524324 AXG524324 ANK524324 ADO524324 TS524324 JW524324 B524324 WWI458788 WMM458788 WCQ458788 VSU458788 VIY458788 UZC458788 UPG458788 UFK458788 TVO458788 TLS458788 TBW458788 SSA458788 SIE458788 RYI458788 ROM458788 REQ458788 QUU458788 QKY458788 QBC458788 PRG458788 PHK458788 OXO458788 ONS458788 ODW458788 NUA458788 NKE458788 NAI458788 MQM458788 MGQ458788 LWU458788 LMY458788 LDC458788 KTG458788 KJK458788 JZO458788 JPS458788 JFW458788 IWA458788 IME458788 ICI458788 HSM458788 HIQ458788 GYU458788 GOY458788 GFC458788 FVG458788 FLK458788 FBO458788 ERS458788 EHW458788 DYA458788 DOE458788 DEI458788 CUM458788 CKQ458788 CAU458788 BQY458788 BHC458788 AXG458788 ANK458788 ADO458788 TS458788 JW458788 B458788 WWI393252 WMM393252 WCQ393252 VSU393252 VIY393252 UZC393252 UPG393252 UFK393252 TVO393252 TLS393252 TBW393252 SSA393252 SIE393252 RYI393252 ROM393252 REQ393252 QUU393252 QKY393252 QBC393252 PRG393252 PHK393252 OXO393252 ONS393252 ODW393252 NUA393252 NKE393252 NAI393252 MQM393252 MGQ393252 LWU393252 LMY393252 LDC393252 KTG393252 KJK393252 JZO393252 JPS393252 JFW393252 IWA393252 IME393252 ICI393252 HSM393252 HIQ393252 GYU393252 GOY393252 GFC393252 FVG393252 FLK393252 FBO393252 ERS393252 EHW393252 DYA393252 DOE393252 DEI393252 CUM393252 CKQ393252 CAU393252 BQY393252 BHC393252 AXG393252 ANK393252 ADO393252 TS393252 JW393252 B393252 WWI327716 WMM327716 WCQ327716 VSU327716 VIY327716 UZC327716 UPG327716 UFK327716 TVO327716 TLS327716 TBW327716 SSA327716 SIE327716 RYI327716 ROM327716 REQ327716 QUU327716 QKY327716 QBC327716 PRG327716 PHK327716 OXO327716 ONS327716 ODW327716 NUA327716 NKE327716 NAI327716 MQM327716 MGQ327716 LWU327716 LMY327716 LDC327716 KTG327716 KJK327716 JZO327716 JPS327716 JFW327716 IWA327716 IME327716 ICI327716 HSM327716 HIQ327716 GYU327716 GOY327716 GFC327716 FVG327716 FLK327716 FBO327716 ERS327716 EHW327716 DYA327716 DOE327716 DEI327716 CUM327716 CKQ327716 CAU327716 BQY327716 BHC327716 AXG327716 ANK327716 ADO327716 TS327716 JW327716 B327716 WWI262180 WMM262180 WCQ262180 VSU262180 VIY262180 UZC262180 UPG262180 UFK262180 TVO262180 TLS262180 TBW262180 SSA262180 SIE262180 RYI262180 ROM262180 REQ262180 QUU262180 QKY262180 QBC262180 PRG262180 PHK262180 OXO262180 ONS262180 ODW262180 NUA262180 NKE262180 NAI262180 MQM262180 MGQ262180 LWU262180 LMY262180 LDC262180 KTG262180 KJK262180 JZO262180 JPS262180 JFW262180 IWA262180 IME262180 ICI262180 HSM262180 HIQ262180 GYU262180 GOY262180 GFC262180 FVG262180 FLK262180 FBO262180 ERS262180 EHW262180 DYA262180 DOE262180 DEI262180 CUM262180 CKQ262180 CAU262180 BQY262180 BHC262180 AXG262180 ANK262180 ADO262180 TS262180 JW262180 B262180 WWI196644 WMM196644 WCQ196644 VSU196644 VIY196644 UZC196644 UPG196644 UFK196644 TVO196644 TLS196644 TBW196644 SSA196644 SIE196644 RYI196644 ROM196644 REQ196644 QUU196644 QKY196644 QBC196644 PRG196644 PHK196644 OXO196644 ONS196644 ODW196644 NUA196644 NKE196644 NAI196644 MQM196644 MGQ196644 LWU196644 LMY196644 LDC196644 KTG196644 KJK196644 JZO196644 JPS196644 JFW196644 IWA196644 IME196644 ICI196644 HSM196644 HIQ196644 GYU196644 GOY196644 GFC196644 FVG196644 FLK196644 FBO196644 ERS196644 EHW196644 DYA196644 DOE196644 DEI196644 CUM196644 CKQ196644 CAU196644 BQY196644 BHC196644 AXG196644 ANK196644 ADO196644 TS196644 JW196644 B196644 WWI131108 WMM131108 WCQ131108 VSU131108 VIY131108 UZC131108 UPG131108 UFK131108 TVO131108 TLS131108 TBW131108 SSA131108 SIE131108 RYI131108 ROM131108 REQ131108 QUU131108 QKY131108 QBC131108 PRG131108 PHK131108 OXO131108 ONS131108 ODW131108 NUA131108 NKE131108 NAI131108 MQM131108 MGQ131108 LWU131108 LMY131108 LDC131108 KTG131108 KJK131108 JZO131108 JPS131108 JFW131108 IWA131108 IME131108 ICI131108 HSM131108 HIQ131108 GYU131108 GOY131108 GFC131108 FVG131108 FLK131108 FBO131108 ERS131108 EHW131108 DYA131108 DOE131108 DEI131108 CUM131108 CKQ131108 CAU131108 BQY131108 BHC131108 AXG131108 ANK131108 ADO131108 TS131108 JW131108 B131108 WWI65572 WMM65572 WCQ65572 VSU65572 VIY65572 UZC65572 UPG65572 UFK65572 TVO65572 TLS65572 TBW65572 SSA65572 SIE65572 RYI65572 ROM65572 REQ65572 QUU65572 QKY65572 QBC65572 PRG65572 PHK65572 OXO65572 ONS65572 ODW65572 NUA65572 NKE65572 NAI65572 MQM65572 MGQ65572 LWU65572 LMY65572 LDC65572 KTG65572 KJK65572 JZO65572 JPS65572 JFW65572 IWA65572 IME65572 ICI65572 HSM65572 HIQ65572 GYU65572 GOY65572 GFC65572 FVG65572 FLK65572 FBO65572 ERS65572 EHW65572 DYA65572 DOE65572 DEI65572 CUM65572 CKQ65572 CAU65572 BQY65572 BHC65572 AXG65572 ANK65572 ADO65572 TS65572 JW65572 B65572 WWI36 WMM36 WCQ36 VSU36 VIY36 UZC36 UPG36 UFK36 TVO36 TLS36 TBW36 SSA36 SIE36 RYI36 ROM36 REQ36 QUU36 QKY36 QBC36 PRG36 PHK36 OXO36 ONS36 ODW36 NUA36 NKE36 NAI36 MQM36 MGQ36 LWU36 LMY36 LDC36 KTG36 KJK36 JZO36 JPS36 JFW36 IWA36 IME36 ICI36 HSM36 HIQ36 GYU36 GOY36 GFC36 FVG36 FLK36 FBO36 ERS36 EHW36 DYA36 DOE36 DEI36 CUM36 CKQ36 CAU36 BQY36 BHC36 AXG36 ANK36 ADO36 TS36 JW36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407A1-4754-4D06-A97A-4B0E6813E16B}">
  <dimension ref="E4:W22"/>
  <sheetViews>
    <sheetView showGridLines="0" workbookViewId="0">
      <selection activeCell="BL41" sqref="BL41"/>
    </sheetView>
  </sheetViews>
  <sheetFormatPr defaultRowHeight="14.25"/>
  <cols>
    <col min="5" max="5" width="24.265625" bestFit="1" customWidth="1"/>
    <col min="21" max="21" width="14.3984375" customWidth="1"/>
    <col min="22" max="22" width="10" bestFit="1" customWidth="1"/>
  </cols>
  <sheetData>
    <row r="4" spans="5:23" ht="14.65" thickBot="1"/>
    <row r="5" spans="5:23" ht="14.65" thickBot="1">
      <c r="F5" s="623" t="s">
        <v>927</v>
      </c>
      <c r="G5" s="622" t="s">
        <v>928</v>
      </c>
      <c r="H5" s="622" t="s">
        <v>929</v>
      </c>
      <c r="I5" s="624" t="s">
        <v>794</v>
      </c>
      <c r="J5" s="624" t="s">
        <v>795</v>
      </c>
      <c r="K5" s="623" t="s">
        <v>919</v>
      </c>
      <c r="L5" s="622" t="s">
        <v>920</v>
      </c>
      <c r="M5" s="622" t="s">
        <v>921</v>
      </c>
      <c r="N5" s="624" t="s">
        <v>922</v>
      </c>
      <c r="O5" s="624" t="s">
        <v>923</v>
      </c>
    </row>
    <row r="6" spans="5:23">
      <c r="E6" s="1011" t="s">
        <v>937</v>
      </c>
      <c r="F6" s="160">
        <f>'Income Statement'!CB55</f>
        <v>0.21669672546322691</v>
      </c>
      <c r="G6" s="160">
        <f>'Income Statement'!CC55</f>
        <v>0.22985490175081652</v>
      </c>
      <c r="H6" s="160">
        <f>'Income Statement'!CD55</f>
        <v>0.24766315466034883</v>
      </c>
      <c r="I6" s="160">
        <f>'Income Statement'!CE55</f>
        <v>0.22330668385540667</v>
      </c>
      <c r="J6" s="160">
        <f>'Income Statement'!CF55</f>
        <v>0.22957385445172054</v>
      </c>
      <c r="K6" s="1026">
        <f>'Income Statement'!CG55</f>
        <v>0.23754242630655459</v>
      </c>
      <c r="L6" s="1026">
        <f>'Income Statement'!CH55</f>
        <v>0.24505523350388927</v>
      </c>
      <c r="M6" s="160">
        <f>'Income Statement'!CI55</f>
        <v>0.25355902506179406</v>
      </c>
      <c r="N6" s="160">
        <f>'Income Statement'!CJ55</f>
        <v>0.24351035146757438</v>
      </c>
      <c r="O6" s="160">
        <f>'Income Statement'!CK55</f>
        <v>0.24502491576632646</v>
      </c>
    </row>
    <row r="7" spans="5:23">
      <c r="E7" s="1011" t="s">
        <v>938</v>
      </c>
      <c r="I7" s="160">
        <v>0.222</v>
      </c>
      <c r="J7" s="160">
        <v>0.22950000000000001</v>
      </c>
      <c r="K7" s="1026">
        <f>'Income Statement'!CG105</f>
        <v>0.23196881091617932</v>
      </c>
      <c r="L7" s="1026">
        <f>'Income Statement'!CH105</f>
        <v>0</v>
      </c>
      <c r="M7" s="160">
        <f>'Income Statement'!CI105</f>
        <v>0</v>
      </c>
      <c r="N7" s="160">
        <f>'Income Statement'!CJ105</f>
        <v>0</v>
      </c>
      <c r="O7" s="160">
        <f>'Income Statement'!CK105</f>
        <v>0.23943661971830985</v>
      </c>
    </row>
    <row r="8" spans="5:23">
      <c r="E8" s="1011" t="s">
        <v>939</v>
      </c>
      <c r="K8" s="1027">
        <f>K7-K6</f>
        <v>-5.5736153903752639E-3</v>
      </c>
      <c r="L8" s="1027">
        <f>L7-L6</f>
        <v>-0.24505523350388927</v>
      </c>
      <c r="M8" s="1028"/>
      <c r="N8" s="1028"/>
      <c r="O8" s="1027">
        <f>O7-O6</f>
        <v>-5.5882960480166111E-3</v>
      </c>
    </row>
    <row r="12" spans="5:23">
      <c r="T12" s="1029" t="s">
        <v>940</v>
      </c>
      <c r="U12" s="1029"/>
      <c r="V12" s="1029" t="s">
        <v>930</v>
      </c>
      <c r="W12" s="1029" t="s">
        <v>941</v>
      </c>
    </row>
    <row r="13" spans="5:23">
      <c r="T13" s="1011" t="s">
        <v>358</v>
      </c>
      <c r="V13" s="186" t="s">
        <v>951</v>
      </c>
      <c r="W13" s="186" t="s">
        <v>952</v>
      </c>
    </row>
    <row r="14" spans="5:23">
      <c r="T14" s="1011" t="s">
        <v>942</v>
      </c>
      <c r="V14" s="186" t="s">
        <v>943</v>
      </c>
      <c r="W14" s="186" t="s">
        <v>944</v>
      </c>
    </row>
    <row r="15" spans="5:23">
      <c r="T15" s="1029" t="s">
        <v>945</v>
      </c>
      <c r="U15" s="1029"/>
      <c r="V15" s="1029"/>
      <c r="W15" s="1029"/>
    </row>
    <row r="16" spans="5:23">
      <c r="T16" s="1011" t="s">
        <v>940</v>
      </c>
      <c r="V16" s="1030">
        <v>1</v>
      </c>
      <c r="W16" s="1030">
        <v>1</v>
      </c>
    </row>
    <row r="17" spans="20:23">
      <c r="T17" s="1011" t="s">
        <v>757</v>
      </c>
      <c r="V17" s="186" t="s">
        <v>953</v>
      </c>
      <c r="W17" s="186" t="s">
        <v>954</v>
      </c>
    </row>
    <row r="18" spans="20:23">
      <c r="T18" s="1011" t="s">
        <v>946</v>
      </c>
      <c r="V18" s="186" t="s">
        <v>955</v>
      </c>
      <c r="W18" s="186" t="s">
        <v>960</v>
      </c>
    </row>
    <row r="19" spans="20:23">
      <c r="T19" s="1011" t="s">
        <v>947</v>
      </c>
      <c r="V19" s="186" t="s">
        <v>956</v>
      </c>
      <c r="W19" s="186" t="s">
        <v>961</v>
      </c>
    </row>
    <row r="20" spans="20:23">
      <c r="T20" s="1011" t="s">
        <v>948</v>
      </c>
      <c r="V20" s="186" t="s">
        <v>957</v>
      </c>
      <c r="W20" s="186" t="s">
        <v>957</v>
      </c>
    </row>
    <row r="21" spans="20:23">
      <c r="T21" s="1011" t="s">
        <v>949</v>
      </c>
      <c r="V21" s="186" t="s">
        <v>958</v>
      </c>
      <c r="W21" s="186" t="s">
        <v>962</v>
      </c>
    </row>
    <row r="22" spans="20:23">
      <c r="T22" s="1011" t="s">
        <v>950</v>
      </c>
      <c r="V22" s="186" t="s">
        <v>959</v>
      </c>
      <c r="W22" s="186" t="s">
        <v>963</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54DE6-C2C5-4A46-8642-8A40E5DB79D9}">
  <dimension ref="C4:AG8"/>
  <sheetViews>
    <sheetView showGridLines="0" workbookViewId="0">
      <selection activeCell="K35" sqref="K35"/>
    </sheetView>
  </sheetViews>
  <sheetFormatPr defaultRowHeight="14.25" outlineLevelCol="1"/>
  <cols>
    <col min="3" max="3" width="30.86328125" bestFit="1" customWidth="1"/>
    <col min="4" max="7" width="0" hidden="1" customWidth="1" outlineLevel="1"/>
    <col min="8" max="8" width="8.73046875" collapsed="1"/>
  </cols>
  <sheetData>
    <row r="4" spans="3:33" ht="14.65" thickBot="1"/>
    <row r="5" spans="3:33" ht="14.65" thickBot="1">
      <c r="D5" s="623" t="s">
        <v>669</v>
      </c>
      <c r="E5" s="622" t="s">
        <v>673</v>
      </c>
      <c r="F5" s="622" t="s">
        <v>674</v>
      </c>
      <c r="G5" s="624" t="s">
        <v>675</v>
      </c>
      <c r="H5" s="1012">
        <v>2019</v>
      </c>
      <c r="I5" s="623" t="s">
        <v>685</v>
      </c>
      <c r="J5" s="622" t="s">
        <v>687</v>
      </c>
      <c r="K5" s="622" t="s">
        <v>688</v>
      </c>
      <c r="L5" s="624" t="s">
        <v>689</v>
      </c>
      <c r="M5" s="1012">
        <v>2020</v>
      </c>
      <c r="N5" s="623" t="s">
        <v>738</v>
      </c>
      <c r="O5" s="622" t="s">
        <v>761</v>
      </c>
      <c r="P5" s="622" t="s">
        <v>777</v>
      </c>
      <c r="Q5" s="624" t="s">
        <v>781</v>
      </c>
      <c r="R5" s="1012">
        <v>2021</v>
      </c>
      <c r="S5" s="623" t="s">
        <v>888</v>
      </c>
      <c r="T5" s="622" t="s">
        <v>899</v>
      </c>
      <c r="U5" s="622" t="s">
        <v>905</v>
      </c>
      <c r="V5" s="624" t="s">
        <v>916</v>
      </c>
      <c r="W5" s="624">
        <v>2022</v>
      </c>
      <c r="X5" s="623" t="s">
        <v>927</v>
      </c>
      <c r="Y5" s="622" t="s">
        <v>928</v>
      </c>
      <c r="Z5" s="622" t="s">
        <v>929</v>
      </c>
      <c r="AA5" s="624" t="s">
        <v>794</v>
      </c>
      <c r="AB5" s="624" t="s">
        <v>795</v>
      </c>
      <c r="AC5" s="623" t="s">
        <v>969</v>
      </c>
      <c r="AD5" s="622" t="s">
        <v>920</v>
      </c>
      <c r="AE5" s="622" t="s">
        <v>921</v>
      </c>
      <c r="AF5" s="624" t="s">
        <v>922</v>
      </c>
      <c r="AG5" s="624" t="s">
        <v>923</v>
      </c>
    </row>
    <row r="6" spans="3:33">
      <c r="C6" t="s">
        <v>925</v>
      </c>
      <c r="D6" s="160">
        <v>5.3999999999999999E-2</v>
      </c>
      <c r="E6" s="160">
        <v>7.3999999999999996E-2</v>
      </c>
      <c r="F6" s="160">
        <v>8.3000000000000004E-2</v>
      </c>
      <c r="G6" s="160">
        <v>0.10199999999999999</v>
      </c>
      <c r="H6" s="160">
        <v>7.9000000000000001E-2</v>
      </c>
      <c r="I6" s="160">
        <v>5.7000000000000002E-2</v>
      </c>
      <c r="J6" s="160">
        <v>-2.8000000000000001E-2</v>
      </c>
      <c r="K6" s="160">
        <v>2.7E-2</v>
      </c>
      <c r="L6" s="160">
        <v>-1.4999999999999999E-2</v>
      </c>
      <c r="M6" s="160">
        <v>8.9999999999999993E-3</v>
      </c>
      <c r="N6" s="160">
        <v>6.5000000000000002E-2</v>
      </c>
      <c r="O6" s="160">
        <v>0.123</v>
      </c>
      <c r="P6" s="160">
        <v>7.4999999999999997E-2</v>
      </c>
      <c r="Q6" s="160">
        <v>9.1999999999999998E-2</v>
      </c>
      <c r="R6" s="160">
        <v>8.7999999999999995E-2</v>
      </c>
      <c r="S6" s="160">
        <v>0.128</v>
      </c>
      <c r="T6" s="160">
        <v>5.8000000000000003E-2</v>
      </c>
      <c r="U6" s="160">
        <v>8.7999999999999995E-2</v>
      </c>
      <c r="V6" s="160">
        <v>5.8000000000000003E-2</v>
      </c>
      <c r="W6" s="160">
        <v>0.08</v>
      </c>
      <c r="X6" s="160">
        <v>7.2000000000000008E-2</v>
      </c>
      <c r="Y6" s="160">
        <v>0.10400000000000001</v>
      </c>
      <c r="Z6" s="160">
        <v>0.06</v>
      </c>
      <c r="AA6" s="163">
        <v>6.0999999999999999E-2</v>
      </c>
      <c r="AC6" s="163">
        <v>7.8E-2</v>
      </c>
    </row>
    <row r="7" spans="3:33">
      <c r="C7" t="s">
        <v>926</v>
      </c>
      <c r="D7" s="160"/>
      <c r="E7" s="160"/>
      <c r="F7" s="160"/>
      <c r="G7" s="160"/>
      <c r="H7" s="160"/>
      <c r="I7" s="160"/>
      <c r="J7" s="160"/>
      <c r="K7" s="160"/>
      <c r="L7" s="160"/>
      <c r="M7" s="160"/>
      <c r="N7" s="160"/>
      <c r="O7" s="160"/>
      <c r="P7" s="160"/>
      <c r="Q7" s="160"/>
      <c r="R7" s="160"/>
      <c r="S7" s="160"/>
      <c r="T7" s="160"/>
      <c r="U7" s="160">
        <v>0.112</v>
      </c>
      <c r="V7" s="160">
        <v>0.11</v>
      </c>
    </row>
    <row r="8" spans="3:33">
      <c r="C8" t="s">
        <v>924</v>
      </c>
      <c r="Q8" s="160">
        <v>9.5000000000000001E-2</v>
      </c>
      <c r="R8" s="160"/>
      <c r="V8" s="231">
        <v>0.08</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DBD57-CB02-4819-A17B-2B2244536D48}">
  <sheetPr>
    <pageSetUpPr fitToPage="1"/>
  </sheetPr>
  <dimension ref="D4:V97"/>
  <sheetViews>
    <sheetView showGridLines="0" zoomScale="85" zoomScaleNormal="85" workbookViewId="0">
      <selection activeCell="D30" sqref="D30"/>
    </sheetView>
  </sheetViews>
  <sheetFormatPr defaultRowHeight="14.25"/>
  <cols>
    <col min="4" max="5" width="27.59765625" bestFit="1" customWidth="1"/>
    <col min="6" max="6" width="14.3984375" bestFit="1" customWidth="1"/>
    <col min="7" max="7" width="12.59765625" bestFit="1" customWidth="1"/>
    <col min="8" max="8" width="14.3984375" bestFit="1" customWidth="1"/>
    <col min="9" max="10" width="23.3984375" bestFit="1" customWidth="1"/>
    <col min="11" max="11" width="12.59765625" bestFit="1" customWidth="1"/>
    <col min="12" max="12" width="33.59765625" bestFit="1" customWidth="1"/>
    <col min="13" max="13" width="14.59765625" bestFit="1" customWidth="1"/>
    <col min="14" max="14" width="12.59765625" bestFit="1" customWidth="1"/>
    <col min="15" max="15" width="24.3984375" customWidth="1"/>
    <col min="16" max="17" width="23.3984375" bestFit="1" customWidth="1"/>
    <col min="18" max="19" width="19.3984375" bestFit="1" customWidth="1"/>
    <col min="20" max="20" width="20.59765625" bestFit="1" customWidth="1"/>
    <col min="21" max="21" width="13.59765625" bestFit="1" customWidth="1"/>
    <col min="22" max="22" width="10.59765625" bestFit="1" customWidth="1"/>
    <col min="23" max="23" width="12.3984375" customWidth="1"/>
    <col min="24" max="24" width="10.59765625" bestFit="1" customWidth="1"/>
  </cols>
  <sheetData>
    <row r="4" spans="4:22" ht="14.65" thickBot="1"/>
    <row r="5" spans="4:22">
      <c r="D5" t="s">
        <v>693</v>
      </c>
      <c r="E5" s="547"/>
      <c r="F5" s="1168">
        <v>2019</v>
      </c>
      <c r="G5" s="1168"/>
      <c r="H5" s="1168"/>
      <c r="I5" s="548"/>
      <c r="J5" s="1168">
        <v>2020</v>
      </c>
      <c r="K5" s="1168"/>
      <c r="L5" s="1168"/>
      <c r="M5" s="1169"/>
      <c r="Q5" s="547"/>
      <c r="R5" s="1168" t="s">
        <v>691</v>
      </c>
      <c r="S5" s="1168"/>
      <c r="T5" s="1169"/>
      <c r="V5" t="s">
        <v>705</v>
      </c>
    </row>
    <row r="6" spans="4:22">
      <c r="E6" s="152"/>
      <c r="F6" s="186" t="s">
        <v>561</v>
      </c>
      <c r="G6" s="186" t="s">
        <v>701</v>
      </c>
      <c r="H6" s="186" t="s">
        <v>702</v>
      </c>
      <c r="I6" s="549"/>
      <c r="J6" s="186" t="s">
        <v>561</v>
      </c>
      <c r="K6" s="186" t="s">
        <v>701</v>
      </c>
      <c r="L6" s="186"/>
      <c r="M6" s="540" t="s">
        <v>702</v>
      </c>
      <c r="Q6" s="152"/>
      <c r="R6" s="186" t="s">
        <v>561</v>
      </c>
      <c r="S6" s="186" t="s">
        <v>701</v>
      </c>
      <c r="T6" s="540" t="s">
        <v>702</v>
      </c>
    </row>
    <row r="7" spans="4:22">
      <c r="E7" s="152" t="s">
        <v>390</v>
      </c>
      <c r="F7" s="541">
        <f>'Income Statement'!BL23</f>
        <v>1091356</v>
      </c>
      <c r="G7" s="541">
        <v>354205</v>
      </c>
      <c r="H7" s="541">
        <f>F7+G7</f>
        <v>1445561</v>
      </c>
      <c r="I7" s="549"/>
      <c r="J7" s="541">
        <f>'Income Statement'!BQ23</f>
        <v>1117454</v>
      </c>
      <c r="K7" s="541">
        <v>460454</v>
      </c>
      <c r="L7" s="541"/>
      <c r="M7" s="542">
        <f>J7+K7</f>
        <v>1577908</v>
      </c>
      <c r="Q7" s="152" t="s">
        <v>390</v>
      </c>
      <c r="R7" s="541">
        <f>'Income Statement'!BV23</f>
        <v>1594965</v>
      </c>
      <c r="S7" s="541">
        <v>464700</v>
      </c>
      <c r="T7" s="542">
        <f>R7+S7</f>
        <v>2059665</v>
      </c>
      <c r="V7" s="230">
        <f>+K7-81200</f>
        <v>379254</v>
      </c>
    </row>
    <row r="8" spans="4:22">
      <c r="E8" s="552" t="s">
        <v>637</v>
      </c>
      <c r="F8" s="553">
        <f>'Income Statement'!BL24</f>
        <v>0.16137778969637373</v>
      </c>
      <c r="G8" s="554">
        <v>2.7E-2</v>
      </c>
      <c r="H8" s="553">
        <f>((H7)/(320584+'Income Statement'!BG23))-1</f>
        <v>0.14700482110495039</v>
      </c>
      <c r="I8" s="555"/>
      <c r="J8" s="553">
        <f>'Income Statement'!BQ24</f>
        <v>2.3913370156026126E-2</v>
      </c>
      <c r="K8" s="554">
        <v>0.3</v>
      </c>
      <c r="L8" s="554"/>
      <c r="M8" s="556">
        <f>+M7/H7-1</f>
        <v>9.1554074853984035E-2</v>
      </c>
      <c r="N8" s="496"/>
      <c r="O8" s="496"/>
      <c r="P8" s="496"/>
      <c r="Q8" s="552" t="s">
        <v>637</v>
      </c>
      <c r="R8" s="553">
        <f>'Income Statement'!BV24</f>
        <v>0.4273204982039529</v>
      </c>
      <c r="S8" s="553">
        <v>8.9999999999999993E-3</v>
      </c>
      <c r="T8" s="556">
        <f>+T7/M7-1</f>
        <v>0.30531374452756443</v>
      </c>
    </row>
    <row r="9" spans="4:22">
      <c r="E9" s="152"/>
      <c r="F9" s="186"/>
      <c r="G9" s="186"/>
      <c r="H9" s="186"/>
      <c r="I9" s="549"/>
      <c r="J9" s="186"/>
      <c r="K9" s="186"/>
      <c r="L9" s="186"/>
      <c r="M9" s="540"/>
      <c r="Q9" s="152"/>
      <c r="R9" s="186"/>
      <c r="S9" s="186"/>
      <c r="T9" s="540"/>
    </row>
    <row r="10" spans="4:22">
      <c r="E10" s="152" t="s">
        <v>694</v>
      </c>
      <c r="F10" s="541">
        <f>'Income Statement'!BL38</f>
        <v>523883</v>
      </c>
      <c r="G10" s="541">
        <v>215526</v>
      </c>
      <c r="H10" s="541">
        <f>F10+G10</f>
        <v>739409</v>
      </c>
      <c r="I10" s="549"/>
      <c r="J10" s="541">
        <f>'Income Statement'!BQ38</f>
        <v>524064</v>
      </c>
      <c r="K10" s="541">
        <v>292986</v>
      </c>
      <c r="L10" s="541"/>
      <c r="M10" s="542">
        <f>J10+K10</f>
        <v>817050</v>
      </c>
      <c r="Q10" s="152" t="s">
        <v>694</v>
      </c>
      <c r="R10" s="541">
        <f>'Income Statement'!BV38</f>
        <v>813337</v>
      </c>
      <c r="S10" s="541">
        <f>+S7-175200-2000</f>
        <v>287500</v>
      </c>
      <c r="T10" s="542">
        <f>R10+S10</f>
        <v>1100837</v>
      </c>
    </row>
    <row r="11" spans="4:22">
      <c r="E11" s="552" t="s">
        <v>695</v>
      </c>
      <c r="F11" s="553">
        <f>((F7-F10)/(F7))</f>
        <v>0.51997056872367953</v>
      </c>
      <c r="G11" s="553">
        <f>((G7-G10)/(G7))</f>
        <v>0.39152185881057577</v>
      </c>
      <c r="H11" s="553">
        <f>((H7-H10)/(H7))</f>
        <v>0.48849685347072869</v>
      </c>
      <c r="I11" s="557"/>
      <c r="J11" s="553">
        <f>((J7-J10)/(J7))</f>
        <v>0.53101962138933678</v>
      </c>
      <c r="K11" s="553">
        <f>((K7-K10)/(K7))</f>
        <v>0.36370191159160309</v>
      </c>
      <c r="L11" s="553"/>
      <c r="M11" s="556">
        <f>((M7-M10)/(M7))</f>
        <v>0.48219414566628727</v>
      </c>
      <c r="N11" s="164"/>
      <c r="O11" s="164"/>
      <c r="P11" s="164"/>
      <c r="Q11" s="552" t="s">
        <v>695</v>
      </c>
      <c r="R11" s="553">
        <f>((R7-R10)/(R7))</f>
        <v>0.49005965648149019</v>
      </c>
      <c r="S11" s="553">
        <f>((S7-S10)/(S7))</f>
        <v>0.38132128254788034</v>
      </c>
      <c r="T11" s="556">
        <f>((T7-T10)/(T7))</f>
        <v>0.46552618993865508</v>
      </c>
    </row>
    <row r="12" spans="4:22">
      <c r="E12" s="152"/>
      <c r="F12" s="186"/>
      <c r="G12" s="186"/>
      <c r="H12" s="186"/>
      <c r="I12" s="549"/>
      <c r="J12" s="186"/>
      <c r="K12" s="186"/>
      <c r="L12" s="186"/>
      <c r="M12" s="540"/>
      <c r="Q12" s="152"/>
      <c r="R12" s="186"/>
      <c r="S12" s="186"/>
      <c r="T12" s="540"/>
    </row>
    <row r="13" spans="4:22">
      <c r="E13" s="152" t="s">
        <v>719</v>
      </c>
      <c r="F13" s="541">
        <f>'Income Statement'!BL75</f>
        <v>302928</v>
      </c>
      <c r="G13" s="541">
        <v>83325</v>
      </c>
      <c r="H13" s="541">
        <f>F13+G13</f>
        <v>386253</v>
      </c>
      <c r="I13" s="549"/>
      <c r="J13" s="541">
        <f>'Income Statement'!BQ75</f>
        <v>323298</v>
      </c>
      <c r="K13" s="541">
        <v>108836</v>
      </c>
      <c r="L13" s="541"/>
      <c r="M13" s="542">
        <f>J13+K13</f>
        <v>432134</v>
      </c>
      <c r="Q13" s="152" t="s">
        <v>719</v>
      </c>
      <c r="R13" s="541">
        <f>'Income Statement'!BV75</f>
        <v>427039</v>
      </c>
      <c r="S13" s="541">
        <v>109205</v>
      </c>
      <c r="T13" s="542">
        <f>R13+S13</f>
        <v>536244</v>
      </c>
      <c r="V13" s="230">
        <f>+K13-15000</f>
        <v>93836</v>
      </c>
    </row>
    <row r="14" spans="4:22">
      <c r="E14" s="552" t="s">
        <v>720</v>
      </c>
      <c r="F14" s="553">
        <f>F13/F7</f>
        <v>0.27757028870506051</v>
      </c>
      <c r="G14" s="553">
        <f>G13/G7</f>
        <v>0.2352451264098474</v>
      </c>
      <c r="H14" s="553">
        <f>H13/H7</f>
        <v>0.26719937795776172</v>
      </c>
      <c r="I14" s="558"/>
      <c r="J14" s="553">
        <f>J13/J7</f>
        <v>0.28931660721604646</v>
      </c>
      <c r="K14" s="553">
        <f>K13/K7</f>
        <v>0.23636671632779821</v>
      </c>
      <c r="L14" s="553"/>
      <c r="M14" s="556">
        <f>M13/M7</f>
        <v>0.2738651429614401</v>
      </c>
      <c r="N14" s="164"/>
      <c r="O14" s="164"/>
      <c r="P14" s="164"/>
      <c r="Q14" s="552" t="s">
        <v>720</v>
      </c>
      <c r="R14" s="553">
        <f>R13/R7</f>
        <v>0.26774192537140312</v>
      </c>
      <c r="S14" s="553">
        <f>S13/S7</f>
        <v>0.23500107596298686</v>
      </c>
      <c r="T14" s="556">
        <f>T13/T7</f>
        <v>0.26035496063680258</v>
      </c>
      <c r="V14" s="160">
        <f>V13/V7</f>
        <v>0.24742257168019322</v>
      </c>
    </row>
    <row r="15" spans="4:22">
      <c r="E15" s="152"/>
      <c r="F15" s="186"/>
      <c r="G15" s="186"/>
      <c r="H15" s="186"/>
      <c r="I15" s="549"/>
      <c r="J15" s="186"/>
      <c r="K15" s="186"/>
      <c r="L15" s="186"/>
      <c r="M15" s="540"/>
      <c r="Q15" s="152"/>
      <c r="R15" s="186"/>
      <c r="S15" s="186"/>
      <c r="T15" s="540"/>
    </row>
    <row r="16" spans="4:22">
      <c r="E16" s="152" t="s">
        <v>698</v>
      </c>
      <c r="F16" s="541">
        <f>'Income Statement'!BL78</f>
        <v>279708</v>
      </c>
      <c r="G16" s="541">
        <f>+G13+2514-12610+8300</f>
        <v>81529</v>
      </c>
      <c r="H16" s="541">
        <f>F16+G16</f>
        <v>361237</v>
      </c>
      <c r="I16" s="549"/>
      <c r="J16" s="541">
        <f>'Income Statement'!BQ78</f>
        <v>298660</v>
      </c>
      <c r="K16" s="541">
        <f>+K13+389-14245+10100</f>
        <v>105080</v>
      </c>
      <c r="L16" s="541"/>
      <c r="M16" s="542">
        <f>J16+K16</f>
        <v>403740</v>
      </c>
      <c r="Q16" s="152" t="s">
        <v>698</v>
      </c>
      <c r="R16" s="541">
        <f>'Income Statement'!BV78</f>
        <v>390173</v>
      </c>
      <c r="S16" s="541">
        <f>+S13-4000</f>
        <v>105205</v>
      </c>
      <c r="T16" s="542">
        <f>R16+S16</f>
        <v>495378</v>
      </c>
    </row>
    <row r="17" spans="5:20">
      <c r="E17" s="552" t="s">
        <v>697</v>
      </c>
      <c r="F17" s="553">
        <f>'Income Statement'!BL80</f>
        <v>0.24000028601255596</v>
      </c>
      <c r="G17" s="554">
        <v>0.24</v>
      </c>
      <c r="H17" s="554">
        <v>0.24</v>
      </c>
      <c r="I17" s="558"/>
      <c r="J17" s="553">
        <f>'Income Statement'!BQ80</f>
        <v>0.24240608049286813</v>
      </c>
      <c r="K17" s="554">
        <v>0.24</v>
      </c>
      <c r="L17" s="554"/>
      <c r="M17" s="559">
        <v>0.24</v>
      </c>
      <c r="N17" s="164"/>
      <c r="O17" s="164"/>
      <c r="P17" s="164"/>
      <c r="Q17" s="552" t="s">
        <v>697</v>
      </c>
      <c r="R17" s="553">
        <f>'Income Statement'!BV80</f>
        <v>0.24000123022351624</v>
      </c>
      <c r="S17" s="554">
        <v>0.24</v>
      </c>
      <c r="T17" s="559">
        <v>0.24</v>
      </c>
    </row>
    <row r="18" spans="5:20">
      <c r="E18" s="152" t="s">
        <v>699</v>
      </c>
      <c r="F18" s="541">
        <f>'Income Statement'!BL81</f>
        <v>212578</v>
      </c>
      <c r="G18" s="541">
        <f>+G16*(1-G17)</f>
        <v>61962.04</v>
      </c>
      <c r="H18" s="541">
        <f>F18+G18</f>
        <v>274540.03999999998</v>
      </c>
      <c r="I18" s="549"/>
      <c r="J18" s="541">
        <f>'Income Statement'!BQ81</f>
        <v>226263</v>
      </c>
      <c r="K18" s="541">
        <f>+K16*(1-K17)</f>
        <v>79860.800000000003</v>
      </c>
      <c r="L18" s="541"/>
      <c r="M18" s="542">
        <f>J18+K18</f>
        <v>306123.8</v>
      </c>
      <c r="Q18" s="152" t="s">
        <v>699</v>
      </c>
      <c r="R18" s="541">
        <f>'Income Statement'!BV81</f>
        <v>296531</v>
      </c>
      <c r="S18" s="541">
        <f>+S16*(1-S17)</f>
        <v>79955.8</v>
      </c>
      <c r="T18" s="542">
        <f>R18+S18</f>
        <v>376486.8</v>
      </c>
    </row>
    <row r="19" spans="5:20">
      <c r="E19" s="552" t="s">
        <v>700</v>
      </c>
      <c r="F19" s="553">
        <f>+F18/F7</f>
        <v>0.19478337041258764</v>
      </c>
      <c r="G19" s="553">
        <f>+G18/G7</f>
        <v>0.17493270845979023</v>
      </c>
      <c r="H19" s="553">
        <f>+H18/H7</f>
        <v>0.18991937386246585</v>
      </c>
      <c r="I19" s="558"/>
      <c r="J19" s="553">
        <f>+J18/J7</f>
        <v>0.20248081800235176</v>
      </c>
      <c r="K19" s="553">
        <f>+K18/K7</f>
        <v>0.17343925777602107</v>
      </c>
      <c r="L19" s="553"/>
      <c r="M19" s="556">
        <f>+M18/M7</f>
        <v>0.1940061144249221</v>
      </c>
      <c r="N19" s="164"/>
      <c r="O19" s="164"/>
      <c r="P19" s="164"/>
      <c r="Q19" s="552" t="s">
        <v>700</v>
      </c>
      <c r="R19" s="553">
        <f>+R18/R7</f>
        <v>0.18591693234647783</v>
      </c>
      <c r="S19" s="553">
        <f>+S18/S7</f>
        <v>0.17205896277168067</v>
      </c>
      <c r="T19" s="556">
        <f>+T18/T7</f>
        <v>0.18279030813263322</v>
      </c>
    </row>
    <row r="20" spans="5:20">
      <c r="E20" s="152"/>
      <c r="F20" s="186"/>
      <c r="G20" s="186"/>
      <c r="H20" s="186"/>
      <c r="I20" s="549"/>
      <c r="J20" s="186"/>
      <c r="K20" s="186"/>
      <c r="L20" s="186"/>
      <c r="M20" s="540"/>
      <c r="Q20" s="152"/>
      <c r="R20" s="186"/>
      <c r="S20" s="186"/>
      <c r="T20" s="540"/>
    </row>
    <row r="21" spans="5:20" ht="14.65" thickBot="1">
      <c r="E21" s="277" t="s">
        <v>127</v>
      </c>
      <c r="F21" s="545">
        <f>'Income Statement'!BL90</f>
        <v>5.3025854650220134</v>
      </c>
      <c r="G21" s="545"/>
      <c r="H21" s="545">
        <f>H18/'Income Statement'!BL96</f>
        <v>6.8481782012746475</v>
      </c>
      <c r="I21" s="551"/>
      <c r="J21" s="545">
        <f>'Income Statement'!BQ90</f>
        <v>5.4373152620575302</v>
      </c>
      <c r="K21" s="545"/>
      <c r="L21" s="545"/>
      <c r="M21" s="546">
        <f>M18/'Income Statement'!BQ96</f>
        <v>7.3564463028380551</v>
      </c>
      <c r="Q21" s="277" t="s">
        <v>127</v>
      </c>
      <c r="R21" s="545">
        <f>'Income Statement'!BV90</f>
        <v>7.0196482257415429</v>
      </c>
      <c r="S21" s="545"/>
      <c r="T21" s="546">
        <f>T18/'Income Statement'!BV96</f>
        <v>8.9124067892905323</v>
      </c>
    </row>
    <row r="27" spans="5:20">
      <c r="E27">
        <v>2011</v>
      </c>
      <c r="F27">
        <v>2012</v>
      </c>
      <c r="G27">
        <v>2013</v>
      </c>
      <c r="H27">
        <v>2014</v>
      </c>
      <c r="I27">
        <v>2015</v>
      </c>
      <c r="J27">
        <v>2016</v>
      </c>
      <c r="K27">
        <v>2017</v>
      </c>
      <c r="L27">
        <v>2018</v>
      </c>
      <c r="M27">
        <v>2019</v>
      </c>
      <c r="N27">
        <v>2020</v>
      </c>
    </row>
    <row r="28" spans="5:20">
      <c r="E28">
        <v>180.9</v>
      </c>
      <c r="F28">
        <v>211.14</v>
      </c>
      <c r="G28">
        <v>249.28</v>
      </c>
      <c r="H28">
        <v>272.10000000000002</v>
      </c>
      <c r="I28">
        <v>292.38</v>
      </c>
      <c r="J28">
        <v>317.91000000000003</v>
      </c>
      <c r="K28">
        <v>336.51</v>
      </c>
      <c r="L28">
        <v>344.9</v>
      </c>
      <c r="M28">
        <v>354.21</v>
      </c>
    </row>
    <row r="29" spans="5:20">
      <c r="F29" s="160">
        <f t="shared" ref="F29:M29" si="0">F28/E28-1</f>
        <v>0.16716417910447756</v>
      </c>
      <c r="G29" s="160">
        <f t="shared" si="0"/>
        <v>0.18063843895045939</v>
      </c>
      <c r="H29" s="160">
        <f t="shared" si="0"/>
        <v>9.1543645699615039E-2</v>
      </c>
      <c r="I29" s="160">
        <f t="shared" si="0"/>
        <v>7.4531422271223668E-2</v>
      </c>
      <c r="J29" s="160">
        <f t="shared" si="0"/>
        <v>8.7317873999589679E-2</v>
      </c>
      <c r="K29" s="160">
        <f t="shared" si="0"/>
        <v>5.850712465792185E-2</v>
      </c>
      <c r="L29" s="160">
        <f>L28/K28-1</f>
        <v>2.4932394282487946E-2</v>
      </c>
      <c r="M29" s="160">
        <f t="shared" si="0"/>
        <v>2.6993331400405829E-2</v>
      </c>
    </row>
    <row r="31" spans="5:20">
      <c r="E31" t="s">
        <v>712</v>
      </c>
      <c r="F31" s="160">
        <f>'Income Statement'!AC55</f>
        <v>0.19310274590976151</v>
      </c>
      <c r="G31" s="160">
        <f>'Income Statement'!AH55</f>
        <v>0.2072709729912659</v>
      </c>
      <c r="H31" s="160">
        <f>'Income Statement'!AM55</f>
        <v>0.23637753725910107</v>
      </c>
      <c r="I31" s="160">
        <f>'Income Statement'!AR55</f>
        <v>0.25103114035456758</v>
      </c>
      <c r="J31" s="160">
        <f>'Income Statement'!AW55</f>
        <v>0.27674940055731967</v>
      </c>
      <c r="K31" s="160">
        <f>'Income Statement'!BB55</f>
        <v>0.28046292985367721</v>
      </c>
      <c r="L31" s="160">
        <f>'Income Statement'!BG55</f>
        <v>0.2663157065811933</v>
      </c>
      <c r="M31" s="160">
        <f>'Income Statement'!BL55</f>
        <v>0.25311355781248279</v>
      </c>
      <c r="N31" s="160">
        <f>'Income Statement'!BQ55</f>
        <v>0.26537468208982207</v>
      </c>
    </row>
    <row r="32" spans="5:20">
      <c r="E32" t="s">
        <v>713</v>
      </c>
      <c r="F32" s="160">
        <f>'Cash Flows'!AC43</f>
        <v>0.13643119811507717</v>
      </c>
      <c r="G32" s="160">
        <f>'Cash Flows'!AH43</f>
        <v>9.4162148410029692E-2</v>
      </c>
      <c r="H32" s="160">
        <f>'Cash Flows'!AM43</f>
        <v>0.23138058937215703</v>
      </c>
      <c r="I32" s="160">
        <f>'Cash Flows'!AR43</f>
        <v>0.12875497479995623</v>
      </c>
      <c r="J32" s="160">
        <f>'Cash Flows'!AW43</f>
        <v>0.19977059166612662</v>
      </c>
      <c r="K32" s="160">
        <f>'Cash Flows'!BB43</f>
        <v>0.18140012283655016</v>
      </c>
      <c r="L32" s="160">
        <f>'Cash Flows'!BG43</f>
        <v>0.23707257999293396</v>
      </c>
      <c r="M32" s="160">
        <f>'Cash Flows'!BL43</f>
        <v>0.19487683212443968</v>
      </c>
      <c r="N32" s="160">
        <f>'Cash Flows'!BQ43</f>
        <v>0.28961371116842394</v>
      </c>
      <c r="P32" s="464">
        <f>AVERAGE(J32:N32)</f>
        <v>0.22054676755769487</v>
      </c>
    </row>
    <row r="33" spans="4:17">
      <c r="F33" s="464">
        <f t="shared" ref="F33:N33" si="1">F31-F32</f>
        <v>5.6671547794684335E-2</v>
      </c>
      <c r="G33" s="464">
        <f t="shared" si="1"/>
        <v>0.11310882458123621</v>
      </c>
      <c r="H33" s="464">
        <f t="shared" si="1"/>
        <v>4.9969478869440476E-3</v>
      </c>
      <c r="I33" s="464">
        <f t="shared" si="1"/>
        <v>0.12227616555461135</v>
      </c>
      <c r="J33" s="464">
        <f t="shared" si="1"/>
        <v>7.6978808891193046E-2</v>
      </c>
      <c r="K33" s="464">
        <f t="shared" si="1"/>
        <v>9.9062807017127053E-2</v>
      </c>
      <c r="L33" s="464">
        <f t="shared" si="1"/>
        <v>2.9243126588259338E-2</v>
      </c>
      <c r="M33" s="464">
        <f t="shared" si="1"/>
        <v>5.8236725688043112E-2</v>
      </c>
      <c r="N33" s="464">
        <f t="shared" si="1"/>
        <v>-2.423902907860187E-2</v>
      </c>
    </row>
    <row r="34" spans="4:17">
      <c r="F34" s="464"/>
      <c r="G34" s="464"/>
      <c r="H34" s="464"/>
      <c r="I34" s="464"/>
      <c r="J34" s="464"/>
      <c r="K34" s="464"/>
      <c r="L34" s="464"/>
      <c r="M34" s="464"/>
      <c r="N34" s="464"/>
    </row>
    <row r="35" spans="4:17">
      <c r="E35" t="s">
        <v>728</v>
      </c>
      <c r="F35" s="231">
        <f>'Income Statement'!AC82</f>
        <v>0.11663510448549974</v>
      </c>
      <c r="G35" s="231">
        <f>'Income Statement'!AH82</f>
        <v>0.12556793225855228</v>
      </c>
      <c r="H35" s="231">
        <f>'Income Statement'!AM82</f>
        <v>0.15010717885382507</v>
      </c>
      <c r="I35" s="231">
        <f>'Income Statement'!AR82</f>
        <v>0.15596597363040496</v>
      </c>
      <c r="J35" s="231">
        <f>'Income Statement'!AW82</f>
        <v>0.17607154429395372</v>
      </c>
      <c r="K35" s="231">
        <f>'Income Statement'!BB82</f>
        <v>0.18283875980227354</v>
      </c>
      <c r="L35" s="231">
        <f>'Income Statement'!BG82</f>
        <v>0.20513287106207459</v>
      </c>
      <c r="M35" s="231">
        <f>'Income Statement'!BL82</f>
        <v>0.19478337041258764</v>
      </c>
      <c r="N35" s="231">
        <f>'Income Statement'!BQ82</f>
        <v>0.20248081800235176</v>
      </c>
    </row>
    <row r="36" spans="4:17">
      <c r="F36" s="464"/>
      <c r="G36" s="464"/>
      <c r="H36" s="464"/>
      <c r="I36" s="464"/>
      <c r="J36" s="464"/>
      <c r="K36" s="464"/>
      <c r="L36" s="464"/>
      <c r="M36" s="464"/>
      <c r="N36" s="464"/>
      <c r="O36" s="464"/>
    </row>
    <row r="37" spans="4:17">
      <c r="D37" t="s">
        <v>704</v>
      </c>
    </row>
    <row r="38" spans="4:17">
      <c r="D38" s="230">
        <f>+K7-81200</f>
        <v>379254</v>
      </c>
    </row>
    <row r="39" spans="4:17">
      <c r="D39" s="160">
        <f>+D38/G7-1</f>
        <v>7.0718933950678187E-2</v>
      </c>
    </row>
    <row r="40" spans="4:17">
      <c r="E40" t="s">
        <v>706</v>
      </c>
    </row>
    <row r="41" spans="4:17">
      <c r="D41">
        <f>15/81.2</f>
        <v>0.18472906403940886</v>
      </c>
      <c r="E41" t="s">
        <v>707</v>
      </c>
    </row>
    <row r="42" spans="4:17" ht="14.65" thickBot="1"/>
    <row r="43" spans="4:17">
      <c r="E43" s="1170" t="s">
        <v>703</v>
      </c>
      <c r="F43" s="1171"/>
      <c r="G43" s="1171"/>
      <c r="H43" s="1171"/>
      <c r="I43" s="1171"/>
      <c r="J43" s="1172"/>
      <c r="L43" s="1170" t="s">
        <v>717</v>
      </c>
      <c r="M43" s="1171"/>
      <c r="N43" s="1171"/>
      <c r="O43" s="1171"/>
      <c r="P43" s="1171"/>
      <c r="Q43" s="1172"/>
    </row>
    <row r="44" spans="4:17" ht="15" customHeight="1">
      <c r="E44" s="566"/>
      <c r="F44" s="567" t="s">
        <v>561</v>
      </c>
      <c r="G44" s="582" t="s">
        <v>701</v>
      </c>
      <c r="H44" s="567" t="s">
        <v>702</v>
      </c>
      <c r="I44" s="582" t="s">
        <v>702</v>
      </c>
      <c r="J44" s="568" t="s">
        <v>702</v>
      </c>
      <c r="K44" s="141"/>
      <c r="L44" s="566"/>
      <c r="M44" s="567" t="s">
        <v>561</v>
      </c>
      <c r="N44" s="582" t="s">
        <v>701</v>
      </c>
      <c r="O44" s="567" t="s">
        <v>702</v>
      </c>
      <c r="P44" s="582" t="s">
        <v>702</v>
      </c>
      <c r="Q44" s="568" t="s">
        <v>702</v>
      </c>
    </row>
    <row r="45" spans="4:17" ht="15" customHeight="1">
      <c r="E45" s="566"/>
      <c r="F45" s="567"/>
      <c r="G45" s="582"/>
      <c r="H45" s="567" t="s">
        <v>724</v>
      </c>
      <c r="I45" s="582" t="s">
        <v>726</v>
      </c>
      <c r="J45" s="568" t="s">
        <v>725</v>
      </c>
      <c r="K45" s="141"/>
      <c r="L45" s="566"/>
      <c r="M45" s="567"/>
      <c r="N45" s="582"/>
      <c r="O45" s="567" t="s">
        <v>724</v>
      </c>
      <c r="P45" s="582" t="s">
        <v>726</v>
      </c>
      <c r="Q45" s="568" t="s">
        <v>725</v>
      </c>
    </row>
    <row r="46" spans="4:17">
      <c r="E46" s="152" t="s">
        <v>390</v>
      </c>
      <c r="F46" s="541">
        <f>R7*1.05</f>
        <v>1674713.25</v>
      </c>
      <c r="G46" s="599">
        <f>+V7*1.04*1.04</f>
        <v>410201.12640000007</v>
      </c>
      <c r="H46" s="541">
        <f>+G46+F46</f>
        <v>2084914.3764</v>
      </c>
      <c r="I46" s="549"/>
      <c r="J46" s="540"/>
      <c r="L46" s="152" t="s">
        <v>390</v>
      </c>
      <c r="M46" s="576">
        <f>F46</f>
        <v>1674713.25</v>
      </c>
      <c r="N46" s="583">
        <f>+S7*1.03</f>
        <v>478641</v>
      </c>
      <c r="O46" s="576">
        <f>+N46+M46</f>
        <v>2153354.25</v>
      </c>
      <c r="P46" s="585"/>
      <c r="Q46" s="191"/>
    </row>
    <row r="47" spans="4:17" s="164" customFormat="1" ht="11.65">
      <c r="E47" s="552" t="s">
        <v>637</v>
      </c>
      <c r="F47" s="553">
        <f>F46/R7-1</f>
        <v>5.0000000000000044E-2</v>
      </c>
      <c r="G47" s="594">
        <v>0.04</v>
      </c>
      <c r="H47" s="465"/>
      <c r="I47" s="558"/>
      <c r="J47" s="593"/>
      <c r="L47" s="552" t="s">
        <v>637</v>
      </c>
      <c r="M47" s="571">
        <f>F47</f>
        <v>5.0000000000000044E-2</v>
      </c>
      <c r="N47" s="584">
        <v>0.03</v>
      </c>
      <c r="P47" s="588"/>
      <c r="Q47" s="572"/>
    </row>
    <row r="48" spans="4:17">
      <c r="E48" s="152"/>
      <c r="F48" s="543"/>
      <c r="G48" s="595"/>
      <c r="H48" s="186"/>
      <c r="I48" s="549"/>
      <c r="J48" s="540"/>
      <c r="L48" s="152"/>
      <c r="N48" s="585"/>
      <c r="P48" s="585"/>
      <c r="Q48" s="191"/>
    </row>
    <row r="49" spans="5:17">
      <c r="E49" s="152" t="s">
        <v>694</v>
      </c>
      <c r="F49" s="541">
        <f>((F46)*(1-F50))</f>
        <v>803862.36</v>
      </c>
      <c r="G49" s="599">
        <f>((G46)*(1-G50))</f>
        <v>250222.68710400004</v>
      </c>
      <c r="H49" s="541">
        <f>+G49+F49</f>
        <v>1054085.0471040001</v>
      </c>
      <c r="I49" s="549"/>
      <c r="J49" s="540"/>
      <c r="L49" s="152" t="s">
        <v>694</v>
      </c>
      <c r="M49" s="576">
        <f>F49</f>
        <v>803862.36</v>
      </c>
      <c r="N49" s="583">
        <f>((N46)*(1-N50))</f>
        <v>291971.01</v>
      </c>
      <c r="O49" s="576">
        <f>+N49+M49</f>
        <v>1095833.3700000001</v>
      </c>
      <c r="P49" s="585"/>
      <c r="Q49" s="191"/>
    </row>
    <row r="50" spans="5:17" s="164" customFormat="1" ht="11.65">
      <c r="E50" s="552" t="s">
        <v>695</v>
      </c>
      <c r="F50" s="554">
        <v>0.52</v>
      </c>
      <c r="G50" s="555">
        <v>0.39</v>
      </c>
      <c r="H50" s="554">
        <f>((H46-H49)/(H46))</f>
        <v>0.49442286022120591</v>
      </c>
      <c r="I50" s="558"/>
      <c r="J50" s="593"/>
      <c r="L50" s="552" t="s">
        <v>695</v>
      </c>
      <c r="M50" s="571">
        <f>F50</f>
        <v>0.52</v>
      </c>
      <c r="N50" s="586">
        <f>+G50</f>
        <v>0.39</v>
      </c>
      <c r="O50" s="571">
        <f>((O46-O49)/(O46))</f>
        <v>0.49110399740312116</v>
      </c>
      <c r="P50" s="588"/>
      <c r="Q50" s="572"/>
    </row>
    <row r="51" spans="5:17">
      <c r="E51" s="152"/>
      <c r="F51" s="186"/>
      <c r="G51" s="549"/>
      <c r="H51" s="186"/>
      <c r="I51" s="549"/>
      <c r="J51" s="540"/>
      <c r="L51" s="152"/>
      <c r="N51" s="585"/>
      <c r="P51" s="585"/>
      <c r="Q51" s="191"/>
    </row>
    <row r="52" spans="5:17">
      <c r="E52" s="152" t="s">
        <v>708</v>
      </c>
      <c r="F52" s="541">
        <f>+F53*F46</f>
        <v>427051.87875000003</v>
      </c>
      <c r="G52" s="599">
        <f>+G53*G46</f>
        <v>82040.225280000013</v>
      </c>
      <c r="H52" s="541">
        <f>+G52+F52</f>
        <v>509092.10403000005</v>
      </c>
      <c r="I52" s="549"/>
      <c r="J52" s="540"/>
      <c r="L52" s="152" t="s">
        <v>708</v>
      </c>
      <c r="M52" s="576">
        <f>F52</f>
        <v>427051.87875000003</v>
      </c>
      <c r="N52" s="583">
        <f>+N53*N46</f>
        <v>107215.584</v>
      </c>
      <c r="O52" s="576">
        <f>+N52+M52</f>
        <v>534267.46275000006</v>
      </c>
      <c r="P52" s="585"/>
      <c r="Q52" s="191"/>
    </row>
    <row r="53" spans="5:17" s="164" customFormat="1" ht="11.65">
      <c r="E53" s="552" t="s">
        <v>696</v>
      </c>
      <c r="F53" s="553">
        <v>0.255</v>
      </c>
      <c r="G53" s="597">
        <v>0.2</v>
      </c>
      <c r="H53" s="553">
        <f>+H52/H46</f>
        <v>0.24417890240127949</v>
      </c>
      <c r="I53" s="558"/>
      <c r="J53" s="593"/>
      <c r="L53" s="552" t="s">
        <v>696</v>
      </c>
      <c r="M53" s="573">
        <f>F53</f>
        <v>0.255</v>
      </c>
      <c r="N53" s="584">
        <v>0.224</v>
      </c>
      <c r="O53" s="573">
        <f>+O52/O46</f>
        <v>0.24810941476535969</v>
      </c>
      <c r="P53" s="588"/>
      <c r="Q53" s="572"/>
    </row>
    <row r="54" spans="5:17">
      <c r="E54" s="152"/>
      <c r="F54" s="544"/>
      <c r="G54" s="550"/>
      <c r="H54" s="544"/>
      <c r="I54" s="549"/>
      <c r="J54" s="540"/>
      <c r="L54" s="152"/>
      <c r="N54" s="585"/>
      <c r="P54" s="585"/>
      <c r="Q54" s="191"/>
    </row>
    <row r="55" spans="5:17">
      <c r="E55" s="152" t="s">
        <v>719</v>
      </c>
      <c r="F55" s="541">
        <f>+F56*F46</f>
        <v>485666.84249999997</v>
      </c>
      <c r="G55" s="599">
        <f>+G56*G46</f>
        <v>96397.264704000016</v>
      </c>
      <c r="H55" s="541">
        <f>+G55+F55</f>
        <v>582064.107204</v>
      </c>
      <c r="I55" s="549"/>
      <c r="J55" s="540"/>
      <c r="L55" s="152" t="s">
        <v>719</v>
      </c>
      <c r="M55" s="576">
        <f>+F55</f>
        <v>485666.84249999997</v>
      </c>
      <c r="N55" s="583">
        <f>+N56*N46</f>
        <v>112480.63499999999</v>
      </c>
      <c r="O55" s="576">
        <f>+N55+M55</f>
        <v>598147.47749999992</v>
      </c>
      <c r="P55" s="585"/>
      <c r="Q55" s="191"/>
    </row>
    <row r="56" spans="5:17" s="164" customFormat="1" ht="11.65">
      <c r="E56" s="552" t="s">
        <v>721</v>
      </c>
      <c r="F56" s="553">
        <v>0.28999999999999998</v>
      </c>
      <c r="G56" s="597">
        <v>0.23499999999999999</v>
      </c>
      <c r="H56" s="553">
        <f>+H55/H46</f>
        <v>0.27917890240127946</v>
      </c>
      <c r="I56" s="558"/>
      <c r="J56" s="593"/>
      <c r="L56" s="552" t="s">
        <v>721</v>
      </c>
      <c r="M56" s="373">
        <f>+F56</f>
        <v>0.28999999999999998</v>
      </c>
      <c r="N56" s="587">
        <v>0.23499999999999999</v>
      </c>
      <c r="O56" s="573">
        <f>+O55/O46</f>
        <v>0.27777476813208968</v>
      </c>
      <c r="P56" s="588"/>
      <c r="Q56" s="572"/>
    </row>
    <row r="57" spans="5:17">
      <c r="E57" s="152"/>
      <c r="F57" s="544"/>
      <c r="G57" s="550"/>
      <c r="H57" s="544"/>
      <c r="I57" s="549"/>
      <c r="J57" s="540"/>
      <c r="L57" s="152"/>
      <c r="N57" s="585"/>
      <c r="P57" s="585"/>
      <c r="Q57" s="191"/>
    </row>
    <row r="58" spans="5:17">
      <c r="E58" s="152" t="s">
        <v>709</v>
      </c>
      <c r="F58" s="544"/>
      <c r="G58" s="550"/>
      <c r="H58" s="541">
        <v>25000</v>
      </c>
      <c r="I58" s="599">
        <v>50000</v>
      </c>
      <c r="J58" s="542">
        <v>75000</v>
      </c>
      <c r="L58" s="152" t="s">
        <v>709</v>
      </c>
      <c r="N58" s="585"/>
      <c r="O58" s="576">
        <v>25000</v>
      </c>
      <c r="P58" s="583">
        <v>50000</v>
      </c>
      <c r="Q58" s="577">
        <v>75000</v>
      </c>
    </row>
    <row r="59" spans="5:17">
      <c r="E59" s="152" t="s">
        <v>710</v>
      </c>
      <c r="F59" s="544"/>
      <c r="G59" s="550"/>
      <c r="H59" s="541">
        <f>0.01*H46</f>
        <v>20849.143764</v>
      </c>
      <c r="I59" s="599">
        <f>+H59</f>
        <v>20849.143764</v>
      </c>
      <c r="J59" s="542">
        <f>+I59</f>
        <v>20849.143764</v>
      </c>
      <c r="L59" s="152" t="s">
        <v>710</v>
      </c>
      <c r="N59" s="585"/>
      <c r="O59" s="576">
        <f>0.01*O46</f>
        <v>21533.5425</v>
      </c>
      <c r="P59" s="583">
        <f>+O59</f>
        <v>21533.5425</v>
      </c>
      <c r="Q59" s="577">
        <f>+O59</f>
        <v>21533.5425</v>
      </c>
    </row>
    <row r="60" spans="5:17">
      <c r="E60" s="152"/>
      <c r="F60" s="544"/>
      <c r="G60" s="550"/>
      <c r="H60" s="560"/>
      <c r="I60" s="549"/>
      <c r="J60" s="540"/>
      <c r="L60" s="152"/>
      <c r="N60" s="585"/>
      <c r="O60" s="371"/>
      <c r="P60" s="585"/>
      <c r="Q60" s="191"/>
    </row>
    <row r="61" spans="5:17">
      <c r="E61" s="152" t="s">
        <v>727</v>
      </c>
      <c r="F61" s="186"/>
      <c r="G61" s="549"/>
      <c r="H61" s="541">
        <f>H52+H58-H59</f>
        <v>513242.96026600007</v>
      </c>
      <c r="I61" s="599">
        <f>H52+I58-H59</f>
        <v>538242.96026600001</v>
      </c>
      <c r="J61" s="542">
        <f>H52+J58-H59</f>
        <v>563242.96026600001</v>
      </c>
      <c r="L61" s="152" t="s">
        <v>727</v>
      </c>
      <c r="N61" s="585"/>
      <c r="O61" s="576">
        <f>O52+O58-O59</f>
        <v>537733.92025000008</v>
      </c>
      <c r="P61" s="583">
        <f>O52+P58-O59</f>
        <v>562733.92025000008</v>
      </c>
      <c r="Q61" s="577">
        <f>O52+Q58-O59</f>
        <v>587733.92025000008</v>
      </c>
    </row>
    <row r="62" spans="5:17" s="164" customFormat="1" ht="11.65">
      <c r="E62" s="552" t="s">
        <v>722</v>
      </c>
      <c r="F62" s="465"/>
      <c r="G62" s="558"/>
      <c r="H62" s="553">
        <f>H61/H46</f>
        <v>0.24616980249913734</v>
      </c>
      <c r="I62" s="597">
        <f>I61/H46</f>
        <v>0.25816070259699514</v>
      </c>
      <c r="J62" s="556">
        <f>J61/H46</f>
        <v>0.270151602694853</v>
      </c>
      <c r="L62" s="552" t="s">
        <v>722</v>
      </c>
      <c r="N62" s="588"/>
      <c r="O62" s="573">
        <f>O61/O46</f>
        <v>0.24971920911294557</v>
      </c>
      <c r="P62" s="587">
        <f>P61/O46</f>
        <v>0.26132900346053145</v>
      </c>
      <c r="Q62" s="574">
        <f>Q61/O46</f>
        <v>0.27293879780811731</v>
      </c>
    </row>
    <row r="63" spans="5:17">
      <c r="E63" s="152"/>
      <c r="F63" s="186"/>
      <c r="G63" s="549"/>
      <c r="H63" s="562"/>
      <c r="I63" s="596"/>
      <c r="J63" s="561"/>
      <c r="L63" s="152"/>
      <c r="N63" s="585"/>
      <c r="O63" s="230"/>
      <c r="P63" s="590"/>
      <c r="Q63" s="569"/>
    </row>
    <row r="64" spans="5:17">
      <c r="E64" s="152" t="s">
        <v>723</v>
      </c>
      <c r="F64" s="186"/>
      <c r="G64" s="549"/>
      <c r="H64" s="541">
        <f>+H58+H55-H59</f>
        <v>586214.96343999996</v>
      </c>
      <c r="I64" s="599">
        <f>+I58+H55-H59</f>
        <v>611214.96343999996</v>
      </c>
      <c r="J64" s="542">
        <f>+J58+H55-H59</f>
        <v>636214.96343999996</v>
      </c>
      <c r="L64" s="152" t="s">
        <v>723</v>
      </c>
      <c r="N64" s="585"/>
      <c r="O64" s="576">
        <f>+O58+O55-O59</f>
        <v>601613.93499999994</v>
      </c>
      <c r="P64" s="583">
        <f>+P58+O55-O59</f>
        <v>626613.93499999994</v>
      </c>
      <c r="Q64" s="577">
        <f>+Q58+O55-O59</f>
        <v>651613.93499999994</v>
      </c>
    </row>
    <row r="65" spans="5:21" s="164" customFormat="1" ht="11.65">
      <c r="E65" s="552" t="s">
        <v>722</v>
      </c>
      <c r="F65" s="465"/>
      <c r="G65" s="558"/>
      <c r="H65" s="553">
        <f>+H64/H46</f>
        <v>0.28116980249913731</v>
      </c>
      <c r="I65" s="597">
        <f>+I64/H46</f>
        <v>0.29316070259699512</v>
      </c>
      <c r="J65" s="556">
        <f>+J64/H46</f>
        <v>0.30515160269485297</v>
      </c>
      <c r="L65" s="552" t="s">
        <v>722</v>
      </c>
      <c r="N65" s="588"/>
      <c r="O65" s="573">
        <f>+O64/O46</f>
        <v>0.27938456247967558</v>
      </c>
      <c r="P65" s="587">
        <f>+P64/O46</f>
        <v>0.29099435682726144</v>
      </c>
      <c r="Q65" s="574">
        <f>+Q64/O46</f>
        <v>0.30260415117484729</v>
      </c>
    </row>
    <row r="66" spans="5:21">
      <c r="E66" s="152"/>
      <c r="F66" s="186"/>
      <c r="G66" s="549"/>
      <c r="H66" s="562"/>
      <c r="I66" s="596"/>
      <c r="J66" s="561"/>
      <c r="L66" s="152"/>
      <c r="N66" s="585"/>
      <c r="O66" s="230"/>
      <c r="P66" s="590"/>
      <c r="Q66" s="569"/>
    </row>
    <row r="67" spans="5:21">
      <c r="E67" s="152" t="s">
        <v>718</v>
      </c>
      <c r="F67" s="186"/>
      <c r="G67" s="549"/>
      <c r="H67" s="541">
        <v>9000</v>
      </c>
      <c r="I67" s="599">
        <v>9000</v>
      </c>
      <c r="J67" s="542">
        <v>9000</v>
      </c>
      <c r="L67" s="152" t="s">
        <v>718</v>
      </c>
      <c r="N67" s="585"/>
      <c r="O67" s="576">
        <v>9000</v>
      </c>
      <c r="P67" s="583">
        <v>9000</v>
      </c>
      <c r="Q67" s="577">
        <v>9000</v>
      </c>
      <c r="S67">
        <v>427</v>
      </c>
    </row>
    <row r="68" spans="5:21">
      <c r="E68" s="152"/>
      <c r="F68" s="186"/>
      <c r="G68" s="549"/>
      <c r="H68" s="562"/>
      <c r="I68" s="596"/>
      <c r="J68" s="561"/>
      <c r="L68" s="152"/>
      <c r="N68" s="585"/>
      <c r="O68" s="230"/>
      <c r="P68" s="590"/>
      <c r="Q68" s="569"/>
    </row>
    <row r="69" spans="5:21">
      <c r="E69" s="152" t="s">
        <v>698</v>
      </c>
      <c r="F69" s="186"/>
      <c r="G69" s="549"/>
      <c r="H69" s="541">
        <f>+H61-H67</f>
        <v>504242.96026600007</v>
      </c>
      <c r="I69" s="599">
        <f>+I61-I67</f>
        <v>529242.96026600001</v>
      </c>
      <c r="J69" s="542">
        <f>+J61-J67</f>
        <v>554242.96026600001</v>
      </c>
      <c r="L69" s="152" t="s">
        <v>698</v>
      </c>
      <c r="N69" s="585"/>
      <c r="O69" s="576">
        <f>+O61-O67</f>
        <v>528733.92025000008</v>
      </c>
      <c r="P69" s="583">
        <f>+P61-P67</f>
        <v>553733.92025000008</v>
      </c>
      <c r="Q69" s="577">
        <f>+Q61-Q67</f>
        <v>578733.92025000008</v>
      </c>
      <c r="S69">
        <v>45</v>
      </c>
      <c r="T69">
        <v>45</v>
      </c>
      <c r="U69">
        <v>45</v>
      </c>
    </row>
    <row r="70" spans="5:21" s="164" customFormat="1" ht="11.65">
      <c r="E70" s="552" t="s">
        <v>697</v>
      </c>
      <c r="F70" s="465"/>
      <c r="G70" s="558"/>
      <c r="H70" s="554">
        <v>0.24</v>
      </c>
      <c r="I70" s="555">
        <v>0.24</v>
      </c>
      <c r="J70" s="559">
        <v>0.24</v>
      </c>
      <c r="L70" s="552" t="s">
        <v>697</v>
      </c>
      <c r="N70" s="588"/>
      <c r="O70" s="571">
        <v>0.24</v>
      </c>
      <c r="P70" s="584">
        <v>0.24</v>
      </c>
      <c r="Q70" s="575">
        <v>0.24</v>
      </c>
      <c r="S70" s="604">
        <f>+S69*H64</f>
        <v>26379673.354799997</v>
      </c>
      <c r="T70" s="604">
        <f>+T69*I64</f>
        <v>27504673.354799997</v>
      </c>
      <c r="U70" s="604">
        <f>+U69*Q64</f>
        <v>29322627.074999996</v>
      </c>
    </row>
    <row r="71" spans="5:21">
      <c r="E71" s="152" t="s">
        <v>699</v>
      </c>
      <c r="F71" s="186"/>
      <c r="G71" s="549"/>
      <c r="H71" s="541">
        <f>+((H69)*(1-H70))</f>
        <v>383224.64980216004</v>
      </c>
      <c r="I71" s="599">
        <f>+((I69)*(1-I70))</f>
        <v>402224.64980215998</v>
      </c>
      <c r="J71" s="542">
        <f>+((J69)*(1-J70))</f>
        <v>421224.64980215998</v>
      </c>
      <c r="L71" s="152" t="s">
        <v>699</v>
      </c>
      <c r="N71" s="585"/>
      <c r="O71" s="576">
        <f>+((O69)*(1-O70))</f>
        <v>401837.77939000004</v>
      </c>
      <c r="P71" s="583">
        <f>+((P69)*(1-P70))</f>
        <v>420837.77939000004</v>
      </c>
      <c r="Q71" s="577">
        <f>+((Q69)*(1-Q70))</f>
        <v>439837.77939000004</v>
      </c>
      <c r="S71">
        <v>1500000</v>
      </c>
      <c r="T71">
        <v>1500000</v>
      </c>
      <c r="U71">
        <v>1500000</v>
      </c>
    </row>
    <row r="72" spans="5:21" s="164" customFormat="1" ht="11.65">
      <c r="E72" s="552" t="s">
        <v>700</v>
      </c>
      <c r="F72" s="465"/>
      <c r="G72" s="558"/>
      <c r="H72" s="553">
        <f>H71/H46</f>
        <v>0.18380833963257046</v>
      </c>
      <c r="I72" s="597">
        <f>I71/H46</f>
        <v>0.1929214237069424</v>
      </c>
      <c r="J72" s="556">
        <f>J71/H46</f>
        <v>0.20203450778131438</v>
      </c>
      <c r="L72" s="552" t="s">
        <v>700</v>
      </c>
      <c r="N72" s="588"/>
      <c r="O72" s="573">
        <f>O71/O46</f>
        <v>0.18661015919233914</v>
      </c>
      <c r="P72" s="587">
        <f>P71/O46</f>
        <v>0.19543360289650438</v>
      </c>
      <c r="Q72" s="574">
        <f>Q71/O46</f>
        <v>0.20425704660066965</v>
      </c>
      <c r="S72" s="604">
        <f>+S70-S71</f>
        <v>24879673.354799997</v>
      </c>
      <c r="T72" s="604">
        <f>+T70-T71</f>
        <v>26004673.354799997</v>
      </c>
      <c r="U72" s="604">
        <f>+U70-U71</f>
        <v>27822627.074999996</v>
      </c>
    </row>
    <row r="73" spans="5:21">
      <c r="E73" s="152"/>
      <c r="F73" s="186"/>
      <c r="G73" s="549"/>
      <c r="H73" s="186"/>
      <c r="I73" s="549"/>
      <c r="J73" s="540"/>
      <c r="L73" s="152"/>
      <c r="N73" s="585"/>
      <c r="P73" s="585"/>
      <c r="Q73" s="191"/>
      <c r="S73">
        <f>+S72/'Income Statement'!BQ96</f>
        <v>597.88223283108641</v>
      </c>
      <c r="T73">
        <f>+T72/'Income Statement'!BQ96</f>
        <v>624.91705368034025</v>
      </c>
      <c r="U73">
        <f>+U72/'Income Statement'!BQ96</f>
        <v>668.60421202508826</v>
      </c>
    </row>
    <row r="74" spans="5:21">
      <c r="E74" s="152" t="s">
        <v>711</v>
      </c>
      <c r="F74" s="186"/>
      <c r="G74" s="549"/>
      <c r="H74" s="601">
        <f>H71/43500</f>
        <v>8.8097620644174714</v>
      </c>
      <c r="I74" s="602">
        <f>I71/43500</f>
        <v>9.246543673612873</v>
      </c>
      <c r="J74" s="603">
        <f>J71/43500</f>
        <v>9.6833252828082763</v>
      </c>
      <c r="L74" s="152" t="s">
        <v>711</v>
      </c>
      <c r="N74" s="585"/>
      <c r="O74" s="580">
        <f>O71/43500</f>
        <v>9.2376501009195415</v>
      </c>
      <c r="P74" s="591">
        <f>P71/43500</f>
        <v>9.6744317101149431</v>
      </c>
      <c r="Q74" s="581">
        <f>Q71/43500</f>
        <v>10.111213319310346</v>
      </c>
    </row>
    <row r="75" spans="5:21">
      <c r="E75" s="152"/>
      <c r="F75" s="186"/>
      <c r="G75" s="549"/>
      <c r="H75" s="186"/>
      <c r="I75" s="549"/>
      <c r="J75" s="540"/>
      <c r="L75" s="152"/>
      <c r="N75" s="585"/>
      <c r="P75" s="585"/>
      <c r="Q75" s="191"/>
    </row>
    <row r="76" spans="5:21" ht="14.65" thickBot="1">
      <c r="E76" s="277" t="s">
        <v>117</v>
      </c>
      <c r="F76" s="563"/>
      <c r="G76" s="598"/>
      <c r="H76" s="564">
        <f>H72*H46</f>
        <v>383224.64980216004</v>
      </c>
      <c r="I76" s="600">
        <f>I72*H46</f>
        <v>402224.64980215998</v>
      </c>
      <c r="J76" s="565">
        <f>J72*H46</f>
        <v>421224.64980215998</v>
      </c>
      <c r="L76" s="277" t="s">
        <v>117</v>
      </c>
      <c r="M76" s="570"/>
      <c r="N76" s="589"/>
      <c r="O76" s="578">
        <f>O72*O46</f>
        <v>401837.77939000004</v>
      </c>
      <c r="P76" s="592">
        <f>P72*O46</f>
        <v>420837.77939000004</v>
      </c>
      <c r="Q76" s="579">
        <f>Q72*O46</f>
        <v>439837.77939000004</v>
      </c>
    </row>
    <row r="82" spans="5:20" ht="14.65" thickBot="1"/>
    <row r="83" spans="5:20">
      <c r="L83">
        <f>543+359</f>
        <v>902</v>
      </c>
      <c r="N83" s="609"/>
      <c r="O83" s="610" t="s">
        <v>729</v>
      </c>
      <c r="P83" s="610" t="s">
        <v>731</v>
      </c>
      <c r="Q83" s="610" t="s">
        <v>737</v>
      </c>
      <c r="R83" s="610" t="s">
        <v>732</v>
      </c>
      <c r="S83" s="610" t="s">
        <v>733</v>
      </c>
      <c r="T83" s="611" t="s">
        <v>737</v>
      </c>
    </row>
    <row r="84" spans="5:20">
      <c r="L84">
        <f>+L83/2</f>
        <v>451</v>
      </c>
      <c r="N84" s="612"/>
      <c r="O84" s="585" t="s">
        <v>730</v>
      </c>
      <c r="P84" s="585" t="s">
        <v>730</v>
      </c>
      <c r="Q84" s="585" t="s">
        <v>730</v>
      </c>
      <c r="R84" s="585" t="s">
        <v>730</v>
      </c>
      <c r="S84" s="585" t="s">
        <v>730</v>
      </c>
      <c r="T84" s="613" t="s">
        <v>730</v>
      </c>
    </row>
    <row r="85" spans="5:20">
      <c r="E85" t="s">
        <v>716</v>
      </c>
      <c r="N85" s="187" t="s">
        <v>734</v>
      </c>
      <c r="O85" s="605">
        <v>359</v>
      </c>
      <c r="P85" s="605">
        <v>380</v>
      </c>
      <c r="Q85" s="605">
        <v>401</v>
      </c>
      <c r="R85" s="605">
        <v>372</v>
      </c>
      <c r="S85" s="605">
        <v>393</v>
      </c>
      <c r="T85" s="606">
        <v>414</v>
      </c>
    </row>
    <row r="86" spans="5:20">
      <c r="N86" s="187" t="s">
        <v>735</v>
      </c>
      <c r="O86" s="605">
        <v>415</v>
      </c>
      <c r="P86" s="605">
        <v>439</v>
      </c>
      <c r="Q86" s="605">
        <v>463</v>
      </c>
      <c r="R86" s="605">
        <v>430</v>
      </c>
      <c r="S86" s="605">
        <v>454</v>
      </c>
      <c r="T86" s="606">
        <v>478</v>
      </c>
    </row>
    <row r="87" spans="5:20" ht="14.65" thickBot="1">
      <c r="M87" s="275"/>
      <c r="N87" s="192" t="s">
        <v>736</v>
      </c>
      <c r="O87" s="607">
        <v>472</v>
      </c>
      <c r="P87" s="607">
        <v>499</v>
      </c>
      <c r="Q87" s="607">
        <v>526</v>
      </c>
      <c r="R87" s="607">
        <v>489</v>
      </c>
      <c r="S87" s="607">
        <v>516</v>
      </c>
      <c r="T87" s="608">
        <v>543</v>
      </c>
    </row>
    <row r="88" spans="5:20">
      <c r="F88">
        <v>600000</v>
      </c>
      <c r="G88">
        <v>2.5000000000000001E-3</v>
      </c>
      <c r="H88">
        <f>+G88*F88</f>
        <v>1500</v>
      </c>
      <c r="K88" t="s">
        <v>714</v>
      </c>
    </row>
    <row r="89" spans="5:20">
      <c r="F89">
        <v>1000000</v>
      </c>
      <c r="G89">
        <v>7.4999999999999997E-3</v>
      </c>
      <c r="H89">
        <f>+G89*F89</f>
        <v>7500</v>
      </c>
      <c r="K89" t="s">
        <v>715</v>
      </c>
    </row>
    <row r="90" spans="5:20">
      <c r="H90">
        <f>+H89+H88</f>
        <v>9000</v>
      </c>
    </row>
    <row r="95" spans="5:20">
      <c r="E95" t="s">
        <v>855</v>
      </c>
    </row>
    <row r="96" spans="5:20">
      <c r="E96">
        <v>2020</v>
      </c>
      <c r="F96">
        <v>2021</v>
      </c>
      <c r="G96" s="287" t="s">
        <v>756</v>
      </c>
    </row>
    <row r="97" spans="5:7">
      <c r="E97">
        <v>81.2</v>
      </c>
      <c r="F97">
        <v>75</v>
      </c>
      <c r="G97">
        <v>36</v>
      </c>
    </row>
  </sheetData>
  <mergeCells count="5">
    <mergeCell ref="F5:H5"/>
    <mergeCell ref="J5:M5"/>
    <mergeCell ref="R5:T5"/>
    <mergeCell ref="L43:Q43"/>
    <mergeCell ref="E43:J43"/>
  </mergeCells>
  <pageMargins left="0.7" right="0.7" top="0.75" bottom="0.75" header="0.3" footer="0.3"/>
  <pageSetup scale="21"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2196A-4459-4366-A8BB-D851B8918F17}">
  <dimension ref="B3:M36"/>
  <sheetViews>
    <sheetView showGridLines="0" topLeftCell="B13" workbookViewId="0">
      <selection activeCell="F25" sqref="F25"/>
    </sheetView>
  </sheetViews>
  <sheetFormatPr defaultRowHeight="14.25"/>
  <cols>
    <col min="2" max="2" width="11.1328125" customWidth="1"/>
    <col min="3" max="3" width="18.1328125" customWidth="1"/>
    <col min="4" max="8" width="12.59765625" bestFit="1" customWidth="1"/>
    <col min="11" max="11" width="15.3984375" bestFit="1" customWidth="1"/>
    <col min="12" max="12" width="15.1328125" bestFit="1" customWidth="1"/>
    <col min="13" max="13" width="12.86328125" customWidth="1"/>
    <col min="16" max="16" width="8.73046875" customWidth="1"/>
  </cols>
  <sheetData>
    <row r="3" spans="3:8" ht="14.65" thickBot="1"/>
    <row r="4" spans="3:8">
      <c r="C4" s="1157" t="s">
        <v>1035</v>
      </c>
      <c r="D4" s="1158"/>
      <c r="E4" s="1158"/>
      <c r="F4" s="1159"/>
    </row>
    <row r="5" spans="3:8">
      <c r="C5" s="1160" t="s">
        <v>1024</v>
      </c>
      <c r="D5" s="1131">
        <v>18800</v>
      </c>
      <c r="F5" s="191"/>
    </row>
    <row r="6" spans="3:8">
      <c r="C6" s="1160" t="s">
        <v>1025</v>
      </c>
      <c r="D6" s="1131">
        <v>435</v>
      </c>
      <c r="F6" s="191"/>
    </row>
    <row r="7" spans="3:8" ht="14.65" thickBot="1">
      <c r="C7" s="1161" t="s">
        <v>1038</v>
      </c>
      <c r="D7" s="1162" t="s">
        <v>1028</v>
      </c>
      <c r="E7" s="1163" t="s">
        <v>1036</v>
      </c>
      <c r="F7" s="1164" t="s">
        <v>1030</v>
      </c>
    </row>
    <row r="8" spans="3:8" ht="3.95" customHeight="1">
      <c r="C8" s="1154"/>
      <c r="D8" s="1132"/>
      <c r="F8" s="287"/>
    </row>
    <row r="9" spans="3:8">
      <c r="C9" s="1126" t="s">
        <v>1037</v>
      </c>
      <c r="D9" s="1155" t="s">
        <v>1021</v>
      </c>
      <c r="E9" s="1155" t="s">
        <v>1022</v>
      </c>
      <c r="F9" s="1155" t="s">
        <v>986</v>
      </c>
      <c r="G9" s="1155" t="s">
        <v>1026</v>
      </c>
      <c r="H9" s="1156" t="s">
        <v>1027</v>
      </c>
    </row>
    <row r="10" spans="3:8">
      <c r="C10" s="152" t="s">
        <v>390</v>
      </c>
      <c r="D10" s="166">
        <f>'Income Statement'!CF23</f>
        <v>1951751</v>
      </c>
      <c r="E10" s="166">
        <f>'Income Statement'!CK23</f>
        <v>2137803</v>
      </c>
      <c r="F10" s="166">
        <f>'Income Statement'!CP23</f>
        <v>2347319.034</v>
      </c>
      <c r="G10" s="166">
        <f>'Income Statement'!CU23</f>
        <v>2531873.8492399999</v>
      </c>
      <c r="H10" s="153">
        <f>2805000</f>
        <v>2805000</v>
      </c>
    </row>
    <row r="11" spans="3:8">
      <c r="C11" s="152" t="s">
        <v>1023</v>
      </c>
      <c r="D11" s="166">
        <f>'Income Statement'!CF75</f>
        <v>488448</v>
      </c>
      <c r="E11" s="166">
        <f>'Income Statement'!CK75</f>
        <v>573743</v>
      </c>
      <c r="F11" s="166">
        <f>'Income Statement'!CP75</f>
        <v>665861.03399999999</v>
      </c>
      <c r="G11" s="166">
        <f>'Income Statement'!CU75</f>
        <v>727446.04416441009</v>
      </c>
      <c r="H11" s="153">
        <f>863000</f>
        <v>863000</v>
      </c>
    </row>
    <row r="12" spans="3:8" s="278" customFormat="1">
      <c r="C12" s="1152" t="s">
        <v>1033</v>
      </c>
      <c r="D12" s="1052">
        <f>D11/D10</f>
        <v>0.25026143191421446</v>
      </c>
      <c r="E12" s="1052">
        <f t="shared" ref="E12:H12" si="0">E11/E10</f>
        <v>0.26837973377341129</v>
      </c>
      <c r="F12" s="1052">
        <f t="shared" si="0"/>
        <v>0.28366874053133079</v>
      </c>
      <c r="G12" s="1052">
        <f t="shared" si="0"/>
        <v>0.28731528009690127</v>
      </c>
      <c r="H12" s="1153">
        <f t="shared" si="0"/>
        <v>0.30766488413547238</v>
      </c>
    </row>
    <row r="13" spans="3:8">
      <c r="C13" s="152" t="s">
        <v>127</v>
      </c>
      <c r="D13" s="1127">
        <f>'Income Statement'!CF90</f>
        <v>7.7985964625246149</v>
      </c>
      <c r="E13" s="1127">
        <f>'Income Statement'!CK90</f>
        <v>9.5485369092027295</v>
      </c>
      <c r="F13" s="1127">
        <f>'Income Statement'!CP90</f>
        <v>11.650441006796044</v>
      </c>
      <c r="G13" s="1127">
        <f>'Income Statement'!CU90</f>
        <v>12.530504139099323</v>
      </c>
      <c r="H13" s="1128">
        <f>14.26</f>
        <v>14.26</v>
      </c>
    </row>
    <row r="14" spans="3:8">
      <c r="C14" s="1129" t="s">
        <v>117</v>
      </c>
      <c r="D14" s="1056">
        <f>'Cash Flows'!CF40</f>
        <v>327431</v>
      </c>
      <c r="E14" s="1056">
        <f>'Cash Flows'!CK40</f>
        <v>574697</v>
      </c>
      <c r="F14" s="1056">
        <f>'Cash Flows'!CP40</f>
        <v>635730.03399999999</v>
      </c>
      <c r="G14" s="1056">
        <f>'Cash Flows'!CU40</f>
        <v>681390.21346798935</v>
      </c>
      <c r="H14" s="1130">
        <f>801000</f>
        <v>801000</v>
      </c>
    </row>
    <row r="15" spans="3:8" s="278" customFormat="1" ht="14.65" thickBot="1">
      <c r="C15" s="1149" t="s">
        <v>1034</v>
      </c>
      <c r="D15" s="1150">
        <f>D14/D10</f>
        <v>0.16776269103999433</v>
      </c>
      <c r="E15" s="1150">
        <f t="shared" ref="E15:H15" si="1">E14/E10</f>
        <v>0.26882598630463145</v>
      </c>
      <c r="F15" s="1150">
        <f t="shared" si="1"/>
        <v>0.27083239423005506</v>
      </c>
      <c r="G15" s="1150">
        <f t="shared" si="1"/>
        <v>0.26912486720952716</v>
      </c>
      <c r="H15" s="1151">
        <f t="shared" si="1"/>
        <v>0.28556149732620323</v>
      </c>
    </row>
    <row r="16" spans="3:8">
      <c r="D16">
        <v>390</v>
      </c>
    </row>
    <row r="18" spans="2:13">
      <c r="D18">
        <f>D5/G14</f>
        <v>2.7590651624296032E-2</v>
      </c>
    </row>
    <row r="19" spans="2:13">
      <c r="D19">
        <v>18800000</v>
      </c>
    </row>
    <row r="20" spans="2:13">
      <c r="D20" s="275">
        <f>D19/G14</f>
        <v>27.590651624296033</v>
      </c>
    </row>
    <row r="21" spans="2:13">
      <c r="D21" s="275">
        <f>D19/H14</f>
        <v>23.470661672908864</v>
      </c>
    </row>
    <row r="22" spans="2:13">
      <c r="C22">
        <v>2021</v>
      </c>
      <c r="D22">
        <v>2022</v>
      </c>
      <c r="E22">
        <v>2023</v>
      </c>
      <c r="F22">
        <v>2024</v>
      </c>
      <c r="G22">
        <v>2025</v>
      </c>
    </row>
    <row r="23" spans="2:13">
      <c r="B23" t="s">
        <v>1025</v>
      </c>
      <c r="C23" s="1131">
        <v>450</v>
      </c>
      <c r="D23" s="1131">
        <v>390</v>
      </c>
      <c r="E23" s="1131">
        <v>397</v>
      </c>
      <c r="F23" s="1131">
        <v>525</v>
      </c>
      <c r="G23" s="1131">
        <v>540</v>
      </c>
    </row>
    <row r="24" spans="2:13">
      <c r="B24" t="s">
        <v>620</v>
      </c>
      <c r="C24" s="1131">
        <f>C23*C25</f>
        <v>19800</v>
      </c>
      <c r="D24" s="1131">
        <f t="shared" ref="D24:G24" si="2">D23*D25</f>
        <v>17160</v>
      </c>
      <c r="E24" s="1131">
        <f t="shared" si="2"/>
        <v>17468</v>
      </c>
      <c r="F24" s="1131">
        <f t="shared" si="2"/>
        <v>23100</v>
      </c>
      <c r="G24" s="1131">
        <f t="shared" si="2"/>
        <v>23760</v>
      </c>
    </row>
    <row r="25" spans="2:13">
      <c r="C25">
        <v>44</v>
      </c>
      <c r="D25">
        <v>44</v>
      </c>
      <c r="E25">
        <v>44</v>
      </c>
      <c r="F25">
        <v>44</v>
      </c>
      <c r="G25">
        <v>44</v>
      </c>
    </row>
    <row r="26" spans="2:13">
      <c r="B26" t="s">
        <v>585</v>
      </c>
      <c r="C26">
        <v>316</v>
      </c>
      <c r="D26">
        <v>331</v>
      </c>
      <c r="E26">
        <f>327</f>
        <v>327</v>
      </c>
      <c r="F26">
        <v>574</v>
      </c>
      <c r="G26">
        <v>613</v>
      </c>
    </row>
    <row r="27" spans="2:13">
      <c r="B27" t="s">
        <v>1029</v>
      </c>
      <c r="C27">
        <f>C24/C26</f>
        <v>62.658227848101269</v>
      </c>
      <c r="D27">
        <f t="shared" ref="D27:G27" si="3">D24/D26</f>
        <v>51.842900302114806</v>
      </c>
      <c r="E27">
        <f t="shared" si="3"/>
        <v>53.418960244648318</v>
      </c>
      <c r="F27">
        <f t="shared" si="3"/>
        <v>40.243902439024389</v>
      </c>
      <c r="G27">
        <f t="shared" si="3"/>
        <v>38.760195758564436</v>
      </c>
      <c r="H27">
        <f>AVERAGE(C27:G27)</f>
        <v>49.384837318490646</v>
      </c>
    </row>
    <row r="28" spans="2:13" ht="14.65" thickBot="1"/>
    <row r="29" spans="2:13">
      <c r="K29" s="1133"/>
      <c r="L29" s="1134" t="s">
        <v>1031</v>
      </c>
      <c r="M29" s="1135" t="s">
        <v>1032</v>
      </c>
    </row>
    <row r="30" spans="2:13">
      <c r="K30" s="1136" t="s">
        <v>1039</v>
      </c>
      <c r="L30" s="81">
        <f>('Income Statement'!CP8+'Income Statement'!CP11+'Income Statement'!CP14)/1000</f>
        <v>2283.142034</v>
      </c>
      <c r="M30" s="1137">
        <f>(L30-40)</f>
        <v>2243.142034</v>
      </c>
    </row>
    <row r="31" spans="2:13" ht="15.75">
      <c r="K31" s="1136" t="s">
        <v>694</v>
      </c>
      <c r="L31" s="1142">
        <f>'Income Statement'!CP32/1000</f>
        <v>1135.423</v>
      </c>
      <c r="M31" s="1143">
        <f>(L31-36)</f>
        <v>1099.423</v>
      </c>
    </row>
    <row r="32" spans="2:13">
      <c r="K32" s="1136" t="s">
        <v>27</v>
      </c>
      <c r="L32" s="1138">
        <f>L30-L31</f>
        <v>1147.719034</v>
      </c>
      <c r="M32" s="1137">
        <f>M30-M31</f>
        <v>1143.719034</v>
      </c>
    </row>
    <row r="33" spans="11:13" ht="14.65" thickBot="1">
      <c r="K33" s="1139" t="s">
        <v>757</v>
      </c>
      <c r="L33" s="1140">
        <f>L32/L30</f>
        <v>0.5026927877935079</v>
      </c>
      <c r="M33" s="1141">
        <f>M32/M30</f>
        <v>0.50987365787110028</v>
      </c>
    </row>
    <row r="34" spans="11:13">
      <c r="K34" s="272"/>
    </row>
    <row r="36" spans="11:13">
      <c r="K36" t="s">
        <v>986</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V126"/>
  <sheetViews>
    <sheetView showGridLines="0" zoomScale="110" zoomScaleNormal="110" workbookViewId="0">
      <pane xSplit="2" ySplit="2" topLeftCell="C45" activePane="bottomRight" state="frozen"/>
      <selection activeCell="BL41" sqref="BL41"/>
      <selection pane="topRight" activeCell="BL41" sqref="BL41"/>
      <selection pane="bottomLeft" activeCell="BL41" sqref="BL41"/>
      <selection pane="bottomRight" activeCell="A54" sqref="A54"/>
    </sheetView>
  </sheetViews>
  <sheetFormatPr defaultRowHeight="14.25" outlineLevelCol="1"/>
  <cols>
    <col min="1" max="1" width="27.86328125" customWidth="1"/>
    <col min="2" max="2" width="9" customWidth="1"/>
    <col min="3" max="16" width="9" hidden="1" customWidth="1"/>
    <col min="17" max="17" width="5" hidden="1" customWidth="1"/>
    <col min="18" max="18" width="9" hidden="1" customWidth="1" outlineLevel="1"/>
    <col min="19" max="19" width="9.1328125" hidden="1" customWidth="1" outlineLevel="1"/>
    <col min="20" max="20" width="11.3984375" hidden="1" customWidth="1" outlineLevel="1"/>
    <col min="21" max="21" width="9" hidden="1" customWidth="1" outlineLevel="1"/>
    <col min="22" max="22" width="5" bestFit="1" customWidth="1" collapsed="1"/>
    <col min="23" max="25" width="9" hidden="1" customWidth="1" outlineLevel="1"/>
    <col min="26" max="26" width="9.86328125" hidden="1" customWidth="1" outlineLevel="1"/>
    <col min="27" max="27" width="6" bestFit="1" customWidth="1" collapsed="1"/>
    <col min="28" max="28" width="8.59765625" hidden="1" customWidth="1" outlineLevel="1"/>
    <col min="29" max="31" width="9" hidden="1" customWidth="1" outlineLevel="1"/>
    <col min="32" max="32" width="5" bestFit="1" customWidth="1" collapsed="1"/>
    <col min="33" max="34" width="9.1328125" bestFit="1" customWidth="1"/>
    <col min="35" max="35" width="9.59765625" bestFit="1" customWidth="1"/>
    <col min="36" max="36" width="8.86328125" customWidth="1"/>
    <col min="37" max="37" width="9.59765625" bestFit="1" customWidth="1"/>
    <col min="38" max="38" width="9.1328125" customWidth="1"/>
    <col min="39" max="40" width="8.59765625" customWidth="1"/>
    <col min="41" max="41" width="9.3984375" customWidth="1"/>
    <col min="42" max="42" width="7" bestFit="1" customWidth="1"/>
    <col min="43" max="43" width="9.3984375" bestFit="1" customWidth="1"/>
    <col min="44" max="45" width="9.59765625" bestFit="1" customWidth="1"/>
    <col min="46" max="46" width="9.3984375" bestFit="1" customWidth="1"/>
    <col min="47" max="47" width="7.59765625" bestFit="1" customWidth="1"/>
    <col min="48" max="51" width="8.59765625" bestFit="1" customWidth="1"/>
    <col min="52" max="52" width="6" customWidth="1"/>
    <col min="53" max="53" width="8.59765625" bestFit="1" customWidth="1"/>
    <col min="54" max="55" width="9.59765625" bestFit="1" customWidth="1"/>
    <col min="56" max="56" width="9.3984375" bestFit="1" customWidth="1"/>
    <col min="57" max="57" width="6.59765625" customWidth="1"/>
    <col min="58" max="60" width="9.59765625" bestFit="1" customWidth="1"/>
    <col min="61" max="61" width="9.3984375" bestFit="1" customWidth="1"/>
    <col min="62" max="62" width="6.59765625" customWidth="1"/>
    <col min="63" max="63" width="9.59765625" bestFit="1" customWidth="1"/>
    <col min="64" max="64" width="12.1328125" style="186" bestFit="1" customWidth="1"/>
    <col min="65" max="68" width="9.59765625" bestFit="1" customWidth="1"/>
  </cols>
  <sheetData>
    <row r="1" spans="1:74" ht="14.65" thickBot="1"/>
    <row r="2" spans="1:74" ht="14.65" thickBot="1">
      <c r="A2" s="471" t="s">
        <v>634</v>
      </c>
      <c r="C2" t="s">
        <v>684</v>
      </c>
      <c r="D2" t="s">
        <v>683</v>
      </c>
      <c r="E2" t="s">
        <v>682</v>
      </c>
      <c r="F2" t="s">
        <v>681</v>
      </c>
      <c r="G2">
        <v>2007</v>
      </c>
      <c r="H2" t="s">
        <v>1</v>
      </c>
      <c r="I2" t="s">
        <v>2</v>
      </c>
      <c r="J2" t="s">
        <v>3</v>
      </c>
      <c r="K2" t="s">
        <v>4</v>
      </c>
      <c r="L2">
        <v>2008</v>
      </c>
      <c r="M2" s="4" t="s">
        <v>5</v>
      </c>
      <c r="N2" s="4" t="s">
        <v>6</v>
      </c>
      <c r="O2" s="4" t="s">
        <v>7</v>
      </c>
      <c r="P2" s="4" t="s">
        <v>8</v>
      </c>
      <c r="Q2" s="3">
        <v>2009</v>
      </c>
      <c r="R2" s="471" t="s">
        <v>9</v>
      </c>
      <c r="S2" s="471" t="s">
        <v>10</v>
      </c>
      <c r="T2" s="471" t="s">
        <v>11</v>
      </c>
      <c r="U2" s="471" t="s">
        <v>12</v>
      </c>
      <c r="V2" s="472">
        <v>2010</v>
      </c>
      <c r="W2" s="473" t="s">
        <v>13</v>
      </c>
      <c r="X2" s="471" t="s">
        <v>14</v>
      </c>
      <c r="Y2" s="471" t="s">
        <v>15</v>
      </c>
      <c r="Z2" s="471" t="s">
        <v>16</v>
      </c>
      <c r="AA2" s="472">
        <v>2011</v>
      </c>
      <c r="AB2" s="471" t="s">
        <v>17</v>
      </c>
      <c r="AC2" s="471" t="s">
        <v>125</v>
      </c>
      <c r="AD2" s="471" t="s">
        <v>405</v>
      </c>
      <c r="AE2" s="471" t="s">
        <v>413</v>
      </c>
      <c r="AF2" s="472">
        <v>2012</v>
      </c>
      <c r="AG2" s="471" t="s">
        <v>428</v>
      </c>
      <c r="AH2" s="471" t="s">
        <v>431</v>
      </c>
      <c r="AI2" s="471" t="s">
        <v>432</v>
      </c>
      <c r="AJ2" s="471" t="s">
        <v>433</v>
      </c>
      <c r="AK2" s="472">
        <v>2013</v>
      </c>
      <c r="AL2" s="471" t="s">
        <v>449</v>
      </c>
      <c r="AM2" s="471" t="s">
        <v>454</v>
      </c>
      <c r="AN2" s="471" t="s">
        <v>455</v>
      </c>
      <c r="AO2" s="471" t="s">
        <v>456</v>
      </c>
      <c r="AP2" s="472">
        <v>2014</v>
      </c>
      <c r="AQ2" s="471" t="s">
        <v>471</v>
      </c>
      <c r="AR2" s="471" t="s">
        <v>472</v>
      </c>
      <c r="AS2" s="471" t="s">
        <v>473</v>
      </c>
      <c r="AT2" s="471" t="s">
        <v>474</v>
      </c>
      <c r="AU2" s="472">
        <v>2015</v>
      </c>
      <c r="AV2" s="476" t="s">
        <v>497</v>
      </c>
      <c r="AW2" s="471" t="s">
        <v>498</v>
      </c>
      <c r="AX2" s="471" t="s">
        <v>499</v>
      </c>
      <c r="AY2" s="477" t="s">
        <v>500</v>
      </c>
      <c r="AZ2" s="472">
        <v>2016</v>
      </c>
      <c r="BA2" s="476" t="s">
        <v>633</v>
      </c>
      <c r="BB2" s="471" t="s">
        <v>638</v>
      </c>
      <c r="BC2" s="471" t="s">
        <v>639</v>
      </c>
      <c r="BD2" s="477" t="s">
        <v>641</v>
      </c>
      <c r="BE2" s="472">
        <v>2017</v>
      </c>
      <c r="BF2" s="476" t="s">
        <v>645</v>
      </c>
      <c r="BG2" s="471" t="s">
        <v>648</v>
      </c>
      <c r="BH2" s="471" t="s">
        <v>647</v>
      </c>
      <c r="BI2" s="477" t="s">
        <v>646</v>
      </c>
      <c r="BJ2" s="472">
        <v>2018</v>
      </c>
      <c r="BK2" s="476" t="s">
        <v>669</v>
      </c>
      <c r="BL2" s="471" t="s">
        <v>673</v>
      </c>
      <c r="BM2" s="471" t="s">
        <v>674</v>
      </c>
      <c r="BN2" s="477" t="s">
        <v>675</v>
      </c>
      <c r="BO2" s="472">
        <v>2019</v>
      </c>
      <c r="BP2" s="476" t="s">
        <v>685</v>
      </c>
      <c r="BQ2" s="471" t="s">
        <v>687</v>
      </c>
      <c r="BR2" s="471" t="s">
        <v>688</v>
      </c>
      <c r="BS2" s="477" t="s">
        <v>689</v>
      </c>
      <c r="BT2" s="472">
        <v>2020</v>
      </c>
      <c r="BU2" s="476" t="s">
        <v>738</v>
      </c>
      <c r="BV2" s="476" t="s">
        <v>761</v>
      </c>
    </row>
    <row r="4" spans="1:74">
      <c r="A4" t="s">
        <v>324</v>
      </c>
      <c r="R4">
        <v>5</v>
      </c>
      <c r="S4">
        <v>3</v>
      </c>
      <c r="T4">
        <v>2</v>
      </c>
      <c r="U4">
        <v>11</v>
      </c>
      <c r="W4">
        <v>13</v>
      </c>
      <c r="X4">
        <v>13</v>
      </c>
      <c r="Y4">
        <v>12</v>
      </c>
      <c r="Z4">
        <v>9</v>
      </c>
      <c r="AB4">
        <v>11</v>
      </c>
      <c r="AC4">
        <v>24</v>
      </c>
      <c r="AD4">
        <v>12</v>
      </c>
      <c r="AE4">
        <v>29</v>
      </c>
      <c r="AG4">
        <v>22</v>
      </c>
      <c r="AH4">
        <v>28</v>
      </c>
      <c r="AI4">
        <v>24</v>
      </c>
      <c r="AJ4">
        <v>26</v>
      </c>
      <c r="AL4">
        <v>32</v>
      </c>
      <c r="AM4">
        <v>44</v>
      </c>
      <c r="AN4">
        <v>38</v>
      </c>
      <c r="AO4">
        <v>24</v>
      </c>
      <c r="AQ4">
        <v>32</v>
      </c>
      <c r="AR4">
        <v>34</v>
      </c>
      <c r="AS4">
        <v>35</v>
      </c>
      <c r="AT4">
        <v>33</v>
      </c>
      <c r="AV4">
        <v>65</v>
      </c>
      <c r="AW4">
        <v>74</v>
      </c>
      <c r="AX4">
        <v>50</v>
      </c>
      <c r="AY4">
        <v>61</v>
      </c>
      <c r="BA4">
        <v>92</v>
      </c>
      <c r="BB4">
        <v>105</v>
      </c>
      <c r="BC4">
        <v>94</v>
      </c>
      <c r="BD4">
        <v>83</v>
      </c>
      <c r="BF4">
        <v>122</v>
      </c>
      <c r="BG4">
        <v>126</v>
      </c>
      <c r="BH4">
        <v>81</v>
      </c>
      <c r="BI4">
        <v>81</v>
      </c>
      <c r="BK4">
        <v>128</v>
      </c>
      <c r="BL4" s="186">
        <v>154</v>
      </c>
      <c r="BM4">
        <v>150</v>
      </c>
      <c r="BN4">
        <v>164</v>
      </c>
      <c r="BP4">
        <v>131</v>
      </c>
    </row>
    <row r="5" spans="1:74">
      <c r="AX5" s="231"/>
    </row>
    <row r="6" spans="1:74">
      <c r="A6" t="s">
        <v>325</v>
      </c>
      <c r="R6">
        <v>8</v>
      </c>
      <c r="S6">
        <v>15</v>
      </c>
      <c r="T6">
        <v>11</v>
      </c>
      <c r="U6">
        <v>16</v>
      </c>
      <c r="W6">
        <v>1</v>
      </c>
      <c r="X6">
        <v>10</v>
      </c>
      <c r="Y6">
        <v>17</v>
      </c>
      <c r="Z6">
        <v>12</v>
      </c>
      <c r="AB6">
        <v>17</v>
      </c>
      <c r="AC6">
        <v>17</v>
      </c>
      <c r="AD6">
        <v>19</v>
      </c>
      <c r="AE6">
        <v>15</v>
      </c>
      <c r="AG6">
        <v>19</v>
      </c>
      <c r="AH6">
        <v>15</v>
      </c>
      <c r="AI6">
        <v>14</v>
      </c>
      <c r="AJ6">
        <v>15</v>
      </c>
      <c r="AL6">
        <v>15</v>
      </c>
      <c r="AM6">
        <v>21</v>
      </c>
      <c r="AN6">
        <v>11</v>
      </c>
      <c r="AO6">
        <v>12</v>
      </c>
      <c r="AQ6">
        <v>19</v>
      </c>
      <c r="AR6">
        <v>20</v>
      </c>
      <c r="AS6">
        <v>18</v>
      </c>
      <c r="AT6">
        <v>9</v>
      </c>
      <c r="AV6">
        <v>11</v>
      </c>
      <c r="AW6">
        <v>18</v>
      </c>
      <c r="AX6">
        <v>18</v>
      </c>
      <c r="AY6">
        <v>6</v>
      </c>
      <c r="BA6">
        <v>17</v>
      </c>
      <c r="BB6">
        <v>37</v>
      </c>
      <c r="BC6">
        <v>15</v>
      </c>
      <c r="BD6">
        <v>19</v>
      </c>
      <c r="BF6">
        <v>26</v>
      </c>
      <c r="BG6">
        <v>32</v>
      </c>
      <c r="BH6">
        <v>31</v>
      </c>
      <c r="BI6">
        <v>8</v>
      </c>
      <c r="BK6">
        <v>13</v>
      </c>
      <c r="BP6">
        <v>19</v>
      </c>
    </row>
    <row r="8" spans="1:74">
      <c r="A8" t="s">
        <v>333</v>
      </c>
      <c r="W8">
        <v>15</v>
      </c>
      <c r="X8">
        <v>10</v>
      </c>
      <c r="Y8">
        <v>18</v>
      </c>
      <c r="Z8">
        <v>14</v>
      </c>
      <c r="AB8">
        <v>12</v>
      </c>
      <c r="AC8">
        <v>19</v>
      </c>
      <c r="AD8">
        <v>16</v>
      </c>
      <c r="AE8">
        <v>18</v>
      </c>
      <c r="AG8">
        <v>11</v>
      </c>
      <c r="AH8">
        <v>19</v>
      </c>
      <c r="AI8">
        <v>29</v>
      </c>
      <c r="AJ8">
        <v>34</v>
      </c>
      <c r="AL8">
        <v>22</v>
      </c>
      <c r="AM8">
        <v>43</v>
      </c>
      <c r="AN8">
        <v>30</v>
      </c>
      <c r="AO8">
        <v>35</v>
      </c>
      <c r="AQ8">
        <v>27</v>
      </c>
      <c r="AR8">
        <v>25</v>
      </c>
      <c r="AS8">
        <v>28</v>
      </c>
      <c r="AT8">
        <v>30</v>
      </c>
      <c r="AV8">
        <v>30</v>
      </c>
      <c r="AW8">
        <v>38</v>
      </c>
      <c r="AX8">
        <v>38</v>
      </c>
      <c r="AY8">
        <v>57</v>
      </c>
      <c r="BA8">
        <v>36</v>
      </c>
      <c r="BB8">
        <v>25</v>
      </c>
      <c r="BC8">
        <v>32</v>
      </c>
      <c r="BD8">
        <v>48</v>
      </c>
      <c r="BF8">
        <v>33</v>
      </c>
      <c r="BG8">
        <v>25</v>
      </c>
      <c r="BH8">
        <v>29</v>
      </c>
      <c r="BI8">
        <v>46</v>
      </c>
      <c r="BK8">
        <v>35</v>
      </c>
      <c r="BL8" s="186">
        <v>34</v>
      </c>
      <c r="BM8">
        <v>49</v>
      </c>
      <c r="BN8">
        <v>45</v>
      </c>
    </row>
    <row r="10" spans="1:74" s="186" customFormat="1">
      <c r="A10" s="288" t="s">
        <v>334</v>
      </c>
      <c r="W10" s="186">
        <v>232</v>
      </c>
      <c r="X10" s="186" t="s">
        <v>336</v>
      </c>
      <c r="Y10" s="186" t="s">
        <v>409</v>
      </c>
      <c r="Z10" s="186" t="s">
        <v>416</v>
      </c>
      <c r="AB10" s="287" t="s">
        <v>348</v>
      </c>
      <c r="AC10" s="287" t="s">
        <v>335</v>
      </c>
      <c r="AD10" s="287" t="s">
        <v>408</v>
      </c>
      <c r="AE10" s="287" t="s">
        <v>415</v>
      </c>
      <c r="AF10" s="287"/>
      <c r="AG10" s="287" t="s">
        <v>435</v>
      </c>
      <c r="AH10" s="287" t="s">
        <v>438</v>
      </c>
      <c r="AI10" s="287" t="s">
        <v>439</v>
      </c>
      <c r="AJ10" s="287" t="s">
        <v>448</v>
      </c>
      <c r="AK10" s="287"/>
      <c r="AL10" s="287" t="s">
        <v>452</v>
      </c>
      <c r="AM10" s="287" t="s">
        <v>457</v>
      </c>
      <c r="AN10" s="287" t="s">
        <v>458</v>
      </c>
      <c r="AO10" s="287" t="s">
        <v>469</v>
      </c>
      <c r="AP10" s="287"/>
      <c r="AQ10" s="287" t="s">
        <v>496</v>
      </c>
      <c r="AR10" s="287" t="s">
        <v>521</v>
      </c>
      <c r="AS10" s="287" t="s">
        <v>523</v>
      </c>
      <c r="AT10" s="287" t="s">
        <v>602</v>
      </c>
      <c r="AV10" s="186" t="s">
        <v>635</v>
      </c>
      <c r="AW10" s="186" t="s">
        <v>613</v>
      </c>
      <c r="AX10" s="186" t="s">
        <v>627</v>
      </c>
      <c r="AY10" s="186" t="s">
        <v>632</v>
      </c>
      <c r="BA10" s="186" t="s">
        <v>636</v>
      </c>
      <c r="BB10" s="186" t="s">
        <v>643</v>
      </c>
      <c r="BC10" s="186" t="s">
        <v>644</v>
      </c>
      <c r="BD10" s="186" t="s">
        <v>642</v>
      </c>
      <c r="BF10" s="186" t="s">
        <v>649</v>
      </c>
      <c r="BG10" s="186" t="s">
        <v>651</v>
      </c>
      <c r="BH10" s="186" t="s">
        <v>652</v>
      </c>
      <c r="BI10" s="186" t="s">
        <v>663</v>
      </c>
      <c r="BK10" s="186">
        <v>376</v>
      </c>
      <c r="BL10" s="186">
        <v>297</v>
      </c>
      <c r="BM10" s="186">
        <v>293</v>
      </c>
      <c r="BN10" s="186">
        <v>522</v>
      </c>
    </row>
    <row r="11" spans="1:74">
      <c r="AS11" t="s">
        <v>628</v>
      </c>
    </row>
    <row r="12" spans="1:74">
      <c r="A12" t="s">
        <v>349</v>
      </c>
      <c r="AB12">
        <v>325</v>
      </c>
    </row>
    <row r="14" spans="1:74">
      <c r="A14" t="s">
        <v>326</v>
      </c>
      <c r="U14">
        <v>1.3</v>
      </c>
      <c r="W14">
        <v>1.4</v>
      </c>
      <c r="X14">
        <v>1.5</v>
      </c>
      <c r="Z14">
        <v>2</v>
      </c>
      <c r="AB14">
        <v>2.2000000000000002</v>
      </c>
      <c r="AC14">
        <v>2.2999999999999998</v>
      </c>
      <c r="AD14">
        <v>2.6</v>
      </c>
      <c r="AE14">
        <v>3</v>
      </c>
      <c r="AG14">
        <v>3</v>
      </c>
      <c r="AH14">
        <v>3.1</v>
      </c>
      <c r="AI14">
        <v>4</v>
      </c>
      <c r="AJ14">
        <v>6.7</v>
      </c>
      <c r="AL14">
        <v>7.5</v>
      </c>
      <c r="AM14">
        <v>7.7</v>
      </c>
      <c r="AN14">
        <v>8.1999999999999993</v>
      </c>
      <c r="AO14">
        <v>8.8000000000000007</v>
      </c>
      <c r="AQ14">
        <v>9.6</v>
      </c>
      <c r="AR14">
        <v>10.199999999999999</v>
      </c>
      <c r="AS14">
        <v>11</v>
      </c>
      <c r="AT14">
        <v>11.3</v>
      </c>
      <c r="AV14">
        <v>11.9</v>
      </c>
      <c r="AW14">
        <v>11.8</v>
      </c>
      <c r="AX14">
        <v>9.5</v>
      </c>
      <c r="BA14">
        <v>13.8</v>
      </c>
    </row>
    <row r="15" spans="1:74">
      <c r="AT15" s="374"/>
    </row>
    <row r="16" spans="1:74">
      <c r="C16">
        <v>50300</v>
      </c>
      <c r="D16">
        <v>54100</v>
      </c>
      <c r="E16">
        <v>54900</v>
      </c>
      <c r="F16">
        <v>60400</v>
      </c>
      <c r="Z16">
        <f>+Z17-Y17</f>
        <v>41.100000000000023</v>
      </c>
      <c r="AA16">
        <f>+Z21-Z16</f>
        <v>278.79999999999995</v>
      </c>
      <c r="AE16">
        <f>+AE17-AD17</f>
        <v>22.700000000000045</v>
      </c>
      <c r="AJ16">
        <f>+AJ17-AI17</f>
        <v>10.700000000000045</v>
      </c>
      <c r="AT16" s="374"/>
      <c r="AW16">
        <f>AW17-AV17</f>
        <v>58.899999999999977</v>
      </c>
      <c r="AX16">
        <f>AX17-AW17</f>
        <v>68</v>
      </c>
      <c r="AY16">
        <f>AY17-AX17</f>
        <v>113.39999999999998</v>
      </c>
      <c r="BA16" s="374"/>
      <c r="BB16" s="230"/>
      <c r="BC16" s="230"/>
      <c r="BD16" s="230"/>
      <c r="BF16" s="374"/>
      <c r="BG16" s="230"/>
      <c r="BH16" s="230"/>
      <c r="BI16" s="230"/>
    </row>
    <row r="17" spans="1:68">
      <c r="A17" t="s">
        <v>328</v>
      </c>
      <c r="C17">
        <v>197.8</v>
      </c>
      <c r="D17">
        <v>203.9</v>
      </c>
      <c r="E17">
        <v>225.8</v>
      </c>
      <c r="F17">
        <v>250.1</v>
      </c>
      <c r="H17">
        <v>239</v>
      </c>
      <c r="I17">
        <v>238</v>
      </c>
      <c r="J17">
        <v>235.6</v>
      </c>
      <c r="K17">
        <v>243.4</v>
      </c>
      <c r="M17">
        <v>231.3</v>
      </c>
      <c r="N17">
        <v>235.3</v>
      </c>
      <c r="O17">
        <v>231.5</v>
      </c>
      <c r="P17">
        <v>233.1</v>
      </c>
      <c r="R17">
        <v>218.8</v>
      </c>
      <c r="S17">
        <v>258</v>
      </c>
      <c r="T17">
        <v>253.8</v>
      </c>
      <c r="U17">
        <v>281.39999999999998</v>
      </c>
      <c r="W17">
        <v>262.10000000000002</v>
      </c>
      <c r="X17">
        <v>296</v>
      </c>
      <c r="Y17">
        <v>298.7</v>
      </c>
      <c r="Z17">
        <v>339.8</v>
      </c>
      <c r="AB17">
        <v>332.1</v>
      </c>
      <c r="AC17">
        <v>360</v>
      </c>
      <c r="AD17">
        <v>357.9</v>
      </c>
      <c r="AE17">
        <v>380.6</v>
      </c>
      <c r="AG17">
        <v>386.6</v>
      </c>
      <c r="AH17">
        <v>430.9</v>
      </c>
      <c r="AI17">
        <v>541</v>
      </c>
      <c r="AJ17">
        <v>551.70000000000005</v>
      </c>
      <c r="AL17">
        <v>540.29999999999995</v>
      </c>
      <c r="AM17">
        <v>654.70000000000005</v>
      </c>
      <c r="AN17">
        <v>674</v>
      </c>
      <c r="AO17">
        <v>702</v>
      </c>
      <c r="AQ17">
        <v>689.6</v>
      </c>
      <c r="AR17">
        <v>723</v>
      </c>
      <c r="AS17">
        <v>757.7</v>
      </c>
      <c r="AT17" s="374">
        <f>844.5</f>
        <v>844.5</v>
      </c>
      <c r="AU17" s="374"/>
      <c r="AV17">
        <v>808.7</v>
      </c>
      <c r="AW17">
        <v>867.6</v>
      </c>
      <c r="AX17">
        <v>935.6</v>
      </c>
      <c r="AY17" s="374">
        <v>1049</v>
      </c>
      <c r="BA17">
        <v>1027</v>
      </c>
      <c r="BB17" s="175">
        <v>1104</v>
      </c>
      <c r="BC17" s="175">
        <v>1050</v>
      </c>
      <c r="BD17" s="175">
        <v>1226</v>
      </c>
      <c r="BF17" s="175">
        <v>1200</v>
      </c>
      <c r="BG17" s="175">
        <v>1225</v>
      </c>
      <c r="BH17" s="175">
        <v>1242</v>
      </c>
      <c r="BI17" s="175">
        <v>1247</v>
      </c>
      <c r="BK17" s="175">
        <v>1258.502</v>
      </c>
      <c r="BL17" s="534">
        <v>1433</v>
      </c>
      <c r="BM17" s="175">
        <v>1414</v>
      </c>
      <c r="BN17" s="175">
        <v>1458</v>
      </c>
      <c r="BP17" s="175">
        <v>1500</v>
      </c>
    </row>
    <row r="18" spans="1:68" s="164" customFormat="1" ht="11.65">
      <c r="A18" s="164" t="s">
        <v>352</v>
      </c>
      <c r="C18" s="164">
        <v>205.9</v>
      </c>
      <c r="S18" s="165">
        <f>S17/R17-1</f>
        <v>0.17915904936014626</v>
      </c>
      <c r="T18" s="165">
        <f>T17/S17-1</f>
        <v>-1.6279069767441867E-2</v>
      </c>
      <c r="U18" s="165">
        <f>U17/T17-1</f>
        <v>0.10874704491725762</v>
      </c>
      <c r="W18" s="165">
        <f>W17/U17-1</f>
        <v>-6.8585643212508707E-2</v>
      </c>
      <c r="X18" s="165">
        <f>X17/W17-1</f>
        <v>0.1293399465852727</v>
      </c>
      <c r="Y18" s="165">
        <f>Y17/X17-1</f>
        <v>9.1216216216216672E-3</v>
      </c>
      <c r="Z18" s="165">
        <f>Z17/Y17-1</f>
        <v>0.13759625041848023</v>
      </c>
      <c r="AB18" s="165">
        <f>AB17/Z17-1</f>
        <v>-2.266038846380225E-2</v>
      </c>
      <c r="AC18" s="165">
        <f>AC17/AB17-1</f>
        <v>8.4010840108400986E-2</v>
      </c>
      <c r="AD18" s="165">
        <f>AD17/AC17-1</f>
        <v>-5.833333333333357E-3</v>
      </c>
      <c r="AE18" s="165">
        <f>AE17/AD17-1</f>
        <v>6.342553785973748E-2</v>
      </c>
      <c r="AG18" s="165">
        <f>AG17/AE17-1</f>
        <v>1.5764582238570579E-2</v>
      </c>
      <c r="AH18" s="165">
        <f>AH17/AG17-1</f>
        <v>0.1145887221934816</v>
      </c>
      <c r="AI18" s="165">
        <f>AI17/AH17-1</f>
        <v>0.25551171965653285</v>
      </c>
      <c r="AJ18" s="165">
        <f>AJ17/AI17-1</f>
        <v>1.9778188539741226E-2</v>
      </c>
      <c r="AL18" s="165">
        <f>AL17/AJ17-1</f>
        <v>-2.0663404023926191E-2</v>
      </c>
      <c r="AM18" s="165">
        <f>AM17/AL17-1</f>
        <v>0.21173422172866951</v>
      </c>
      <c r="AN18" s="165">
        <f>AN17/AM17-1</f>
        <v>2.9479150756071437E-2</v>
      </c>
      <c r="AO18" s="165">
        <f>AO17/AN17-1</f>
        <v>4.1543026706231556E-2</v>
      </c>
      <c r="AQ18" s="165">
        <f>AQ17/AO17-1</f>
        <v>-1.7663817663817638E-2</v>
      </c>
      <c r="AR18" s="165">
        <f>AR17/AQ17-1</f>
        <v>4.8433874709976843E-2</v>
      </c>
      <c r="AS18" s="165">
        <f>AS17/AR17-1</f>
        <v>4.7994467496542237E-2</v>
      </c>
      <c r="AT18" s="165">
        <f>AT17/AS17-1</f>
        <v>0.11455721261713081</v>
      </c>
      <c r="AU18" s="394"/>
      <c r="AV18" s="165">
        <f>AV17/AT17-1</f>
        <v>-4.2391947898164584E-2</v>
      </c>
      <c r="AW18" s="165">
        <f>AW17/AV17-1</f>
        <v>7.2832941758377512E-2</v>
      </c>
      <c r="AX18" s="165">
        <f>AX17/AW17-1</f>
        <v>7.8377132319040976E-2</v>
      </c>
      <c r="AY18" s="165">
        <f>AY17/AX17-1</f>
        <v>0.12120564343736628</v>
      </c>
      <c r="BA18" s="165">
        <f>BA17/AY17-1</f>
        <v>-2.0972354623450928E-2</v>
      </c>
      <c r="BB18" s="165">
        <f>BB17/BA17-1</f>
        <v>7.4975657254138239E-2</v>
      </c>
      <c r="BC18" s="165">
        <f>BC17/BB17-1</f>
        <v>-4.8913043478260865E-2</v>
      </c>
      <c r="BD18" s="165">
        <f>BD17/BC17-1</f>
        <v>0.16761904761904756</v>
      </c>
      <c r="BF18" s="165">
        <f>BF17/BD17-1</f>
        <v>-2.1207177814029365E-2</v>
      </c>
      <c r="BG18" s="165">
        <f>BG17/BF17-1</f>
        <v>2.0833333333333259E-2</v>
      </c>
      <c r="BH18" s="165">
        <f>BH17/BG17-1</f>
        <v>1.3877551020408108E-2</v>
      </c>
      <c r="BI18" s="165">
        <f>BI17/BH17-1</f>
        <v>4.0257648953301306E-3</v>
      </c>
      <c r="BK18" s="165">
        <f>BK17/BI17-1</f>
        <v>9.223736968724916E-3</v>
      </c>
      <c r="BL18" s="165">
        <f>BL17/BK17-1</f>
        <v>0.13865532196214225</v>
      </c>
      <c r="BM18" s="165">
        <f>BM17/BK17-1</f>
        <v>0.12355800785378168</v>
      </c>
      <c r="BN18" s="165">
        <f>BN17/BL17-1</f>
        <v>1.7445917655268595E-2</v>
      </c>
      <c r="BP18" s="165">
        <f>BP17/BN17-1</f>
        <v>2.8806584362139898E-2</v>
      </c>
    </row>
    <row r="19" spans="1:68" s="164" customFormat="1" ht="12.75" customHeight="1">
      <c r="A19" s="164" t="s">
        <v>353</v>
      </c>
      <c r="W19" s="165">
        <f>W17/R17-1</f>
        <v>0.19789762340036576</v>
      </c>
      <c r="X19" s="165">
        <f>X17/S17-1</f>
        <v>0.1472868217054264</v>
      </c>
      <c r="Y19" s="165">
        <f>Y17/T17-1</f>
        <v>0.17691095350669817</v>
      </c>
      <c r="Z19" s="165">
        <f>Z17/U17-1</f>
        <v>0.20753375977256594</v>
      </c>
      <c r="AB19" s="165">
        <f>AB17/W17-1</f>
        <v>0.26707363601678735</v>
      </c>
      <c r="AC19" s="165">
        <f>AC17/X17-1</f>
        <v>0.21621621621621623</v>
      </c>
      <c r="AD19" s="165">
        <f>AD17/Y17-1</f>
        <v>0.1981921660528958</v>
      </c>
      <c r="AE19" s="165">
        <f>AE17/Z17-1</f>
        <v>0.12007062978222494</v>
      </c>
      <c r="AG19" s="165">
        <f>AG17/AB17-1</f>
        <v>0.16410719662752182</v>
      </c>
      <c r="AH19" s="165">
        <f>AH17/AC17-1</f>
        <v>0.19694444444444437</v>
      </c>
      <c r="AI19" s="165">
        <f>AI17/AD17-1</f>
        <v>0.5115954177144455</v>
      </c>
      <c r="AJ19" s="165">
        <f>AJ17/AE17-1</f>
        <v>0.44955333683657384</v>
      </c>
      <c r="AL19" s="165">
        <f>AL17/AG17-1</f>
        <v>0.39756854630108629</v>
      </c>
      <c r="AM19" s="165">
        <f>AM17/AH17-1</f>
        <v>0.51937804595033676</v>
      </c>
      <c r="AN19" s="165">
        <f>AN17/AI17-1</f>
        <v>0.24584103512014788</v>
      </c>
      <c r="AO19" s="165">
        <f>AO17/AJ17-1</f>
        <v>0.2724306688417617</v>
      </c>
      <c r="AQ19" s="165">
        <f>AQ17/AL17-1</f>
        <v>0.27632796594484565</v>
      </c>
      <c r="AR19" s="165">
        <f>AR17/AM17-1</f>
        <v>0.10432259049946535</v>
      </c>
      <c r="AS19" s="165">
        <f>AS17/AN17-1</f>
        <v>0.12418397626112765</v>
      </c>
      <c r="AT19" s="165">
        <f>AT17/AO17-1</f>
        <v>0.20299145299145294</v>
      </c>
      <c r="AV19" s="165">
        <f>AV17/AQ17-1</f>
        <v>0.17270881670533655</v>
      </c>
      <c r="AW19" s="165">
        <f>AW17/AR17-1</f>
        <v>0.19999999999999996</v>
      </c>
      <c r="AX19" s="165">
        <f>AX17/AS17-1</f>
        <v>0.2347894945228981</v>
      </c>
      <c r="AY19" s="165">
        <f>AY17/AT17-1</f>
        <v>0.24215512137359374</v>
      </c>
      <c r="AZ19" s="465"/>
      <c r="BA19" s="165">
        <f>BA17/AV17-1</f>
        <v>0.26993940892790902</v>
      </c>
      <c r="BB19" s="165">
        <f>BB17/AW17-1</f>
        <v>0.27247579529737198</v>
      </c>
      <c r="BC19" s="165">
        <f>BC17/AX17-1</f>
        <v>0.12227447627191101</v>
      </c>
      <c r="BD19" s="165">
        <f>BD17/AY17-1</f>
        <v>0.16873212583412767</v>
      </c>
      <c r="BF19" s="165">
        <f>BF17/BA17-1</f>
        <v>0.16845180136319371</v>
      </c>
      <c r="BG19" s="165">
        <f>BG17/BB17-1</f>
        <v>0.10960144927536231</v>
      </c>
      <c r="BH19" s="165">
        <f>BH17/BC17-1</f>
        <v>0.18285714285714283</v>
      </c>
      <c r="BI19" s="165">
        <f>BI17/BD17-1</f>
        <v>1.71288743882545E-2</v>
      </c>
      <c r="BK19" s="165">
        <f>BK17/BF17-1</f>
        <v>4.8751666666666527E-2</v>
      </c>
      <c r="BL19" s="165">
        <f>BL17/BG17-1</f>
        <v>0.16979591836734698</v>
      </c>
      <c r="BM19" s="165">
        <f>BM17/BH17-1</f>
        <v>0.13848631239935583</v>
      </c>
      <c r="BN19" s="165">
        <f>BN17/BI17-1</f>
        <v>0.16920609462710501</v>
      </c>
      <c r="BP19" s="165">
        <f>BP17/BK17-1</f>
        <v>0.19189321908109802</v>
      </c>
    </row>
    <row r="20" spans="1:68" s="481" customFormat="1" ht="12.75" customHeight="1">
      <c r="Z20" s="481">
        <f>Z21-Y21</f>
        <v>42.399999999999977</v>
      </c>
      <c r="AE20" s="481">
        <f>AE21-AD21</f>
        <v>22.400000000000034</v>
      </c>
      <c r="AJ20" s="481">
        <f>AJ21-AI21</f>
        <v>14.199999999999932</v>
      </c>
      <c r="AO20" s="481">
        <f>AO21-AN21</f>
        <v>20</v>
      </c>
      <c r="AT20" s="481">
        <f>AT21-AS21</f>
        <v>89.298999999999978</v>
      </c>
      <c r="AY20" s="479"/>
      <c r="BL20" s="535"/>
    </row>
    <row r="21" spans="1:68">
      <c r="A21" t="s">
        <v>329</v>
      </c>
      <c r="R21">
        <v>195.9</v>
      </c>
      <c r="S21">
        <v>223.9</v>
      </c>
      <c r="T21">
        <v>216.2</v>
      </c>
      <c r="U21">
        <v>248.2</v>
      </c>
      <c r="W21">
        <v>233.2</v>
      </c>
      <c r="X21">
        <v>272.2</v>
      </c>
      <c r="Y21">
        <v>277.5</v>
      </c>
      <c r="Z21">
        <v>319.89999999999998</v>
      </c>
      <c r="AB21">
        <v>307.8</v>
      </c>
      <c r="AC21">
        <v>328</v>
      </c>
      <c r="AD21">
        <v>328.2</v>
      </c>
      <c r="AE21">
        <v>350.6</v>
      </c>
      <c r="AG21">
        <v>360.9</v>
      </c>
      <c r="AH21">
        <v>411.1</v>
      </c>
      <c r="AI21">
        <v>517.6</v>
      </c>
      <c r="AJ21">
        <v>531.79999999999995</v>
      </c>
      <c r="AL21">
        <v>508.8</v>
      </c>
      <c r="AM21">
        <v>619.1</v>
      </c>
      <c r="AN21">
        <v>634.29999999999995</v>
      </c>
      <c r="AO21">
        <f>+AN21+20</f>
        <v>654.29999999999995</v>
      </c>
      <c r="AQ21" s="374">
        <f>AQ17-AQ25</f>
        <v>633.38700000000006</v>
      </c>
      <c r="AR21" s="374">
        <f>AR17-AR25</f>
        <v>672.43700000000001</v>
      </c>
      <c r="AS21" s="374">
        <f>AS17-AS25</f>
        <v>707.67600000000004</v>
      </c>
      <c r="AT21" s="374">
        <f>AT17-AT25</f>
        <v>796.97500000000002</v>
      </c>
      <c r="AU21" s="374"/>
      <c r="AV21">
        <v>763.3</v>
      </c>
      <c r="AW21">
        <v>826.9</v>
      </c>
      <c r="AX21">
        <f>AX17-AX25</f>
        <v>892.1</v>
      </c>
      <c r="AY21" s="374">
        <f>AY17-AY25</f>
        <v>1010.273</v>
      </c>
      <c r="AZ21" s="374"/>
      <c r="BA21" s="374">
        <f>BA17-BA25</f>
        <v>992.40599999999995</v>
      </c>
      <c r="BB21" s="374">
        <f>BB17-BB25</f>
        <v>1074.943</v>
      </c>
      <c r="BC21" s="374">
        <f>BC17-BC25</f>
        <v>1019.038</v>
      </c>
      <c r="BD21" s="175">
        <f>BD17-BD25</f>
        <v>1187.5</v>
      </c>
      <c r="BF21" s="374">
        <f>BF17-BF25</f>
        <v>1160.788</v>
      </c>
      <c r="BG21" s="374">
        <f>BG17-BG25</f>
        <v>1189.0999999999999</v>
      </c>
      <c r="BH21" s="374">
        <f>BH17-BH25</f>
        <v>1203</v>
      </c>
      <c r="BI21" s="175">
        <f>1247-37.2</f>
        <v>1209.8</v>
      </c>
      <c r="BK21">
        <v>1220</v>
      </c>
      <c r="BL21" s="186">
        <v>1400</v>
      </c>
      <c r="BM21">
        <v>1380</v>
      </c>
      <c r="BN21" s="374">
        <v>1430</v>
      </c>
      <c r="BO21" s="275"/>
      <c r="BP21">
        <v>1460</v>
      </c>
    </row>
    <row r="22" spans="1:68" s="164" customFormat="1" ht="11.65">
      <c r="A22" s="164" t="s">
        <v>352</v>
      </c>
      <c r="S22" s="165">
        <f>S21/R21-1</f>
        <v>0.14293006636038785</v>
      </c>
      <c r="T22" s="165">
        <f>T21/S21-1</f>
        <v>-3.4390352836087601E-2</v>
      </c>
      <c r="U22" s="165">
        <f>U21/T21-1</f>
        <v>0.14801110083256241</v>
      </c>
      <c r="W22" s="165">
        <f>W21/U21-1</f>
        <v>-6.0435132957292526E-2</v>
      </c>
      <c r="X22" s="165">
        <f>X21/W21-1</f>
        <v>0.16723842195540306</v>
      </c>
      <c r="Y22" s="165">
        <f>Y21/X21-1</f>
        <v>1.947097722263047E-2</v>
      </c>
      <c r="Z22" s="165">
        <f>Z21/Y21-1</f>
        <v>0.15279279279279279</v>
      </c>
      <c r="AB22" s="165">
        <f>AB21/Z21-1</f>
        <v>-3.7824320100031117E-2</v>
      </c>
      <c r="AC22" s="165">
        <f>AC21/AB21-1</f>
        <v>6.5627030539311182E-2</v>
      </c>
      <c r="AD22" s="165">
        <f>AD21/AC21-1</f>
        <v>6.0975609756086513E-4</v>
      </c>
      <c r="AE22" s="165">
        <f>AE21/AD21-1</f>
        <v>6.8251066422913009E-2</v>
      </c>
      <c r="AG22" s="165">
        <f>AG21/AE21-1</f>
        <v>2.9378208784939908E-2</v>
      </c>
      <c r="AH22" s="165">
        <f>AH21/AG21-1</f>
        <v>0.13909670268772523</v>
      </c>
      <c r="AI22" s="165">
        <f>AI21/AH21-1</f>
        <v>0.25906105570420812</v>
      </c>
      <c r="AJ22" s="165">
        <f>AJ21/AI21-1</f>
        <v>2.7434312210200762E-2</v>
      </c>
      <c r="AL22" s="165">
        <f>AL21/AJ21-1</f>
        <v>-4.3249341857841239E-2</v>
      </c>
      <c r="AM22" s="165">
        <f>AM21/AL21-1</f>
        <v>0.21678459119496862</v>
      </c>
      <c r="AN22" s="165">
        <f>AN21/AM21-1</f>
        <v>2.4551768696494891E-2</v>
      </c>
      <c r="AO22" s="165">
        <f>AO21/AN21-1</f>
        <v>3.1530821377896867E-2</v>
      </c>
      <c r="AQ22" s="165">
        <f>AQ21/AO21-1</f>
        <v>-3.1962402567629389E-2</v>
      </c>
      <c r="AR22" s="165">
        <f>AR21/AQ21-1</f>
        <v>6.1652670484237948E-2</v>
      </c>
      <c r="AS22" s="165">
        <f>AS21/AR21-1</f>
        <v>5.2404909307488978E-2</v>
      </c>
      <c r="AT22" s="165">
        <f>AT21/AS21-1</f>
        <v>0.12618627733595589</v>
      </c>
      <c r="AU22" s="394"/>
      <c r="AV22" s="165">
        <f>AV21/AT21-1</f>
        <v>-4.2253521126760618E-2</v>
      </c>
      <c r="AW22" s="165">
        <f>AW21/AV21-1</f>
        <v>8.3322415826018625E-2</v>
      </c>
      <c r="AX22" s="165">
        <f>AX21/AW21-1</f>
        <v>7.8848712057080661E-2</v>
      </c>
      <c r="AY22" s="165">
        <f>AY21/AX21-1</f>
        <v>0.13246609124537612</v>
      </c>
      <c r="BA22" s="165">
        <f>BA21/AY21-1</f>
        <v>-1.7685318720781495E-2</v>
      </c>
      <c r="BB22" s="165">
        <f>BB21/BA21-1</f>
        <v>8.3168582213328124E-2</v>
      </c>
      <c r="BC22" s="165">
        <f>BC21/BB21-1</f>
        <v>-5.2007408764929819E-2</v>
      </c>
      <c r="BD22" s="165">
        <f>BD21/BC21-1</f>
        <v>0.16531473801762053</v>
      </c>
      <c r="BF22" s="165">
        <f>BF21/BD21-1</f>
        <v>-2.2494315789473696E-2</v>
      </c>
      <c r="BG22" s="165">
        <f>BG21/BF21-1</f>
        <v>2.4390327949634028E-2</v>
      </c>
      <c r="BH22" s="165">
        <f>BH21/BG21-1</f>
        <v>1.1689513077117297E-2</v>
      </c>
      <c r="BI22" s="165">
        <f>BI21/BH21-1</f>
        <v>5.6525353283458646E-3</v>
      </c>
      <c r="BK22" s="165">
        <f>BK21/BI21-1</f>
        <v>8.4311456439081223E-3</v>
      </c>
      <c r="BL22" s="165">
        <f>BL21/BK21-1</f>
        <v>0.14754098360655732</v>
      </c>
      <c r="BM22" s="165">
        <f>BM21/BK21-1</f>
        <v>0.13114754098360648</v>
      </c>
      <c r="BN22" s="165">
        <f>BN21/BL21-1</f>
        <v>2.1428571428571352E-2</v>
      </c>
    </row>
    <row r="23" spans="1:68" s="164" customFormat="1" ht="11.65">
      <c r="A23" s="164" t="s">
        <v>353</v>
      </c>
      <c r="W23" s="165">
        <f>W21/R21-1</f>
        <v>0.19040326697294518</v>
      </c>
      <c r="X23" s="165">
        <f>X21/S21-1</f>
        <v>0.21572130415363988</v>
      </c>
      <c r="Y23" s="165">
        <f>Y21/T21-1</f>
        <v>0.28353376503237748</v>
      </c>
      <c r="Z23" s="165">
        <f>Z21/U21-1</f>
        <v>0.28887993553585822</v>
      </c>
      <c r="AB23" s="165">
        <f>AB21/W21-1</f>
        <v>0.31989708404802752</v>
      </c>
      <c r="AC23" s="165">
        <f>AC21/X21-1</f>
        <v>0.20499632623071284</v>
      </c>
      <c r="AD23" s="165">
        <f>AD21/Y21-1</f>
        <v>0.18270270270270261</v>
      </c>
      <c r="AE23" s="165">
        <f>AE21/Z21-1</f>
        <v>9.5967489840575348E-2</v>
      </c>
      <c r="AG23" s="165">
        <f>AG21/AB21-1</f>
        <v>0.17251461988304073</v>
      </c>
      <c r="AH23" s="165">
        <f>AH21/AC21-1</f>
        <v>0.25335365853658542</v>
      </c>
      <c r="AI23" s="165">
        <f>AI21/AD21-1</f>
        <v>0.57708714198659372</v>
      </c>
      <c r="AJ23" s="165">
        <f>AJ21/AE21-1</f>
        <v>0.51682829435253819</v>
      </c>
      <c r="AL23" s="165">
        <f>AL21/AG21-1</f>
        <v>0.40980881130507085</v>
      </c>
      <c r="AM23" s="165">
        <f>AM21/AH21-1</f>
        <v>0.50595962053028454</v>
      </c>
      <c r="AN23" s="165">
        <f>AN21/AI21-1</f>
        <v>0.22546367851622851</v>
      </c>
      <c r="AO23" s="165">
        <f>AO21/AJ21-1</f>
        <v>0.23034975554719828</v>
      </c>
      <c r="AQ23" s="165">
        <f>AQ21/AL21-1</f>
        <v>0.24486438679245293</v>
      </c>
      <c r="AR23" s="165">
        <f>AR21/AM21-1</f>
        <v>8.6152479405588789E-2</v>
      </c>
      <c r="AS23" s="165">
        <f>AS21/AN21-1</f>
        <v>0.11568027747122822</v>
      </c>
      <c r="AT23" s="165">
        <f>AT21/AO21-1</f>
        <v>0.21805746599419229</v>
      </c>
      <c r="AV23" s="165">
        <f>AV21/AQ21-1</f>
        <v>0.20510840923479634</v>
      </c>
      <c r="AW23" s="165">
        <f>AW21/AR21-1</f>
        <v>0.22970627731668536</v>
      </c>
      <c r="AX23" s="165">
        <f>AX21/AS21-1</f>
        <v>0.26060513568356125</v>
      </c>
      <c r="AY23" s="165">
        <f>AY21/AT21-1</f>
        <v>0.26763449292637786</v>
      </c>
      <c r="BA23" s="165">
        <f>BA21/AV21-1</f>
        <v>0.30015197170182106</v>
      </c>
      <c r="BB23" s="165">
        <f>BB21/AW21-1</f>
        <v>0.29996734792598856</v>
      </c>
      <c r="BC23" s="165">
        <f>BC21/AX21-1</f>
        <v>0.14229122295706764</v>
      </c>
      <c r="BD23" s="165">
        <f>BD21/AY21-1</f>
        <v>0.17542486040901806</v>
      </c>
      <c r="BF23" s="165">
        <f>BF21/BA21-1</f>
        <v>0.16967047760694731</v>
      </c>
      <c r="BG23" s="165">
        <f>BG21/BB21-1</f>
        <v>0.10619818911328305</v>
      </c>
      <c r="BH23" s="165">
        <f>BH21/BC21-1</f>
        <v>0.18052516196648205</v>
      </c>
      <c r="BI23" s="165">
        <f>BI21/BD21-1</f>
        <v>1.8778947368421006E-2</v>
      </c>
      <c r="BK23" s="165">
        <f>BK21/BF21-1</f>
        <v>5.1010175846063266E-2</v>
      </c>
      <c r="BL23" s="165">
        <f>BL21/BG21-1</f>
        <v>0.17736102934992859</v>
      </c>
      <c r="BM23" s="165">
        <f>BM21/BH21-1</f>
        <v>0.1471321695760599</v>
      </c>
      <c r="BN23" s="165">
        <f>BN21/BI21-1</f>
        <v>0.18201355595966273</v>
      </c>
    </row>
    <row r="24" spans="1:68" s="481" customFormat="1" ht="11.65">
      <c r="Z24" s="481">
        <f>Z25-Y25</f>
        <v>-1.3000000000000007</v>
      </c>
      <c r="AE24" s="481">
        <f>AE25-AD25</f>
        <v>0.30000000000001137</v>
      </c>
      <c r="AJ24" s="481">
        <f>AJ25-AI25</f>
        <v>-3.4999999999998863</v>
      </c>
      <c r="AO24" s="481">
        <f>AO25-AN25</f>
        <v>8</v>
      </c>
      <c r="AT24" s="481">
        <f>AT25-AS25</f>
        <v>-2.4990000000000023</v>
      </c>
      <c r="AY24" s="479"/>
      <c r="BL24" s="535"/>
    </row>
    <row r="25" spans="1:68">
      <c r="A25" t="s">
        <v>330</v>
      </c>
      <c r="R25">
        <v>22.8</v>
      </c>
      <c r="S25">
        <v>34.200000000000003</v>
      </c>
      <c r="T25">
        <v>37.6</v>
      </c>
      <c r="U25">
        <v>33.200000000000003</v>
      </c>
      <c r="W25">
        <v>29</v>
      </c>
      <c r="X25">
        <v>23.8</v>
      </c>
      <c r="Y25">
        <v>21.2</v>
      </c>
      <c r="Z25">
        <v>19.899999999999999</v>
      </c>
      <c r="AB25">
        <v>24.3</v>
      </c>
      <c r="AC25">
        <v>32</v>
      </c>
      <c r="AD25">
        <f>AD17-AD21</f>
        <v>29.699999999999989</v>
      </c>
      <c r="AE25">
        <f>AE17-AE21</f>
        <v>30</v>
      </c>
      <c r="AG25">
        <f>AG17-AG21</f>
        <v>25.700000000000045</v>
      </c>
      <c r="AH25">
        <f>AH17-AH21</f>
        <v>19.799999999999955</v>
      </c>
      <c r="AI25">
        <f>AI17-AI21</f>
        <v>23.399999999999977</v>
      </c>
      <c r="AJ25">
        <f>AJ17-AJ21</f>
        <v>19.900000000000091</v>
      </c>
      <c r="AL25">
        <f>AL17-AL21</f>
        <v>31.499999999999943</v>
      </c>
      <c r="AM25">
        <f>AM17-AM21</f>
        <v>35.600000000000023</v>
      </c>
      <c r="AN25">
        <f>AN17-AN21</f>
        <v>39.700000000000045</v>
      </c>
      <c r="AO25">
        <f>AO17-AO21</f>
        <v>47.700000000000045</v>
      </c>
      <c r="AQ25" s="374">
        <v>56.213000000000001</v>
      </c>
      <c r="AR25" s="374">
        <v>50.563000000000002</v>
      </c>
      <c r="AS25" s="374">
        <v>50.024000000000001</v>
      </c>
      <c r="AT25" s="374">
        <v>47.524999999999999</v>
      </c>
      <c r="AV25">
        <f>AV17-AV21</f>
        <v>45.400000000000091</v>
      </c>
      <c r="AW25">
        <f>AW17-AW21</f>
        <v>40.700000000000045</v>
      </c>
      <c r="AX25">
        <v>43.5</v>
      </c>
      <c r="AY25" s="275">
        <v>38.726999999999997</v>
      </c>
      <c r="BA25" s="374">
        <v>34.594000000000001</v>
      </c>
      <c r="BB25" s="374">
        <v>29.056999999999999</v>
      </c>
      <c r="BC25" s="374">
        <v>30.962</v>
      </c>
      <c r="BD25" s="374">
        <v>38.5</v>
      </c>
      <c r="BF25" s="374">
        <v>39.212000000000003</v>
      </c>
      <c r="BG25" s="374">
        <v>35.9</v>
      </c>
      <c r="BH25" s="374">
        <v>39</v>
      </c>
      <c r="BI25" s="374">
        <v>37.200000000000003</v>
      </c>
      <c r="BK25" s="374">
        <v>42.183</v>
      </c>
      <c r="BL25" s="536">
        <v>37.200000000000003</v>
      </c>
      <c r="BM25" s="374">
        <v>32.468000000000004</v>
      </c>
      <c r="BN25" s="374">
        <v>31.042000000000002</v>
      </c>
      <c r="BP25" s="230">
        <f>+BP17-BP21</f>
        <v>40</v>
      </c>
    </row>
    <row r="26" spans="1:68" s="164" customFormat="1" ht="11.65">
      <c r="A26" s="164" t="s">
        <v>352</v>
      </c>
      <c r="S26" s="165">
        <f>S25/R25-1</f>
        <v>0.5</v>
      </c>
      <c r="T26" s="165">
        <f>T25/S25-1</f>
        <v>9.9415204678362512E-2</v>
      </c>
      <c r="U26" s="165">
        <f>U25/T25-1</f>
        <v>-0.11702127659574468</v>
      </c>
      <c r="W26" s="165">
        <f>W25/U25-1</f>
        <v>-0.12650602409638567</v>
      </c>
      <c r="X26" s="165">
        <f>X25/W25-1</f>
        <v>-0.17931034482758623</v>
      </c>
      <c r="Y26" s="165">
        <f>Y25/X25-1</f>
        <v>-0.10924369747899165</v>
      </c>
      <c r="Z26" s="165">
        <f>Z25/Y25-1</f>
        <v>-6.1320754716981174E-2</v>
      </c>
      <c r="AB26" s="165">
        <f>AB25/Z25-1</f>
        <v>0.22110552763819102</v>
      </c>
      <c r="AC26" s="165">
        <f>AC25/AB25-1</f>
        <v>0.3168724279835391</v>
      </c>
      <c r="AD26" s="165">
        <f>AD25/AC25-1</f>
        <v>-7.1875000000000355E-2</v>
      </c>
      <c r="AE26" s="165">
        <f>AE25/AD25-1</f>
        <v>1.0101010101010388E-2</v>
      </c>
      <c r="AG26" s="165">
        <f>AG25/AE25-1</f>
        <v>-0.14333333333333187</v>
      </c>
      <c r="AH26" s="165">
        <f>AH25/AG25-1</f>
        <v>-0.22957198443580085</v>
      </c>
      <c r="AI26" s="165">
        <f>AI25/AH25-1</f>
        <v>0.18181818181818343</v>
      </c>
      <c r="AJ26" s="165">
        <f>AJ25/AI25-1</f>
        <v>-0.14957264957264482</v>
      </c>
      <c r="AL26" s="165">
        <f>AL25/AJ25-1</f>
        <v>0.58291457286431148</v>
      </c>
      <c r="AM26" s="165">
        <f>AM25/AL25-1</f>
        <v>0.13015873015873303</v>
      </c>
      <c r="AN26" s="165">
        <f>AN25/AM25-1</f>
        <v>0.11516853932584326</v>
      </c>
      <c r="AO26" s="165">
        <f>AO25/AN25-1</f>
        <v>0.20151133501259433</v>
      </c>
      <c r="AQ26" s="165">
        <f>AQ25/AO25-1</f>
        <v>0.17846960167714765</v>
      </c>
      <c r="AR26" s="165">
        <f>AR25/AQ25-1</f>
        <v>-0.10051055805596565</v>
      </c>
      <c r="AS26" s="165">
        <f>AS25/AR25-1</f>
        <v>-1.0659968751854154E-2</v>
      </c>
      <c r="AT26" s="165">
        <f>AT25/AS25-1</f>
        <v>-4.9956021109867299E-2</v>
      </c>
      <c r="AV26" s="165">
        <f>AV25/AT25-1</f>
        <v>-4.4713308784848138E-2</v>
      </c>
      <c r="AW26" s="165">
        <f>AW25/AV25-1</f>
        <v>-0.10352422907489067</v>
      </c>
      <c r="AX26" s="165">
        <f>AX25/AW25-1</f>
        <v>6.8796068796067589E-2</v>
      </c>
      <c r="AY26" s="165">
        <f>AY25/AX25-1</f>
        <v>-0.10972413793103453</v>
      </c>
      <c r="BA26" s="165">
        <f>BA25/AY25-1</f>
        <v>-0.10672140883621239</v>
      </c>
      <c r="BB26" s="165">
        <f>BB25/BA25-1</f>
        <v>-0.16005665722379614</v>
      </c>
      <c r="BC26" s="165">
        <f>BC25/BB25-1</f>
        <v>6.5560794300856928E-2</v>
      </c>
      <c r="BD26" s="165">
        <f>BD25/BC25-1</f>
        <v>0.24345972482397782</v>
      </c>
      <c r="BF26" s="165">
        <f>BF25/BD25-1</f>
        <v>1.8493506493506562E-2</v>
      </c>
      <c r="BG26" s="165">
        <f>BG25/BF25-1</f>
        <v>-8.4463939610323502E-2</v>
      </c>
      <c r="BH26" s="165">
        <f>BH25/BG25-1</f>
        <v>8.6350974930362145E-2</v>
      </c>
      <c r="BI26" s="165">
        <f>BI25/BH25-1</f>
        <v>-4.6153846153846101E-2</v>
      </c>
      <c r="BK26" s="165">
        <f>BK25/BI25-1</f>
        <v>0.13395161290322566</v>
      </c>
      <c r="BL26" s="165">
        <f>BL25/BK25-1</f>
        <v>-0.11812815589218395</v>
      </c>
      <c r="BM26" s="165">
        <f>BM25/BK25-1</f>
        <v>-0.23030604745987715</v>
      </c>
      <c r="BN26" s="165">
        <f>BN25/BL25-1</f>
        <v>-0.16553763440860214</v>
      </c>
    </row>
    <row r="27" spans="1:68" s="164" customFormat="1" ht="11.65">
      <c r="A27" s="164" t="s">
        <v>353</v>
      </c>
      <c r="W27" s="165">
        <f>W25/R25-1</f>
        <v>0.27192982456140347</v>
      </c>
      <c r="X27" s="165">
        <f>X25/S25-1</f>
        <v>-0.30409356725146197</v>
      </c>
      <c r="Y27" s="165">
        <f>Y25/T25-1</f>
        <v>-0.43617021276595747</v>
      </c>
      <c r="Z27" s="165">
        <f>Z25/U25-1</f>
        <v>-0.40060240963855431</v>
      </c>
      <c r="AB27" s="165">
        <f>AB25/W25-1</f>
        <v>-0.16206896551724137</v>
      </c>
      <c r="AC27" s="165">
        <f>AC25/X25-1</f>
        <v>0.34453781512605031</v>
      </c>
      <c r="AD27" s="165">
        <f>AD25/Y25-1</f>
        <v>0.40094339622641462</v>
      </c>
      <c r="AE27" s="165">
        <f>AE25/Z25-1</f>
        <v>0.50753768844221114</v>
      </c>
      <c r="AG27" s="165">
        <f>AG25/AB25-1</f>
        <v>5.7613168724281572E-2</v>
      </c>
      <c r="AH27" s="165">
        <f>AH25/AC25-1</f>
        <v>-0.38125000000000142</v>
      </c>
      <c r="AI27" s="165">
        <f>AI25/AD25-1</f>
        <v>-0.2121212121212126</v>
      </c>
      <c r="AJ27" s="165">
        <f>AJ25/AE25-1</f>
        <v>-0.33666666666666367</v>
      </c>
      <c r="AL27" s="165">
        <f>AL25/AG25-1</f>
        <v>0.22568093385213572</v>
      </c>
      <c r="AM27" s="165">
        <f>AM25/AH25-1</f>
        <v>0.79797979797980334</v>
      </c>
      <c r="AN27" s="165">
        <f>AN25/AI25-1</f>
        <v>0.6965811965812001</v>
      </c>
      <c r="AO27" s="165">
        <f>AO25/AJ25-1</f>
        <v>1.3969849246231067</v>
      </c>
      <c r="AQ27" s="165">
        <f>AQ25/AL25-1</f>
        <v>0.78453968253968576</v>
      </c>
      <c r="AR27" s="165">
        <f>AR25/AM25-1</f>
        <v>0.4203089887640441</v>
      </c>
      <c r="AS27" s="165">
        <f>AS25/AN25-1</f>
        <v>0.26005037783375173</v>
      </c>
      <c r="AT27" s="165">
        <f>AT25/AO25-1</f>
        <v>-3.6687631027263468E-3</v>
      </c>
      <c r="AV27" s="165">
        <f>AV25/AQ25-1</f>
        <v>-0.19235763969188457</v>
      </c>
      <c r="AW27" s="165">
        <f>AW25/AR25-1</f>
        <v>-0.19506358404366742</v>
      </c>
      <c r="AX27" s="165">
        <f>AX25/AS25-1</f>
        <v>-0.1304173996481689</v>
      </c>
      <c r="AY27" s="165">
        <f>AY25/AT25-1</f>
        <v>-0.18512361914781694</v>
      </c>
      <c r="BA27" s="165">
        <f>BA25/AV25-1</f>
        <v>-0.23801762114537595</v>
      </c>
      <c r="BB27" s="165">
        <f>BB25/AW25-1</f>
        <v>-0.28606879606879687</v>
      </c>
      <c r="BC27" s="165">
        <f>BC25/AX25-1</f>
        <v>-0.28822988505747127</v>
      </c>
      <c r="BD27" s="165">
        <f>BD25/AY25-1</f>
        <v>-5.8615436258939724E-3</v>
      </c>
      <c r="BF27" s="165">
        <f>BF25/BA25-1</f>
        <v>0.13349135688269653</v>
      </c>
      <c r="BG27" s="165">
        <f>BG25/BB25-1</f>
        <v>0.23550263275630656</v>
      </c>
      <c r="BH27" s="165">
        <f>BH25/BC25-1</f>
        <v>0.25960855241909431</v>
      </c>
      <c r="BI27" s="165">
        <f>BI25/BD25-1</f>
        <v>-3.3766233766233666E-2</v>
      </c>
      <c r="BK27" s="165">
        <f>BK25/BF25-1</f>
        <v>7.5767622156482695E-2</v>
      </c>
      <c r="BL27" s="165">
        <f>BL25/BG25-1</f>
        <v>3.6211699164345523E-2</v>
      </c>
      <c r="BM27" s="165">
        <f>BM25/BH25-1</f>
        <v>-0.16748717948717939</v>
      </c>
      <c r="BN27" s="165">
        <f>BN25/BI25-1</f>
        <v>-0.16553763440860214</v>
      </c>
    </row>
    <row r="28" spans="1:68" s="481" customFormat="1" ht="11.65">
      <c r="Z28" s="481">
        <f>Z29-Y29</f>
        <v>10.200000000000003</v>
      </c>
      <c r="AE28" s="481">
        <f>AE29-AD29</f>
        <v>16.5</v>
      </c>
      <c r="AJ28" s="481">
        <f>AJ29-AI29</f>
        <v>1.3999999999999773</v>
      </c>
      <c r="AO28" s="481">
        <f>AO29-AN29</f>
        <v>5.7000000000000171</v>
      </c>
      <c r="AR28" s="481">
        <f>AR29-AQ29</f>
        <v>27.099999999999994</v>
      </c>
      <c r="AS28" s="481">
        <f>AS29-AR29</f>
        <v>6.9000000000000057</v>
      </c>
      <c r="AT28" s="481">
        <f>AT29-AS29</f>
        <v>44.699999999999989</v>
      </c>
      <c r="AY28" s="479"/>
      <c r="BL28" s="535"/>
    </row>
    <row r="29" spans="1:68">
      <c r="A29" t="s">
        <v>331</v>
      </c>
      <c r="R29">
        <v>71.8</v>
      </c>
      <c r="S29">
        <v>86.2</v>
      </c>
      <c r="T29">
        <v>84.4</v>
      </c>
      <c r="U29">
        <v>92.6</v>
      </c>
      <c r="W29">
        <v>81.599999999999994</v>
      </c>
      <c r="X29">
        <v>104</v>
      </c>
      <c r="Y29">
        <v>100.1</v>
      </c>
      <c r="Z29">
        <v>110.3</v>
      </c>
      <c r="AB29">
        <v>98.5</v>
      </c>
      <c r="AC29">
        <v>114</v>
      </c>
      <c r="AD29">
        <v>109</v>
      </c>
      <c r="AE29">
        <v>125.5</v>
      </c>
      <c r="AG29">
        <v>111.9</v>
      </c>
      <c r="AH29">
        <v>60.5</v>
      </c>
      <c r="AI29">
        <v>135.30000000000001</v>
      </c>
      <c r="AJ29">
        <v>136.69999999999999</v>
      </c>
      <c r="AL29">
        <v>117</v>
      </c>
      <c r="AM29">
        <v>154.4</v>
      </c>
      <c r="AN29">
        <v>152.1</v>
      </c>
      <c r="AO29" s="230">
        <v>157.80000000000001</v>
      </c>
      <c r="AQ29">
        <v>137.9</v>
      </c>
      <c r="AR29">
        <v>165</v>
      </c>
      <c r="AS29">
        <v>171.9</v>
      </c>
      <c r="AT29" s="374">
        <f>216.6</f>
        <v>216.6</v>
      </c>
      <c r="AU29" s="275"/>
      <c r="AV29">
        <v>191.7</v>
      </c>
      <c r="AW29">
        <v>235.1</v>
      </c>
      <c r="AX29">
        <v>236.2</v>
      </c>
      <c r="AY29" s="463">
        <v>242.65700000000001</v>
      </c>
      <c r="BA29" s="463">
        <v>297.60500000000002</v>
      </c>
      <c r="BB29" s="374">
        <v>266.685</v>
      </c>
      <c r="BC29" s="374">
        <v>260.45699999999999</v>
      </c>
      <c r="BD29">
        <v>279.90300000000002</v>
      </c>
      <c r="BF29" s="463">
        <v>334.66</v>
      </c>
      <c r="BG29" s="374">
        <v>355.9</v>
      </c>
      <c r="BH29" s="374">
        <v>354.88299999999998</v>
      </c>
      <c r="BI29">
        <v>365.4</v>
      </c>
      <c r="BK29" s="374">
        <v>352.863</v>
      </c>
      <c r="BL29" s="536">
        <v>394.8</v>
      </c>
      <c r="BM29">
        <v>393.3</v>
      </c>
      <c r="BN29">
        <v>407.25599999999997</v>
      </c>
    </row>
    <row r="30" spans="1:68" s="164" customFormat="1" ht="11.65">
      <c r="A30" s="164" t="s">
        <v>352</v>
      </c>
      <c r="S30" s="165">
        <f>S29/R29-1</f>
        <v>0.20055710306406693</v>
      </c>
      <c r="T30" s="165">
        <f>T29/S29-1</f>
        <v>-2.0881670533642649E-2</v>
      </c>
      <c r="U30" s="165">
        <f>U29/T29-1</f>
        <v>9.7156398104265351E-2</v>
      </c>
      <c r="W30" s="165">
        <f>W29/U29-1</f>
        <v>-0.11879049676025921</v>
      </c>
      <c r="X30" s="165">
        <f>X29/W29-1</f>
        <v>0.27450980392156876</v>
      </c>
      <c r="Y30" s="165">
        <f>Y29/X29-1</f>
        <v>-3.7500000000000089E-2</v>
      </c>
      <c r="Z30" s="165">
        <f>Z29/Y29-1</f>
        <v>0.101898101898102</v>
      </c>
      <c r="AB30" s="165">
        <f>AB29/Z29-1</f>
        <v>-0.10698096101541243</v>
      </c>
      <c r="AC30" s="165">
        <f>AC29/AB29-1</f>
        <v>0.15736040609137047</v>
      </c>
      <c r="AD30" s="165">
        <f>AD29/AC29-1</f>
        <v>-4.3859649122807043E-2</v>
      </c>
      <c r="AE30" s="165">
        <f>AE29/AD29-1</f>
        <v>0.15137614678899092</v>
      </c>
      <c r="AG30" s="165">
        <f>AG29/AE29-1</f>
        <v>-0.10836653386454176</v>
      </c>
      <c r="AH30" s="165">
        <f>AH29/AG29-1</f>
        <v>-0.45933869526362825</v>
      </c>
      <c r="AI30" s="165">
        <f>AI29/AH29-1</f>
        <v>1.2363636363636363</v>
      </c>
      <c r="AJ30" s="165">
        <f>AJ29/AI29-1</f>
        <v>1.0347376201034653E-2</v>
      </c>
      <c r="AL30" s="165">
        <f>AL29/AJ29-1</f>
        <v>-0.14411119239209946</v>
      </c>
      <c r="AM30" s="165">
        <f>AM29/AL29-1</f>
        <v>0.31965811965811963</v>
      </c>
      <c r="AN30" s="165">
        <f>AN29/AM29-1</f>
        <v>-1.4896373056994872E-2</v>
      </c>
      <c r="AO30" s="165">
        <f>AO29/AN29-1</f>
        <v>3.7475345167653051E-2</v>
      </c>
      <c r="AQ30" s="165">
        <f>AQ29/AO29-1</f>
        <v>-0.12610899873257286</v>
      </c>
      <c r="AR30" s="165">
        <f>AR29/AQ29-1</f>
        <v>0.19651921682378526</v>
      </c>
      <c r="AS30" s="165">
        <f>AS29/AR29-1</f>
        <v>4.1818181818181754E-2</v>
      </c>
      <c r="AT30" s="165">
        <f>AT29/AS29-1</f>
        <v>0.26003490401396157</v>
      </c>
      <c r="AV30" s="165">
        <f>AV29/AT29-1</f>
        <v>-0.11495844875346262</v>
      </c>
      <c r="AW30" s="165">
        <f>AW29/AV29-1</f>
        <v>0.22639540949400105</v>
      </c>
      <c r="AX30" s="165">
        <f>AX29/AW29-1</f>
        <v>4.6788600595490948E-3</v>
      </c>
      <c r="AY30" s="165">
        <f>AY29/AX29-1</f>
        <v>2.7337002540220201E-2</v>
      </c>
      <c r="BA30" s="165">
        <f>BA29/AY29-1</f>
        <v>0.22644308633173571</v>
      </c>
      <c r="BB30" s="165">
        <f>BB29/BA29-1</f>
        <v>-0.10389610389610393</v>
      </c>
      <c r="BC30" s="165">
        <f>BC29/BB29-1</f>
        <v>-2.3353394454131315E-2</v>
      </c>
      <c r="BD30" s="165">
        <f>BD29/BC29-1</f>
        <v>7.4661076492472889E-2</v>
      </c>
      <c r="BF30" s="165">
        <f>BF29/BD29-1</f>
        <v>0.19562848558250545</v>
      </c>
      <c r="BG30" s="165">
        <f>BG29/BF29-1</f>
        <v>6.3467399748998732E-2</v>
      </c>
      <c r="BH30" s="165">
        <f>BH29/BG29-1</f>
        <v>-2.8575442540039742E-3</v>
      </c>
      <c r="BI30" s="165">
        <f>BI29/BH29-1</f>
        <v>2.963511918012407E-2</v>
      </c>
      <c r="BK30" s="165">
        <f>BK29/BI29-1</f>
        <v>-3.4310344827586103E-2</v>
      </c>
      <c r="BL30" s="165">
        <f>BL29/BK29-1</f>
        <v>0.11884782479319167</v>
      </c>
      <c r="BM30" s="165">
        <f>BM29/BK29-1</f>
        <v>0.11459688320963091</v>
      </c>
      <c r="BN30" s="165">
        <f>BN29/BL29-1</f>
        <v>3.1550151975683782E-2</v>
      </c>
    </row>
    <row r="31" spans="1:68" s="164" customFormat="1" ht="11.65">
      <c r="A31" s="164" t="s">
        <v>353</v>
      </c>
      <c r="W31" s="165">
        <f>W29/R29-1</f>
        <v>0.13649025069637877</v>
      </c>
      <c r="X31" s="165">
        <f>X29/S29-1</f>
        <v>0.20649651972157779</v>
      </c>
      <c r="Y31" s="165">
        <f>Y29/T29-1</f>
        <v>0.1860189573459714</v>
      </c>
      <c r="Z31" s="165">
        <f>Z29/U29-1</f>
        <v>0.1911447084233262</v>
      </c>
      <c r="AB31" s="165">
        <f>AB29/W29-1</f>
        <v>0.20710784313725505</v>
      </c>
      <c r="AC31" s="165">
        <f>AC29/X29-1</f>
        <v>9.6153846153846256E-2</v>
      </c>
      <c r="AD31" s="165">
        <f>AD29/Y29-1</f>
        <v>8.8911088911088898E-2</v>
      </c>
      <c r="AE31" s="165">
        <f>AE29/Z29-1</f>
        <v>0.13780598368087049</v>
      </c>
      <c r="AG31" s="165">
        <f>AG29/AB29-1</f>
        <v>0.13604060913705585</v>
      </c>
      <c r="AH31" s="165">
        <f>AH29/AC29-1</f>
        <v>-0.4692982456140351</v>
      </c>
      <c r="AI31" s="165">
        <f>AI29/AD29-1</f>
        <v>0.24128440366972481</v>
      </c>
      <c r="AJ31" s="165">
        <f>AJ29/AE29-1</f>
        <v>8.924302788844618E-2</v>
      </c>
      <c r="AL31" s="165">
        <f>AL29/AG29-1</f>
        <v>4.5576407506702443E-2</v>
      </c>
      <c r="AM31" s="165">
        <f>AM29/AH29-1</f>
        <v>1.5520661157024795</v>
      </c>
      <c r="AN31" s="165">
        <f>AN29/AI29-1</f>
        <v>0.12416851441241672</v>
      </c>
      <c r="AO31" s="165">
        <f>AO29/AJ29-1</f>
        <v>0.15435259692757874</v>
      </c>
      <c r="AQ31" s="165">
        <f>AQ29/AL29-1</f>
        <v>0.17863247863247866</v>
      </c>
      <c r="AR31" s="165">
        <f>AR29/AM29-1</f>
        <v>6.8652849740932664E-2</v>
      </c>
      <c r="AS31" s="165">
        <f>AS29/AN29-1</f>
        <v>0.13017751479289941</v>
      </c>
      <c r="AT31" s="373">
        <f>AVERAGE(AO31:AS31)</f>
        <v>0.13295386002347237</v>
      </c>
      <c r="AV31" s="165">
        <f>AV29/AQ29-1</f>
        <v>0.39013778100072494</v>
      </c>
      <c r="AW31" s="165">
        <f>AW29/AR29-1</f>
        <v>0.42484848484848481</v>
      </c>
      <c r="AX31" s="165">
        <f>AX29/AS29-1</f>
        <v>0.3740546829552065</v>
      </c>
      <c r="AY31" s="165">
        <f>AY29/AT29-1</f>
        <v>0.1203000923361035</v>
      </c>
      <c r="BA31" s="165">
        <f>BA29/AV29-1</f>
        <v>0.55245174752217019</v>
      </c>
      <c r="BB31" s="165">
        <f>BB29/AW29-1</f>
        <v>0.13434708634623571</v>
      </c>
      <c r="BC31" s="165">
        <f>BC29/AX29-1</f>
        <v>0.10269686706181202</v>
      </c>
      <c r="BD31" s="165">
        <f>BD29/AY29-1</f>
        <v>0.15349237813044758</v>
      </c>
      <c r="BF31" s="165">
        <f>BF29/BA29-1</f>
        <v>0.1245106769039499</v>
      </c>
      <c r="BG31" s="165">
        <f>BG29/BB29-1</f>
        <v>0.33453325083900465</v>
      </c>
      <c r="BH31" s="165">
        <f>BH29/BC29-1</f>
        <v>0.36253968985283547</v>
      </c>
      <c r="BI31" s="165">
        <f>BI29/BD29-1</f>
        <v>0.30545224595663489</v>
      </c>
      <c r="BK31" s="165">
        <f>BK29/BF29-1</f>
        <v>5.4392517779238592E-2</v>
      </c>
      <c r="BL31" s="165">
        <f>BL29/BG29-1</f>
        <v>0.10930036527114373</v>
      </c>
      <c r="BM31" s="165">
        <f>BM29/BH29-1</f>
        <v>0.10825257901900076</v>
      </c>
      <c r="BN31" s="165">
        <f>BN29/BI29-1</f>
        <v>0.11454844006568154</v>
      </c>
    </row>
    <row r="32" spans="1:68" s="164" customFormat="1">
      <c r="A32" t="s">
        <v>629</v>
      </c>
      <c r="W32" s="165"/>
      <c r="X32" s="165"/>
      <c r="Y32" s="165"/>
      <c r="Z32" s="165"/>
      <c r="AB32" s="165"/>
      <c r="AC32" s="165"/>
      <c r="AD32" s="165"/>
      <c r="AE32" s="165"/>
      <c r="AG32" s="165"/>
      <c r="AH32" s="165"/>
      <c r="AI32" s="165"/>
      <c r="AJ32" s="165"/>
      <c r="AL32">
        <f t="shared" ref="AL32:AO34" si="0">AL29</f>
        <v>117</v>
      </c>
      <c r="AM32">
        <f t="shared" si="0"/>
        <v>154.4</v>
      </c>
      <c r="AN32">
        <f t="shared" si="0"/>
        <v>152.1</v>
      </c>
      <c r="AO32">
        <f t="shared" si="0"/>
        <v>157.80000000000001</v>
      </c>
      <c r="AP32"/>
      <c r="AQ32">
        <f t="shared" ref="AQ32:AS34" si="1">AQ29</f>
        <v>137.9</v>
      </c>
      <c r="AR32">
        <f t="shared" si="1"/>
        <v>165</v>
      </c>
      <c r="AS32">
        <f t="shared" si="1"/>
        <v>171.9</v>
      </c>
      <c r="AT32" s="374">
        <f>AT29-40.73</f>
        <v>175.87</v>
      </c>
      <c r="AU32" s="374"/>
      <c r="AV32" s="374">
        <f>AV29-41.648</f>
        <v>150.05199999999999</v>
      </c>
      <c r="AW32" s="374">
        <f>AW29-51.108</f>
        <v>183.99199999999999</v>
      </c>
      <c r="AX32" s="374">
        <f>AX29-48.56</f>
        <v>187.64</v>
      </c>
      <c r="AY32" s="463">
        <v>242.65700000000001</v>
      </c>
      <c r="BA32" s="463">
        <v>218.773</v>
      </c>
      <c r="BB32" s="374">
        <v>266.685</v>
      </c>
      <c r="BC32" s="374">
        <v>260.45699999999999</v>
      </c>
      <c r="BD32">
        <v>279.90300000000002</v>
      </c>
      <c r="BF32" s="463"/>
      <c r="BG32" s="374"/>
      <c r="BH32" s="374"/>
      <c r="BI32"/>
      <c r="BL32" s="465"/>
    </row>
    <row r="33" spans="1:68" s="164" customFormat="1" ht="11.65">
      <c r="A33" s="164" t="s">
        <v>352</v>
      </c>
      <c r="W33" s="165"/>
      <c r="X33" s="165"/>
      <c r="Y33" s="165"/>
      <c r="Z33" s="165"/>
      <c r="AB33" s="165"/>
      <c r="AC33" s="165"/>
      <c r="AD33" s="165"/>
      <c r="AE33" s="165"/>
      <c r="AG33" s="165"/>
      <c r="AH33" s="165"/>
      <c r="AI33" s="165"/>
      <c r="AJ33" s="165"/>
      <c r="AL33" s="165">
        <f t="shared" si="0"/>
        <v>-0.14411119239209946</v>
      </c>
      <c r="AM33" s="165">
        <f t="shared" si="0"/>
        <v>0.31965811965811963</v>
      </c>
      <c r="AN33" s="165">
        <f t="shared" si="0"/>
        <v>-1.4896373056994872E-2</v>
      </c>
      <c r="AO33" s="165">
        <f t="shared" si="0"/>
        <v>3.7475345167653051E-2</v>
      </c>
      <c r="AQ33" s="165">
        <f t="shared" si="1"/>
        <v>-0.12610899873257286</v>
      </c>
      <c r="AR33" s="165">
        <f t="shared" si="1"/>
        <v>0.19651921682378526</v>
      </c>
      <c r="AS33" s="165">
        <f t="shared" si="1"/>
        <v>4.1818181818181754E-2</v>
      </c>
      <c r="AT33" s="165">
        <f>AT32/AS32-1</f>
        <v>2.3094822571262386E-2</v>
      </c>
      <c r="AV33" s="165">
        <f>AV32/AT32-1</f>
        <v>-0.14680161482913523</v>
      </c>
      <c r="AW33" s="165">
        <f>AW32/AV32-1</f>
        <v>0.22618825473835735</v>
      </c>
      <c r="AX33" s="165">
        <f>AX32/AW32-1</f>
        <v>1.9826948997782479E-2</v>
      </c>
      <c r="AY33" s="165">
        <f>AY32/AX32-1</f>
        <v>0.2932050735450864</v>
      </c>
      <c r="BA33" s="165">
        <f>BA32/AY32-1</f>
        <v>-9.8426997778757741E-2</v>
      </c>
      <c r="BB33" s="165">
        <f>BB32/BA32-1</f>
        <v>0.2190032590859019</v>
      </c>
      <c r="BC33" s="165">
        <f>BC32/BB32-1</f>
        <v>-2.3353394454131315E-2</v>
      </c>
      <c r="BD33" s="165">
        <f>BD32/BC32-1</f>
        <v>7.4661076492472889E-2</v>
      </c>
      <c r="BF33" s="165">
        <f>BF32/BD32-1</f>
        <v>-1</v>
      </c>
      <c r="BG33" s="165"/>
      <c r="BH33" s="165"/>
      <c r="BI33" s="165"/>
      <c r="BL33" s="465"/>
    </row>
    <row r="34" spans="1:68" s="164" customFormat="1" ht="11.65">
      <c r="A34" s="164" t="s">
        <v>353</v>
      </c>
      <c r="W34" s="165"/>
      <c r="X34" s="165"/>
      <c r="Y34" s="165"/>
      <c r="Z34" s="165"/>
      <c r="AB34" s="165"/>
      <c r="AC34" s="165"/>
      <c r="AD34" s="165"/>
      <c r="AE34" s="165"/>
      <c r="AG34" s="165"/>
      <c r="AH34" s="165"/>
      <c r="AI34" s="466"/>
      <c r="AJ34" s="165"/>
      <c r="AL34" s="165">
        <f t="shared" si="0"/>
        <v>4.5576407506702443E-2</v>
      </c>
      <c r="AM34" s="165">
        <f t="shared" si="0"/>
        <v>1.5520661157024795</v>
      </c>
      <c r="AN34" s="165">
        <f t="shared" si="0"/>
        <v>0.12416851441241672</v>
      </c>
      <c r="AO34" s="165">
        <f t="shared" si="0"/>
        <v>0.15435259692757874</v>
      </c>
      <c r="AQ34" s="165">
        <f t="shared" si="1"/>
        <v>0.17863247863247866</v>
      </c>
      <c r="AR34" s="165">
        <f t="shared" si="1"/>
        <v>6.8652849740932664E-2</v>
      </c>
      <c r="AS34" s="165">
        <f t="shared" si="1"/>
        <v>0.13017751479289941</v>
      </c>
      <c r="AT34" s="373">
        <f>AT32/AO32-1</f>
        <v>0.11451204055766784</v>
      </c>
      <c r="AV34" s="373">
        <f>AV32/AQ32-1</f>
        <v>8.8121827411167475E-2</v>
      </c>
      <c r="AW34" s="373">
        <f>AW32/AR32-1</f>
        <v>0.11510303030303026</v>
      </c>
      <c r="AX34" s="373">
        <f>AX32/AS32-1</f>
        <v>9.156486329261182E-2</v>
      </c>
      <c r="AY34" s="373">
        <f>AY32/AT32-1</f>
        <v>0.37975208961164508</v>
      </c>
      <c r="BA34" s="373">
        <f>BA32/AV32-1</f>
        <v>0.45798123317250017</v>
      </c>
      <c r="BB34" s="165">
        <f>BB32/AW32-1</f>
        <v>0.44943801904430636</v>
      </c>
      <c r="BC34" s="165">
        <f>BC32/AX32-1</f>
        <v>0.3880675762097634</v>
      </c>
      <c r="BD34" s="165">
        <f>BD32/AY32-1</f>
        <v>0.15349237813044758</v>
      </c>
      <c r="BF34" s="373">
        <f>BF32/BA32-1</f>
        <v>-1</v>
      </c>
      <c r="BG34" s="165"/>
      <c r="BH34" s="165"/>
      <c r="BI34" s="165"/>
      <c r="BL34" s="465"/>
    </row>
    <row r="35" spans="1:68" s="481" customFormat="1" ht="11.65">
      <c r="Z35" s="481">
        <f>Z36-Y36</f>
        <v>3</v>
      </c>
      <c r="AE35" s="481">
        <f>AE36-AD36</f>
        <v>2.0999999999999943</v>
      </c>
      <c r="AG35" s="481">
        <f>AG36-AE36</f>
        <v>15.200000000000003</v>
      </c>
      <c r="AH35" s="481">
        <f>AH36-AG36</f>
        <v>3.9000000000000057</v>
      </c>
      <c r="AI35" s="481">
        <f>AI36-AH36</f>
        <v>88.100000000000009</v>
      </c>
      <c r="AJ35" s="481">
        <f>AJ36-AI36</f>
        <v>-0.60000000000002274</v>
      </c>
      <c r="AL35" s="481">
        <f>AL36-AJ36</f>
        <v>-5.5</v>
      </c>
      <c r="AM35" s="481">
        <f>AM36-AL36</f>
        <v>2.5</v>
      </c>
      <c r="AN35" s="481">
        <f>AN36-AM36</f>
        <v>9</v>
      </c>
      <c r="AO35" s="481">
        <f>AO36-AN36</f>
        <v>10.800000000000011</v>
      </c>
      <c r="AQ35" s="481">
        <f>AQ36-AO36</f>
        <v>2.9000000000000057</v>
      </c>
      <c r="AR35" s="481">
        <f>AR36-AQ36</f>
        <v>20.599999999999994</v>
      </c>
      <c r="AS35" s="481">
        <f>AS36-AR36</f>
        <v>7.9000000000000057</v>
      </c>
      <c r="AT35" s="481">
        <f>AT36-AS36</f>
        <v>5.0999999999999943</v>
      </c>
      <c r="AW35" s="481">
        <f>AW36-AV36</f>
        <v>7.9999999999999716</v>
      </c>
      <c r="AX35" s="481">
        <f>AX36-AW36</f>
        <v>78.600000000000023</v>
      </c>
      <c r="AY35" s="479"/>
      <c r="BL35" s="535"/>
    </row>
    <row r="36" spans="1:68">
      <c r="A36" t="s">
        <v>332</v>
      </c>
      <c r="X36">
        <v>50</v>
      </c>
      <c r="Y36">
        <v>62</v>
      </c>
      <c r="Z36">
        <v>65</v>
      </c>
      <c r="AB36">
        <v>68</v>
      </c>
      <c r="AC36">
        <v>73</v>
      </c>
      <c r="AD36">
        <v>80</v>
      </c>
      <c r="AE36">
        <v>82.1</v>
      </c>
      <c r="AG36">
        <v>97.3</v>
      </c>
      <c r="AH36">
        <v>101.2</v>
      </c>
      <c r="AI36">
        <v>189.3</v>
      </c>
      <c r="AJ36">
        <v>188.7</v>
      </c>
      <c r="AL36">
        <v>183.2</v>
      </c>
      <c r="AM36">
        <v>185.7</v>
      </c>
      <c r="AN36">
        <v>194.7</v>
      </c>
      <c r="AO36">
        <v>205.5</v>
      </c>
      <c r="AQ36">
        <v>208.4</v>
      </c>
      <c r="AR36">
        <v>229</v>
      </c>
      <c r="AS36">
        <v>236.9</v>
      </c>
      <c r="AT36" s="374">
        <f>242</f>
        <v>242</v>
      </c>
      <c r="AU36" s="374"/>
      <c r="AV36">
        <v>250.9</v>
      </c>
      <c r="AW36">
        <v>258.89999999999998</v>
      </c>
      <c r="AX36">
        <f>337.5</f>
        <v>337.5</v>
      </c>
      <c r="AY36" s="463">
        <v>364.07900000000001</v>
      </c>
      <c r="AZ36" s="374"/>
      <c r="BA36" s="374">
        <v>378.315</v>
      </c>
      <c r="BB36" s="374">
        <v>382.42</v>
      </c>
      <c r="BC36" s="374">
        <v>419.05</v>
      </c>
      <c r="BD36" s="374">
        <v>459.18700000000001</v>
      </c>
      <c r="BF36" s="374">
        <v>467.86200000000002</v>
      </c>
      <c r="BG36" s="374">
        <v>480</v>
      </c>
      <c r="BH36" s="374">
        <v>488.28100000000001</v>
      </c>
      <c r="BI36" s="374">
        <v>480.4</v>
      </c>
      <c r="BK36" s="374">
        <v>489.10700000000003</v>
      </c>
      <c r="BL36" s="536">
        <v>599.20000000000005</v>
      </c>
      <c r="BM36" s="374">
        <v>592.20000000000005</v>
      </c>
      <c r="BN36" s="374">
        <v>606.26599999999996</v>
      </c>
    </row>
    <row r="37" spans="1:68" s="164" customFormat="1" ht="11.65">
      <c r="A37" s="164" t="s">
        <v>352</v>
      </c>
      <c r="S37" s="165" t="e">
        <f>S36/R36-1</f>
        <v>#DIV/0!</v>
      </c>
      <c r="T37" s="165" t="e">
        <f>T36/S36-1</f>
        <v>#DIV/0!</v>
      </c>
      <c r="U37" s="165" t="e">
        <f>U36/T36-1</f>
        <v>#DIV/0!</v>
      </c>
      <c r="W37" s="165" t="e">
        <f>W36/U36-1</f>
        <v>#DIV/0!</v>
      </c>
      <c r="X37" s="165" t="e">
        <f>X36/W36-1</f>
        <v>#DIV/0!</v>
      </c>
      <c r="Y37" s="165">
        <f>Y36/X36-1</f>
        <v>0.24</v>
      </c>
      <c r="Z37" s="165">
        <f>Z36/Y36-1</f>
        <v>4.8387096774193505E-2</v>
      </c>
      <c r="AB37" s="165">
        <f>AB36/Z36-1</f>
        <v>4.6153846153846212E-2</v>
      </c>
      <c r="AC37" s="165">
        <f>AC36/AB36-1</f>
        <v>7.3529411764705843E-2</v>
      </c>
      <c r="AD37" s="165">
        <f>AD36/AC36-1</f>
        <v>9.5890410958904049E-2</v>
      </c>
      <c r="AE37" s="165">
        <f>AE36/AD36-1</f>
        <v>2.6249999999999885E-2</v>
      </c>
      <c r="AG37" s="165">
        <f>AG36/AE36-1</f>
        <v>0.18514007308160774</v>
      </c>
      <c r="AH37" s="165">
        <f>AH36/AG36-1</f>
        <v>4.0082219938335051E-2</v>
      </c>
      <c r="AI37" s="165">
        <f>AI36/AH36-1</f>
        <v>0.87055335968379444</v>
      </c>
      <c r="AJ37" s="165">
        <f>AJ36/AI36-1</f>
        <v>-3.1695721077655836E-3</v>
      </c>
      <c r="AL37" s="165">
        <f>AL36/AJ36-1</f>
        <v>-2.9146793852676156E-2</v>
      </c>
      <c r="AM37" s="165">
        <f>AM36/AL36-1</f>
        <v>1.3646288209606894E-2</v>
      </c>
      <c r="AN37" s="165">
        <f>AN36/AM36-1</f>
        <v>4.8465266558965991E-2</v>
      </c>
      <c r="AO37" s="165">
        <f>AO36/AN36-1</f>
        <v>5.5469953775038494E-2</v>
      </c>
      <c r="AQ37" s="165">
        <f>AQ36/AO36-1</f>
        <v>1.4111922141119226E-2</v>
      </c>
      <c r="AR37" s="165">
        <f>AR36/AQ36-1</f>
        <v>9.8848368522072905E-2</v>
      </c>
      <c r="AS37" s="165">
        <f>AS36/AR36-1</f>
        <v>3.449781659388651E-2</v>
      </c>
      <c r="AT37" s="165">
        <f>AT36/AS36-1</f>
        <v>2.1528070915998176E-2</v>
      </c>
      <c r="AV37" s="165">
        <f>AV36/AT36-1</f>
        <v>3.6776859504132231E-2</v>
      </c>
      <c r="AW37" s="165">
        <f>AW36/AV36-1</f>
        <v>3.1885213232363485E-2</v>
      </c>
      <c r="AX37" s="165">
        <f>AX36/AW36-1</f>
        <v>0.30359212050984952</v>
      </c>
      <c r="AY37" s="165">
        <f>AY36/AX36-1</f>
        <v>7.8752592592592707E-2</v>
      </c>
      <c r="BA37" s="165">
        <f>BA36/AY36-1</f>
        <v>3.9101403816204749E-2</v>
      </c>
      <c r="BB37" s="165">
        <f>BB36/BA36-1</f>
        <v>1.0850746071395578E-2</v>
      </c>
      <c r="BC37" s="165">
        <f>BC36/BB36-1</f>
        <v>9.5784739291878029E-2</v>
      </c>
      <c r="BD37" s="165">
        <f>BD36/BC36-1</f>
        <v>9.5780933062880269E-2</v>
      </c>
      <c r="BF37" s="165">
        <f>BF36/BD36-1</f>
        <v>1.889208535955933E-2</v>
      </c>
      <c r="BG37" s="165">
        <f>BG36/BF36-1</f>
        <v>2.594354745630123E-2</v>
      </c>
      <c r="BH37" s="165">
        <f>BH36/BG36-1</f>
        <v>1.725208333333339E-2</v>
      </c>
      <c r="BI37" s="165">
        <f>BI36/BH36-1</f>
        <v>-1.6140296263831733E-2</v>
      </c>
      <c r="BK37" s="165">
        <f>BK36/BI36-1</f>
        <v>1.8124479600333254E-2</v>
      </c>
      <c r="BL37" s="165">
        <f>BL36/BK36-1</f>
        <v>0.2250898065249527</v>
      </c>
      <c r="BM37" s="165">
        <f>BM36/BK36-1</f>
        <v>0.21077800971975469</v>
      </c>
      <c r="BN37" s="165">
        <f>BN36/BL36-1</f>
        <v>1.1792389853137353E-2</v>
      </c>
    </row>
    <row r="38" spans="1:68" s="164" customFormat="1" ht="11.65">
      <c r="A38" s="164" t="s">
        <v>353</v>
      </c>
      <c r="W38" s="165" t="e">
        <f>W36/R36-1</f>
        <v>#DIV/0!</v>
      </c>
      <c r="X38" s="165" t="e">
        <f>X36/S36-1</f>
        <v>#DIV/0!</v>
      </c>
      <c r="Y38" s="165" t="e">
        <f>Y36/T36-1</f>
        <v>#DIV/0!</v>
      </c>
      <c r="Z38" s="165" t="e">
        <f>Z36/U36-1</f>
        <v>#DIV/0!</v>
      </c>
      <c r="AB38" s="165" t="e">
        <f>AB36/W36-1</f>
        <v>#DIV/0!</v>
      </c>
      <c r="AC38" s="165">
        <f>AC36/X36-1</f>
        <v>0.45999999999999996</v>
      </c>
      <c r="AD38" s="165">
        <f>AD36/Y36-1</f>
        <v>0.29032258064516125</v>
      </c>
      <c r="AE38" s="165">
        <f>AE36/Z36-1</f>
        <v>0.26307692307692299</v>
      </c>
      <c r="AG38" s="165">
        <f>AG36/AB36-1</f>
        <v>0.43088235294117649</v>
      </c>
      <c r="AH38" s="165">
        <f>AH36/AC36-1</f>
        <v>0.38630136986301378</v>
      </c>
      <c r="AI38" s="165">
        <f>AI36/AD36-1</f>
        <v>1.36625</v>
      </c>
      <c r="AJ38" s="165">
        <f>AJ36/AE36-1</f>
        <v>1.2984165651644335</v>
      </c>
      <c r="AL38" s="165">
        <f>AL36/AG36-1</f>
        <v>0.88283658787255903</v>
      </c>
      <c r="AM38" s="165">
        <f>AM36/AH36-1</f>
        <v>0.83498023715414993</v>
      </c>
      <c r="AN38" s="165">
        <f>AN36/AI36-1</f>
        <v>2.852614896988892E-2</v>
      </c>
      <c r="AO38" s="165">
        <f>AO36/AJ36-1</f>
        <v>8.9030206677265467E-2</v>
      </c>
      <c r="AQ38" s="165">
        <f>AQ36/AL36-1</f>
        <v>0.13755458515283858</v>
      </c>
      <c r="AR38" s="165">
        <f>AR36/AM36-1</f>
        <v>0.23317178244480363</v>
      </c>
      <c r="AS38" s="165">
        <f>AS36/AN36-1</f>
        <v>0.21674370826913214</v>
      </c>
      <c r="AT38" s="165">
        <f>AT36/AO36-1</f>
        <v>0.17761557177615561</v>
      </c>
      <c r="AV38" s="165">
        <f>AV36/AQ36-1</f>
        <v>0.20393474088291752</v>
      </c>
      <c r="AW38" s="165">
        <f>AW36/AR36-1</f>
        <v>0.13056768558951948</v>
      </c>
      <c r="AX38" s="165">
        <f>AX36/AS36-1</f>
        <v>0.42465175179400583</v>
      </c>
      <c r="AY38" s="165">
        <f>AY36/AT36-1</f>
        <v>0.50445867768595054</v>
      </c>
      <c r="BA38" s="165">
        <f>BA36/AV36-1</f>
        <v>0.50783180550019913</v>
      </c>
      <c r="BB38" s="165">
        <f>BB36/AW36-1</f>
        <v>0.47709540363074576</v>
      </c>
      <c r="BC38" s="165">
        <f>BC36/AX36-1</f>
        <v>0.24162962962962964</v>
      </c>
      <c r="BD38" s="165">
        <f>BD36/AY36-1</f>
        <v>0.26122901897665063</v>
      </c>
      <c r="BF38" s="165">
        <f>BF36/BA36-1</f>
        <v>0.23669957575036693</v>
      </c>
      <c r="BG38" s="165">
        <f>BG36/BB36-1</f>
        <v>0.25516447884524873</v>
      </c>
      <c r="BH38" s="165">
        <f>BH36/BC36-1</f>
        <v>0.16520940221930558</v>
      </c>
      <c r="BI38" s="165">
        <f>BI36/BD36-1</f>
        <v>4.6196865329375614E-2</v>
      </c>
      <c r="BK38" s="165">
        <f>BK36/BF36-1</f>
        <v>4.5408688886894089E-2</v>
      </c>
      <c r="BL38" s="165">
        <f>BL36/BG36-1</f>
        <v>0.24833333333333352</v>
      </c>
      <c r="BM38" s="165">
        <f>BM36/BH36-1</f>
        <v>0.2128262209670253</v>
      </c>
      <c r="BN38" s="165">
        <f>BN36/BI36-1</f>
        <v>0.26200249791840124</v>
      </c>
    </row>
    <row r="39" spans="1:68" s="481" customFormat="1" ht="11.65">
      <c r="Z39" s="481">
        <f>Z40-Y40</f>
        <v>29.19999999999996</v>
      </c>
      <c r="AE39" s="481">
        <f>AE40-AD40</f>
        <v>3.8000000000000114</v>
      </c>
      <c r="AJ39" s="481">
        <f>AJ40-AI40</f>
        <v>13.399999999999977</v>
      </c>
      <c r="AO39" s="481">
        <f>AO40-AN40</f>
        <v>3.4999999999999432</v>
      </c>
      <c r="AT39" s="481">
        <f>AT43-AS43</f>
        <v>-2.7260000000001128</v>
      </c>
      <c r="AY39" s="479"/>
      <c r="BL39" s="535"/>
    </row>
    <row r="40" spans="1:68" s="7" customFormat="1" ht="12.75">
      <c r="A40" s="7" t="s">
        <v>411</v>
      </c>
      <c r="M40" s="10"/>
      <c r="N40" s="10"/>
      <c r="O40" s="10"/>
      <c r="P40" s="10"/>
      <c r="Q40" s="10"/>
      <c r="R40" s="10"/>
      <c r="S40" s="10"/>
      <c r="T40" s="10"/>
      <c r="U40" s="10"/>
      <c r="V40" s="10"/>
      <c r="W40" s="10"/>
      <c r="X40" s="10">
        <f>X21-X36-X29</f>
        <v>118.19999999999999</v>
      </c>
      <c r="Y40" s="10">
        <f>Y21-Y36-Y29</f>
        <v>115.4</v>
      </c>
      <c r="Z40" s="10">
        <f>Z21-Z36-Z29</f>
        <v>144.59999999999997</v>
      </c>
      <c r="AA40" s="10"/>
      <c r="AB40" s="10">
        <f>AB21-AB36-AB29</f>
        <v>141.30000000000001</v>
      </c>
      <c r="AC40" s="10">
        <f>AC21-AC36-AC29</f>
        <v>141</v>
      </c>
      <c r="AD40" s="10">
        <f>AD21-AD36-AD29</f>
        <v>139.19999999999999</v>
      </c>
      <c r="AE40" s="10">
        <f>AE21-AE36-AE29</f>
        <v>143</v>
      </c>
      <c r="AG40" s="10">
        <f>AG21-AG36-AG29</f>
        <v>151.69999999999996</v>
      </c>
      <c r="AH40" s="10">
        <f>AH21-AH36-AH29</f>
        <v>249.40000000000003</v>
      </c>
      <c r="AI40" s="10">
        <f>AI21-AI36-AI29</f>
        <v>193</v>
      </c>
      <c r="AJ40" s="10">
        <f>AJ21-AJ36-AJ29</f>
        <v>206.39999999999998</v>
      </c>
      <c r="AL40" s="10">
        <f>AL21-AL36-AL29</f>
        <v>208.60000000000002</v>
      </c>
      <c r="AM40" s="10">
        <f>AM21-AM36-AM29</f>
        <v>279</v>
      </c>
      <c r="AN40" s="10">
        <f>AN21-AN36-AN29</f>
        <v>287.5</v>
      </c>
      <c r="AO40" s="10">
        <f>AO21-AO36-AO29</f>
        <v>290.99999999999994</v>
      </c>
      <c r="AQ40" s="10">
        <f>AQ21-AQ36-AQ29</f>
        <v>287.0870000000001</v>
      </c>
      <c r="AR40" s="10">
        <f>AR21-AR36-AR29</f>
        <v>278.43700000000001</v>
      </c>
      <c r="AS40" s="10">
        <f>AS21-AS36-AS29</f>
        <v>298.87600000000009</v>
      </c>
      <c r="AT40" s="10">
        <f>338.45</f>
        <v>338.45</v>
      </c>
      <c r="AU40" s="10"/>
      <c r="AV40" s="10">
        <f>AV21-AV36-AV29</f>
        <v>320.7</v>
      </c>
      <c r="AW40" s="10">
        <f>AW21-AW36-AW29</f>
        <v>332.9</v>
      </c>
      <c r="AX40" s="22">
        <v>318.5</v>
      </c>
      <c r="AY40" s="22">
        <v>307.87099999999998</v>
      </c>
      <c r="BA40" s="478">
        <v>316.59199999999998</v>
      </c>
      <c r="BB40" s="419">
        <v>339.637</v>
      </c>
      <c r="BC40" s="419">
        <v>339.601</v>
      </c>
      <c r="BD40" s="419">
        <v>343.99299999999999</v>
      </c>
      <c r="BF40" s="478">
        <v>358.17500000000001</v>
      </c>
      <c r="BG40" s="419">
        <v>352.8</v>
      </c>
      <c r="BH40" s="419">
        <v>359.6</v>
      </c>
      <c r="BI40" s="7">
        <v>363.9</v>
      </c>
      <c r="BK40" s="419">
        <v>374.34899999999999</v>
      </c>
      <c r="BL40" s="537">
        <v>401.4</v>
      </c>
      <c r="BM40" s="7">
        <v>396.4</v>
      </c>
      <c r="BN40" s="7">
        <v>413.55099999999999</v>
      </c>
    </row>
    <row r="41" spans="1:68" s="164" customFormat="1" ht="11.65">
      <c r="A41" s="164" t="s">
        <v>352</v>
      </c>
      <c r="S41" s="165" t="e">
        <f>S40/R40-1</f>
        <v>#DIV/0!</v>
      </c>
      <c r="T41" s="165" t="e">
        <f>T40/S40-1</f>
        <v>#DIV/0!</v>
      </c>
      <c r="U41" s="165" t="e">
        <f>U40/T40-1</f>
        <v>#DIV/0!</v>
      </c>
      <c r="W41" s="165" t="e">
        <f>W40/U40-1</f>
        <v>#DIV/0!</v>
      </c>
      <c r="X41" s="165" t="e">
        <f>X40/W40-1</f>
        <v>#DIV/0!</v>
      </c>
      <c r="Y41" s="165">
        <f>Y40/X40-1</f>
        <v>-2.3688663282571798E-2</v>
      </c>
      <c r="Z41" s="165">
        <f>Z40/Y40-1</f>
        <v>0.25303292894280727</v>
      </c>
      <c r="AB41" s="165">
        <f>AB40/Z40-1</f>
        <v>-2.2821576763485174E-2</v>
      </c>
      <c r="AC41" s="165">
        <f>AC40/AB40-1</f>
        <v>-2.1231422505308961E-3</v>
      </c>
      <c r="AD41" s="165">
        <f>AD40/AC40-1</f>
        <v>-1.276595744680864E-2</v>
      </c>
      <c r="AE41" s="165">
        <f>AE40/AD40-1</f>
        <v>2.7298850574712707E-2</v>
      </c>
      <c r="AG41" s="165">
        <f>AG40/AE40-1</f>
        <v>6.0839160839160522E-2</v>
      </c>
      <c r="AH41" s="165">
        <f>AH40/AG40-1</f>
        <v>0.64403427818062031</v>
      </c>
      <c r="AI41" s="165">
        <f>AI40/AH40-1</f>
        <v>-0.22614274258219735</v>
      </c>
      <c r="AJ41" s="165">
        <f>AJ40/AI40-1</f>
        <v>6.9430051813471394E-2</v>
      </c>
      <c r="AL41" s="165">
        <f>AL40/AJ40-1</f>
        <v>1.0658914728682412E-2</v>
      </c>
      <c r="AM41" s="165">
        <f>AM40/AL40-1</f>
        <v>0.3374880153403641</v>
      </c>
      <c r="AN41" s="165">
        <f>AN40/AM40-1</f>
        <v>3.0465949820788429E-2</v>
      </c>
      <c r="AO41" s="165">
        <f>AO40/AN40-1</f>
        <v>1.2173913043478146E-2</v>
      </c>
      <c r="AQ41" s="165">
        <f>AQ40/AO40-1</f>
        <v>-1.344673539518848E-2</v>
      </c>
      <c r="AR41" s="165">
        <f>AR40/AQ40-1</f>
        <v>-3.0130239265449443E-2</v>
      </c>
      <c r="AS41" s="165">
        <f>AS40/AR40-1</f>
        <v>7.3406192424139372E-2</v>
      </c>
      <c r="AT41" s="165">
        <f>AT40/AS40-1</f>
        <v>0.13240942732102901</v>
      </c>
      <c r="AV41" s="165">
        <f>AV40/AT40-1</f>
        <v>-5.2444969714876666E-2</v>
      </c>
      <c r="AW41" s="165">
        <f>AW40/AV40-1</f>
        <v>3.804178359837862E-2</v>
      </c>
      <c r="AX41" s="165">
        <f>AX40/AW40-1</f>
        <v>-4.3256233103033837E-2</v>
      </c>
      <c r="AY41" s="165">
        <f>AY40/AX40-1</f>
        <v>-3.3372056514913706E-2</v>
      </c>
      <c r="BA41" s="165">
        <f>BA40/AY40-1</f>
        <v>2.8326799211358056E-2</v>
      </c>
      <c r="BB41" s="165">
        <f>BB40/BA40-1</f>
        <v>7.2790847526153613E-2</v>
      </c>
      <c r="BC41" s="165">
        <f>BC40/BB40-1</f>
        <v>-1.0599551874501678E-4</v>
      </c>
      <c r="BD41" s="165">
        <f>BD40/BC40-1</f>
        <v>1.2932824108291774E-2</v>
      </c>
      <c r="BF41" s="165">
        <f>BF40/BD40-1</f>
        <v>4.1227583119423983E-2</v>
      </c>
      <c r="BG41" s="165">
        <f>BG40/BF40-1</f>
        <v>-1.5006630836881363E-2</v>
      </c>
      <c r="BH41" s="165">
        <f>BH40/BG40-1</f>
        <v>1.9274376417233618E-2</v>
      </c>
      <c r="BI41" s="165">
        <f>BI40/BH40-1</f>
        <v>1.1957730812013123E-2</v>
      </c>
      <c r="BK41" s="165">
        <f>BK40/BI40-1</f>
        <v>2.8713932399010655E-2</v>
      </c>
      <c r="BL41" s="165">
        <f>BL40/BK40-1</f>
        <v>7.2261445870030361E-2</v>
      </c>
      <c r="BM41" s="165">
        <f>BM40/BK40-1</f>
        <v>5.8904925617538684E-2</v>
      </c>
    </row>
    <row r="42" spans="1:68" s="164" customFormat="1" ht="11.65">
      <c r="A42" s="164" t="s">
        <v>353</v>
      </c>
      <c r="W42" s="165" t="e">
        <f>W40/R40-1</f>
        <v>#DIV/0!</v>
      </c>
      <c r="X42" s="165" t="e">
        <f>X40/S40-1</f>
        <v>#DIV/0!</v>
      </c>
      <c r="Y42" s="165" t="e">
        <f>Y40/T40-1</f>
        <v>#DIV/0!</v>
      </c>
      <c r="Z42" s="165" t="e">
        <f>Z40/U40-1</f>
        <v>#DIV/0!</v>
      </c>
      <c r="AB42" s="165" t="e">
        <f>AB40/W40-1</f>
        <v>#DIV/0!</v>
      </c>
      <c r="AC42" s="165">
        <f>AC40/X40-1</f>
        <v>0.19289340101522856</v>
      </c>
      <c r="AD42" s="165">
        <f>AD40/Y40-1</f>
        <v>0.20623916811091836</v>
      </c>
      <c r="AE42" s="165">
        <f>AE40/Z40-1</f>
        <v>-1.1065006915629061E-2</v>
      </c>
      <c r="AG42" s="165">
        <f>AG40/AB40-1</f>
        <v>7.360226468506692E-2</v>
      </c>
      <c r="AH42" s="165">
        <f>AH40/AC40-1</f>
        <v>0.76879432624113497</v>
      </c>
      <c r="AI42" s="165">
        <f>AI40/AD40-1</f>
        <v>0.38649425287356332</v>
      </c>
      <c r="AJ42" s="165">
        <f>AJ40/AE40-1</f>
        <v>0.44335664335664315</v>
      </c>
      <c r="AL42" s="165">
        <f>AL40/AG40-1</f>
        <v>0.37508239947264399</v>
      </c>
      <c r="AM42" s="165">
        <f>AM40/AH40-1</f>
        <v>0.11868484362469922</v>
      </c>
      <c r="AN42" s="165">
        <f>AN40/AI40-1</f>
        <v>0.48963730569948183</v>
      </c>
      <c r="AO42" s="165">
        <f>AO40/AJ40-1</f>
        <v>0.4098837209302324</v>
      </c>
      <c r="AQ42" s="165">
        <f>AQ40/AL40-1</f>
        <v>0.3762559923298181</v>
      </c>
      <c r="AR42" s="165">
        <f>AR40/AM40-1</f>
        <v>-2.0179211469533165E-3</v>
      </c>
      <c r="AS42" s="165">
        <f>AS40/AN40-1</f>
        <v>3.9568695652174135E-2</v>
      </c>
      <c r="AT42" s="165">
        <f>AT40/AO40-1</f>
        <v>0.16305841924398634</v>
      </c>
      <c r="AV42" s="165">
        <f>AV40/AQ40-1</f>
        <v>0.11708297484734542</v>
      </c>
      <c r="AW42" s="165">
        <f>AW40/AR40-1</f>
        <v>0.19560259591936413</v>
      </c>
      <c r="AX42" s="165">
        <f>AX40/AS40-1</f>
        <v>6.5659336982561101E-2</v>
      </c>
      <c r="AY42" s="165">
        <f>AY40/AT40-1</f>
        <v>-9.0350125572462692E-2</v>
      </c>
      <c r="BA42" s="165">
        <f>BA40/AV40-1</f>
        <v>-1.2809479264109802E-2</v>
      </c>
      <c r="BB42" s="165">
        <f>BB40/AW40-1</f>
        <v>2.0237308501051432E-2</v>
      </c>
      <c r="BC42" s="165">
        <f>BC40/AX40-1</f>
        <v>6.6251177394034633E-2</v>
      </c>
      <c r="BD42" s="165">
        <f>BD40/AY40-1</f>
        <v>0.11732836155402748</v>
      </c>
      <c r="BF42" s="165">
        <f>BF40/BA40-1</f>
        <v>0.13134570677717705</v>
      </c>
      <c r="BG42" s="165">
        <f>BG40/BB40-1</f>
        <v>3.8756083701128041E-2</v>
      </c>
      <c r="BH42" s="165">
        <f>BH40/BC40-1</f>
        <v>5.8889697026805132E-2</v>
      </c>
      <c r="BI42" s="165">
        <f>BI40/BD40-1</f>
        <v>5.7870363641120637E-2</v>
      </c>
      <c r="BK42" s="165">
        <f>BK40/BF40-1</f>
        <v>4.5156697145250169E-2</v>
      </c>
      <c r="BL42" s="165">
        <f>BL40/BG40-1</f>
        <v>0.13775510204081631</v>
      </c>
      <c r="BM42" s="165">
        <f>BM40/BH40-1</f>
        <v>0.10233592880978848</v>
      </c>
    </row>
    <row r="43" spans="1:68" s="164" customFormat="1" ht="12.75">
      <c r="A43" s="7" t="s">
        <v>630</v>
      </c>
      <c r="W43" s="165"/>
      <c r="X43" s="165"/>
      <c r="Y43" s="165"/>
      <c r="Z43" s="165"/>
      <c r="AB43" s="165"/>
      <c r="AC43" s="165"/>
      <c r="AD43" s="165"/>
      <c r="AE43" s="165"/>
      <c r="AG43" s="165"/>
      <c r="AH43" s="165"/>
      <c r="AI43" s="165"/>
      <c r="AJ43" s="165"/>
      <c r="AL43" s="10">
        <f>AL40</f>
        <v>208.60000000000002</v>
      </c>
      <c r="AM43" s="10">
        <f t="shared" ref="AM43:AS43" si="2">AM40</f>
        <v>279</v>
      </c>
      <c r="AN43" s="10">
        <f t="shared" si="2"/>
        <v>287.5</v>
      </c>
      <c r="AO43" s="10">
        <f t="shared" si="2"/>
        <v>290.99999999999994</v>
      </c>
      <c r="AP43" s="10"/>
      <c r="AQ43" s="10">
        <f t="shared" si="2"/>
        <v>287.0870000000001</v>
      </c>
      <c r="AR43" s="10">
        <f t="shared" si="2"/>
        <v>278.43700000000001</v>
      </c>
      <c r="AS43" s="10">
        <f t="shared" si="2"/>
        <v>298.87600000000009</v>
      </c>
      <c r="AT43" s="10">
        <f>AT40-42.3</f>
        <v>296.14999999999998</v>
      </c>
      <c r="AU43" s="22"/>
      <c r="AV43" s="10">
        <f>AV40-37.6</f>
        <v>283.09999999999997</v>
      </c>
      <c r="AW43" s="10">
        <f>AW40-38.2</f>
        <v>294.7</v>
      </c>
      <c r="AX43" s="10">
        <f>AX40-41.6</f>
        <v>276.89999999999998</v>
      </c>
      <c r="AY43" s="10"/>
      <c r="BL43" s="465"/>
    </row>
    <row r="44" spans="1:68" s="164" customFormat="1" ht="11.65">
      <c r="A44" s="164" t="s">
        <v>352</v>
      </c>
      <c r="W44" s="165"/>
      <c r="X44" s="165"/>
      <c r="Y44" s="165"/>
      <c r="Z44" s="165"/>
      <c r="AB44" s="165"/>
      <c r="AC44" s="165"/>
      <c r="AD44" s="165"/>
      <c r="AE44" s="165"/>
      <c r="AG44" s="165"/>
      <c r="AH44" s="165"/>
      <c r="AI44" s="165"/>
      <c r="AJ44" s="165"/>
      <c r="AL44" s="165">
        <f>AL41</f>
        <v>1.0658914728682412E-2</v>
      </c>
      <c r="AM44" s="165">
        <f t="shared" ref="AM44:AS44" si="3">AM41</f>
        <v>0.3374880153403641</v>
      </c>
      <c r="AN44" s="165">
        <f t="shared" si="3"/>
        <v>3.0465949820788429E-2</v>
      </c>
      <c r="AO44" s="165">
        <f t="shared" si="3"/>
        <v>1.2173913043478146E-2</v>
      </c>
      <c r="AP44" s="165"/>
      <c r="AQ44" s="165">
        <f t="shared" si="3"/>
        <v>-1.344673539518848E-2</v>
      </c>
      <c r="AR44" s="165">
        <f t="shared" si="3"/>
        <v>-3.0130239265449443E-2</v>
      </c>
      <c r="AS44" s="165">
        <f t="shared" si="3"/>
        <v>7.3406192424139372E-2</v>
      </c>
      <c r="AT44" s="165">
        <f>AT43/AS43-1</f>
        <v>-9.1208394116627511E-3</v>
      </c>
      <c r="AV44" s="165">
        <f>AV43/AT43-1</f>
        <v>-4.4065507344251298E-2</v>
      </c>
      <c r="AW44" s="165">
        <f>AW43/AV43-1</f>
        <v>4.097492052278362E-2</v>
      </c>
      <c r="AX44" s="165">
        <f>AX43/AW43-1</f>
        <v>-6.0400407193756389E-2</v>
      </c>
      <c r="AY44" s="165">
        <f>AY43/AX43-1</f>
        <v>-1</v>
      </c>
      <c r="BA44" s="165" t="e">
        <f>BA43/AY43-1</f>
        <v>#DIV/0!</v>
      </c>
      <c r="BF44" s="165"/>
      <c r="BL44" s="465"/>
    </row>
    <row r="45" spans="1:68" s="164" customFormat="1" ht="11.65">
      <c r="A45" s="164" t="s">
        <v>353</v>
      </c>
      <c r="W45" s="165"/>
      <c r="X45" s="165"/>
      <c r="Y45" s="165"/>
      <c r="Z45" s="165"/>
      <c r="AB45" s="165"/>
      <c r="AC45" s="165"/>
      <c r="AD45" s="165"/>
      <c r="AE45" s="165"/>
      <c r="AG45" s="165"/>
      <c r="AH45" s="165"/>
      <c r="AI45" s="165"/>
      <c r="AJ45" s="165"/>
      <c r="AL45" s="165">
        <f>AL42</f>
        <v>0.37508239947264399</v>
      </c>
      <c r="AM45" s="165">
        <f t="shared" ref="AM45:AS45" si="4">AM42</f>
        <v>0.11868484362469922</v>
      </c>
      <c r="AN45" s="165">
        <f t="shared" si="4"/>
        <v>0.48963730569948183</v>
      </c>
      <c r="AO45" s="165">
        <f t="shared" si="4"/>
        <v>0.4098837209302324</v>
      </c>
      <c r="AP45" s="165"/>
      <c r="AQ45" s="165">
        <f t="shared" si="4"/>
        <v>0.3762559923298181</v>
      </c>
      <c r="AR45" s="165">
        <f t="shared" si="4"/>
        <v>-2.0179211469533165E-3</v>
      </c>
      <c r="AS45" s="165">
        <f t="shared" si="4"/>
        <v>3.9568695652174135E-2</v>
      </c>
      <c r="AT45" s="165">
        <f>AT43/AO43-1</f>
        <v>1.7697594501718372E-2</v>
      </c>
      <c r="AV45" s="165">
        <f>AV43/AQ43-1</f>
        <v>-1.3887776179346778E-2</v>
      </c>
      <c r="AW45" s="165">
        <f>AW43/AR43-1</f>
        <v>5.8408185693711534E-2</v>
      </c>
      <c r="AX45" s="165">
        <f>AX43/AS43-1</f>
        <v>-7.3528821317202175E-2</v>
      </c>
      <c r="AY45" s="165">
        <f>AY43/AT43-1</f>
        <v>-1</v>
      </c>
      <c r="BA45" s="165">
        <f>BA43/AV43-1</f>
        <v>-1</v>
      </c>
      <c r="BD45" s="496">
        <f>BD46/AY47-1</f>
        <v>0.2127694063334804</v>
      </c>
      <c r="BF45" s="165"/>
      <c r="BI45" s="496"/>
      <c r="BL45" s="465"/>
    </row>
    <row r="46" spans="1:68">
      <c r="AM46" s="231">
        <f>194400/AH47</f>
        <v>1.3189676228729617</v>
      </c>
      <c r="AT46" s="230">
        <v>179000</v>
      </c>
      <c r="AY46" s="160">
        <f>AY47/AT46-1</f>
        <v>0.72321787709497198</v>
      </c>
      <c r="BD46" s="230">
        <f>BD47-20000</f>
        <v>374086</v>
      </c>
      <c r="BI46" s="230"/>
    </row>
    <row r="47" spans="1:68" s="10" customFormat="1" ht="12.75">
      <c r="A47" s="10" t="s">
        <v>412</v>
      </c>
      <c r="C47" s="10">
        <f>(C17-205.9)*(1000)+C16</f>
        <v>42200.000000000007</v>
      </c>
      <c r="D47" s="10">
        <f>(D17-C17)*(1000)+D16</f>
        <v>60199.999999999993</v>
      </c>
      <c r="E47" s="10">
        <f>(E17-D17)*(1000)+E16</f>
        <v>76800</v>
      </c>
      <c r="F47" s="10">
        <f>(F17-E17)*(1000)+F16</f>
        <v>84699.999999999985</v>
      </c>
      <c r="H47" s="10">
        <f>(H17-F17)*(1000)+'Income Statement'!E23</f>
        <v>48251.000000000007</v>
      </c>
      <c r="I47" s="10">
        <f>(I17-H17)*(1000)+'Income Statement'!F23</f>
        <v>66569</v>
      </c>
      <c r="J47" s="10">
        <f>(J17-I17)*(1000)+'Income Statement'!G23</f>
        <v>66237</v>
      </c>
      <c r="K47" s="10">
        <f>(K17-J17)*(1000)+'Income Statement'!H23</f>
        <v>77344.000000000015</v>
      </c>
      <c r="M47" s="10">
        <f>(M17-K17)*(1000)+'Income Statement'!J23</f>
        <v>57465.000000000007</v>
      </c>
      <c r="N47" s="10">
        <f>(N17-M17)*(1000)+'Income Statement'!K23</f>
        <v>76172</v>
      </c>
      <c r="O47" s="10">
        <f>(O17-N17)*(1000)+'Income Statement'!L23</f>
        <v>70531.999999999985</v>
      </c>
      <c r="P47" s="10">
        <f>(P17-O17)*(1000)+'Income Statement'!M23</f>
        <v>75817</v>
      </c>
      <c r="R47" s="10">
        <f>(R17-P17)*(1000)+'Income Statement'!O23</f>
        <v>55520.000000000015</v>
      </c>
      <c r="S47" s="10">
        <f>(S17-R17)*(1000)+'Income Statement'!P23</f>
        <v>111799.99999999999</v>
      </c>
      <c r="T47" s="10">
        <f>(T17-S17)*(1000)+'Income Statement'!Q23</f>
        <v>69569.000000000015</v>
      </c>
      <c r="U47" s="10">
        <f>(U17-T17)*(1000)+'Income Statement'!R23</f>
        <v>100038.99999999997</v>
      </c>
      <c r="W47" s="10">
        <f>(W17-U17)*(1000)+'Income Statement'!T23</f>
        <v>54093.000000000044</v>
      </c>
      <c r="X47" s="10">
        <f>(X17-W17)*(1000)+'Income Statement'!U23</f>
        <v>110634.99999999997</v>
      </c>
      <c r="Y47" s="10">
        <f>(Y17-X17)*(1000)+'Income Statement'!V23</f>
        <v>79883.999999999985</v>
      </c>
      <c r="Z47" s="10">
        <f>(Z17-Y17)*(1000)+'Income Statement'!W23</f>
        <v>123179.00000000003</v>
      </c>
      <c r="AB47" s="10">
        <f>(AB17-Z17)*(1000)+'Income Statement'!Y23</f>
        <v>75023.000000000015</v>
      </c>
      <c r="AC47" s="10">
        <f>(AC17-AB17)*(1000)+'Income Statement'!Z23</f>
        <v>119267.99999999997</v>
      </c>
      <c r="AD47" s="10">
        <f>(AD17-AC17)*(1000)+'Income Statement'!AA23</f>
        <v>91744.999999999971</v>
      </c>
      <c r="AE47" s="10">
        <f>(AE17-AD17)*(1000)+'Income Statement'!AB23</f>
        <v>118068.00000000004</v>
      </c>
      <c r="AG47" s="10">
        <f>(AG17-AE17)*(1000)+'Income Statement'!AD23</f>
        <v>101799</v>
      </c>
      <c r="AH47" s="10">
        <f>(AH17-AG17)*(1000)+'Income Statement'!AE23</f>
        <v>147387.99999999994</v>
      </c>
      <c r="AI47" s="10">
        <f>(AI17-AH17)*(1000)+'Income Statement'!AF23</f>
        <v>217121.00000000003</v>
      </c>
      <c r="AJ47" s="10">
        <f>(AJ17-AI17)*(1000)+'Income Statement'!AG23</f>
        <v>121435.00000000004</v>
      </c>
      <c r="AL47" s="10">
        <f>(AL17-AJ17)*(1000)+'Income Statement'!AI23</f>
        <v>101225.99999999991</v>
      </c>
      <c r="AM47" s="10">
        <f>(AM17-AL17)*(1000)+'Income Statement'!AJ23</f>
        <v>238771.00000000009</v>
      </c>
      <c r="AN47" s="10">
        <f>(AN17-AM17)*(1000)+'Income Statement'!AK23</f>
        <v>147963.99999999994</v>
      </c>
      <c r="AO47" s="10">
        <f>(AO17-AN17)*(1000)+'Income Statement'!AL23</f>
        <v>155440</v>
      </c>
      <c r="AQ47" s="10">
        <f>(AQ17-AO17)*(1000)+'Income Statement'!AN23</f>
        <v>122566.00000000003</v>
      </c>
      <c r="AR47" s="10">
        <f>(AR17-AQ17)*(1000)+'Income Statement'!AO23</f>
        <v>179694.99999999997</v>
      </c>
      <c r="AS47" s="10">
        <f>(AS17-AR17)*(1000)+'Income Statement'!AP23</f>
        <v>185545.00000000006</v>
      </c>
      <c r="AT47" s="10">
        <f>(AT17-AS17)*(1000)+'Income Statement'!AQ23</f>
        <v>248938.99999999994</v>
      </c>
      <c r="AV47" s="10">
        <f>(AV17-AT17)*(1000)+'Income Statement'!AS23</f>
        <v>149188.00000000006</v>
      </c>
      <c r="AW47" s="10">
        <f>(AW17-AV17)*(1000)+'Income Statement'!AT23</f>
        <v>252648.99999999997</v>
      </c>
      <c r="AX47" s="10">
        <f>(AX17-AW17)*(1000)+'Income Statement'!AU23</f>
        <v>265757</v>
      </c>
      <c r="AY47" s="10">
        <f>(AY17-AX17)*(1000)+'Income Statement'!AV23</f>
        <v>308456</v>
      </c>
      <c r="BA47" s="10">
        <f>(BA17-AY17)*(1000)+'Income Statement'!AX23</f>
        <v>177857</v>
      </c>
      <c r="BB47" s="10">
        <f>(BB17-BA17)*(1000)+'Income Statement'!AY23</f>
        <v>286418</v>
      </c>
      <c r="BC47" s="10">
        <f>(BC17-BB17)*(1000)+'Income Statement'!AZ23</f>
        <v>160408</v>
      </c>
      <c r="BD47" s="10">
        <f>(BD17-BC17)*(1000)+'Income Statement'!BA23</f>
        <v>394086</v>
      </c>
      <c r="BF47" s="10">
        <f>(BF17-BD17)*(1000)+'Income Statement'!BC23</f>
        <v>195385</v>
      </c>
      <c r="BG47" s="10">
        <f>(BG17-BF17)*(1000)+'Income Statement'!BD23</f>
        <v>262722</v>
      </c>
      <c r="BH47" s="10">
        <f>(BH17-BG17)*(1000)+'Income Statement'!BE23</f>
        <v>254568</v>
      </c>
      <c r="BI47" s="10">
        <f>(BI17-BH17)*(1000)+'Income Statement'!BF23</f>
        <v>248033</v>
      </c>
      <c r="BK47" s="10">
        <f>(BK17-BI17)*(1000)+'Income Statement'!BH23</f>
        <v>260264.99999999994</v>
      </c>
      <c r="BL47" s="538">
        <f>(BL17-BK17)*(1000)+'Income Statement'!BI23</f>
        <v>452479.00000000006</v>
      </c>
      <c r="BM47" s="538">
        <f>(BM17-BL17)*(1000)+'Income Statement'!BJ23</f>
        <v>258187</v>
      </c>
      <c r="BN47" s="538">
        <f>(BN17-BM17)*(1000)+'Income Statement'!BK23</f>
        <v>331425</v>
      </c>
      <c r="BP47" s="10">
        <f>(BP17-BN17)*(1000)+'Income Statement'!BM23</f>
        <v>318780</v>
      </c>
    </row>
    <row r="48" spans="1:68">
      <c r="A48" s="164" t="s">
        <v>352</v>
      </c>
      <c r="I48" s="165">
        <f>I47/H47-1</f>
        <v>0.37963980021139432</v>
      </c>
      <c r="J48" s="165">
        <f>J47/I47-1</f>
        <v>-4.987306403881675E-3</v>
      </c>
      <c r="K48" s="165">
        <f>K47/J47-1</f>
        <v>0.16768573455923441</v>
      </c>
      <c r="N48" s="165">
        <f>N47/M47-1</f>
        <v>0.32553728356390832</v>
      </c>
      <c r="O48" s="165">
        <f>O47/N47-1</f>
        <v>-7.4042955416688705E-2</v>
      </c>
      <c r="P48" s="165">
        <f>P47/O47-1</f>
        <v>7.4930527987296713E-2</v>
      </c>
      <c r="R48" s="165" t="e">
        <f>R47/Q47-1</f>
        <v>#DIV/0!</v>
      </c>
      <c r="S48" s="165">
        <f>S47/R47-1</f>
        <v>1.0136887608069158</v>
      </c>
      <c r="T48" s="165">
        <f>T47/S47-1</f>
        <v>-0.37773703041144879</v>
      </c>
      <c r="U48" s="165">
        <f>U47/T47-1</f>
        <v>0.43798243470511222</v>
      </c>
      <c r="W48" s="165" t="e">
        <f>W47/V47-1</f>
        <v>#DIV/0!</v>
      </c>
      <c r="X48" s="165">
        <f>X47/W47-1</f>
        <v>1.045273880169336</v>
      </c>
      <c r="Y48" s="165">
        <f>Y47/X47-1</f>
        <v>-0.27795001581777912</v>
      </c>
      <c r="Z48" s="165">
        <f>Z47/Y47-1</f>
        <v>0.54197336137399299</v>
      </c>
      <c r="AB48" s="165">
        <f>AB47/Z47-1</f>
        <v>-0.39094326143254943</v>
      </c>
      <c r="AC48" s="165">
        <f>AC47/AB47-1</f>
        <v>0.58975247590738777</v>
      </c>
      <c r="AD48" s="165">
        <f>AD47/AC47-1</f>
        <v>-0.23076600596974883</v>
      </c>
      <c r="AE48" s="165">
        <f>AE47/AD47-1</f>
        <v>0.28691481824622689</v>
      </c>
      <c r="AG48" s="165">
        <f>AG47/AE47-1</f>
        <v>-0.13779347494664129</v>
      </c>
      <c r="AH48" s="165">
        <f>AH47/AG47-1</f>
        <v>0.44783347577088128</v>
      </c>
      <c r="AI48" s="165">
        <f>AI47/AH47-1</f>
        <v>0.47312535620267671</v>
      </c>
      <c r="AJ48" s="165">
        <f>AJ47/AI47-1</f>
        <v>-0.44070357081995737</v>
      </c>
      <c r="AL48" s="165">
        <f>AL47/AJ47-1</f>
        <v>-0.16641824844567155</v>
      </c>
      <c r="AM48" s="165">
        <f>AM47/AL47-1</f>
        <v>1.358791219647129</v>
      </c>
      <c r="AN48" s="165">
        <f>AN47/AM47-1</f>
        <v>-0.38031000414623262</v>
      </c>
      <c r="AO48" s="165">
        <f>AO47/AN47-1</f>
        <v>5.0525803573842731E-2</v>
      </c>
      <c r="AQ48" s="165">
        <f>AQ47/AO47-1</f>
        <v>-0.21148996397323705</v>
      </c>
      <c r="AR48" s="165">
        <f>AR47/AQ47-1</f>
        <v>0.46610805606775063</v>
      </c>
      <c r="AS48" s="165">
        <f>AS47/AR47-1</f>
        <v>3.255516291493965E-2</v>
      </c>
      <c r="AT48" s="165">
        <f>AT47/AS47-1</f>
        <v>0.34166374733891969</v>
      </c>
      <c r="AU48" s="165"/>
      <c r="AV48" s="165">
        <f>AV47/AT47-1</f>
        <v>-0.40070459028115279</v>
      </c>
      <c r="AW48" s="165">
        <f>AW47/AV47-1</f>
        <v>0.69349411480816059</v>
      </c>
      <c r="AX48" s="165">
        <f>AX47/AW47-1</f>
        <v>5.1882255619456252E-2</v>
      </c>
      <c r="AY48" s="165">
        <f>AY47/AX47-1</f>
        <v>0.16066933326309374</v>
      </c>
      <c r="AZ48" s="275"/>
      <c r="BA48" s="165">
        <f>BA47/AY47-1</f>
        <v>-0.42339588142230977</v>
      </c>
      <c r="BB48" s="165">
        <f>BB47/BA47-1</f>
        <v>0.61038362279809055</v>
      </c>
      <c r="BC48" s="165">
        <f>BC47/BB47-1</f>
        <v>-0.43995139970253261</v>
      </c>
      <c r="BD48" s="165">
        <f>BD47/BC47-1</f>
        <v>1.456772729539674</v>
      </c>
      <c r="BF48" s="165">
        <f>BF47/BD47-1</f>
        <v>-0.50420720350380366</v>
      </c>
      <c r="BG48" s="165">
        <f>BG47/BF47-1</f>
        <v>0.34463751055608149</v>
      </c>
      <c r="BH48" s="165">
        <f>BH47/BG47-1</f>
        <v>-3.103660903921257E-2</v>
      </c>
      <c r="BI48" s="165">
        <f>BI47/BH47-1</f>
        <v>-2.5670940573834899E-2</v>
      </c>
      <c r="BK48" s="165">
        <f>BK47/BI47-1</f>
        <v>4.9316018433030795E-2</v>
      </c>
      <c r="BL48" s="165">
        <f>BL47/BK47-1</f>
        <v>0.73853188096747613</v>
      </c>
      <c r="BM48" s="165">
        <f>BM47/BK47-1</f>
        <v>-7.9841699805964783E-3</v>
      </c>
      <c r="BN48" s="165">
        <f>BN47/BL47-1</f>
        <v>-0.26753506792580439</v>
      </c>
      <c r="BP48" s="165">
        <f>BP47/BN47-1</f>
        <v>-3.8153428377460941E-2</v>
      </c>
    </row>
    <row r="49" spans="1:68">
      <c r="A49" s="164" t="s">
        <v>353</v>
      </c>
      <c r="H49" s="165">
        <f>H47/C47-1</f>
        <v>0.14338862559241705</v>
      </c>
      <c r="I49" s="165">
        <f>I47/D47-1</f>
        <v>0.10579734219269121</v>
      </c>
      <c r="J49" s="165">
        <f>J47/E47-1</f>
        <v>-0.13753906250000003</v>
      </c>
      <c r="K49" s="165">
        <f>K47/F47-1</f>
        <v>-8.6847697756788356E-2</v>
      </c>
      <c r="M49" s="165">
        <f>M47/H47-1</f>
        <v>0.19095977285444854</v>
      </c>
      <c r="N49" s="165">
        <f>N47/I47-1</f>
        <v>0.14425633553155381</v>
      </c>
      <c r="O49" s="165">
        <f>O47/J47-1</f>
        <v>6.4842912571523303E-2</v>
      </c>
      <c r="P49" s="165">
        <f>P47/K47-1</f>
        <v>-1.9742966487381275E-2</v>
      </c>
      <c r="R49" s="165">
        <f>R47/M47-1</f>
        <v>-3.384668928913237E-2</v>
      </c>
      <c r="S49" s="165">
        <f>S47/N47-1</f>
        <v>0.4677309247492516</v>
      </c>
      <c r="T49" s="165">
        <f>T47/O47-1</f>
        <v>-1.3653377190494642E-2</v>
      </c>
      <c r="U49" s="165">
        <f>U47/P47-1</f>
        <v>0.31947980004484444</v>
      </c>
      <c r="W49" s="165">
        <f>W47/R47-1</f>
        <v>-2.5702449567722829E-2</v>
      </c>
      <c r="X49" s="165">
        <f>X47/S47-1</f>
        <v>-1.042039355992852E-2</v>
      </c>
      <c r="Y49" s="165">
        <f>Y47/T47-1</f>
        <v>0.14827006281533395</v>
      </c>
      <c r="Z49" s="165">
        <f>Z47/U47-1</f>
        <v>0.23130978918221956</v>
      </c>
      <c r="AB49" s="165">
        <f>AB47/W47-1</f>
        <v>0.38692621965873508</v>
      </c>
      <c r="AC49" s="165">
        <f>AC47/X47-1</f>
        <v>7.8031364396438763E-2</v>
      </c>
      <c r="AD49" s="165">
        <f>AD47/Y47-1</f>
        <v>0.1484777927995593</v>
      </c>
      <c r="AE49" s="165">
        <f>AE47/Z47-1</f>
        <v>-4.1492462189171686E-2</v>
      </c>
      <c r="AG49" s="165">
        <f>AG47/AB47-1</f>
        <v>0.35690388280927166</v>
      </c>
      <c r="AH49" s="165">
        <f>AH47/AC47-1</f>
        <v>0.23577153972565967</v>
      </c>
      <c r="AI49" s="165">
        <f>AI47/AD47-1</f>
        <v>1.3665703853071021</v>
      </c>
      <c r="AJ49" s="165">
        <f>AJ47/AE47-1</f>
        <v>2.8517464511976121E-2</v>
      </c>
      <c r="AL49" s="165">
        <f>AL47/AG47-1</f>
        <v>-5.6287389856490844E-3</v>
      </c>
      <c r="AM49" s="165">
        <f>AM47/AH47-1</f>
        <v>0.62001655494341579</v>
      </c>
      <c r="AN49" s="165">
        <f>AN47/(AI47-72000)-1</f>
        <v>1.9590548576704281E-2</v>
      </c>
      <c r="AO49" s="165">
        <f>AO47/(AJ47)-1</f>
        <v>0.28002635154609412</v>
      </c>
      <c r="AQ49" s="165">
        <f>AQ47/AL47-1</f>
        <v>0.21081540315729286</v>
      </c>
      <c r="AR49" s="165">
        <f>AR47/AM47-1</f>
        <v>-0.24741698112417376</v>
      </c>
      <c r="AS49" s="165">
        <f>AS47/AN47-1</f>
        <v>0.25398745640831644</v>
      </c>
      <c r="AT49" s="165">
        <f>AT47/AO47-1</f>
        <v>0.60151183736489933</v>
      </c>
      <c r="AU49" s="165"/>
      <c r="AV49" s="165">
        <f>AV47/AQ47-1</f>
        <v>0.21720542401644849</v>
      </c>
      <c r="AW49" s="165">
        <f>AW47/AR47-1</f>
        <v>0.40598792398230343</v>
      </c>
      <c r="AX49" s="165">
        <f>AX47/AS47-1</f>
        <v>0.43230483171198308</v>
      </c>
      <c r="AY49" s="165">
        <f>AY47/AT46-1</f>
        <v>0.72321787709497198</v>
      </c>
      <c r="AZ49" s="107"/>
      <c r="BA49" s="165">
        <f>BA47/AV47-1</f>
        <v>0.19216693031611065</v>
      </c>
      <c r="BB49" s="165">
        <f>BB47/AW47-1</f>
        <v>0.13365974138033421</v>
      </c>
      <c r="BC49" s="165">
        <f>BC47/AX47-1</f>
        <v>-0.39641100704779175</v>
      </c>
      <c r="BD49" s="165">
        <f>BD47/AY47-1</f>
        <v>0.27760847576315584</v>
      </c>
      <c r="BF49" s="165">
        <f>BF47/BA47-1</f>
        <v>9.8551083173560761E-2</v>
      </c>
      <c r="BG49" s="165">
        <f>BG47/BB47-1</f>
        <v>-8.2732230516238459E-2</v>
      </c>
      <c r="BH49" s="165">
        <f>BH47/BC47-1</f>
        <v>0.58700314198793069</v>
      </c>
      <c r="BI49" s="165">
        <f>BI47/BD47-1</f>
        <v>-0.37061199839628911</v>
      </c>
      <c r="BK49" s="165">
        <f>BK47/BF47-1</f>
        <v>0.33206233845996347</v>
      </c>
      <c r="BL49" s="165">
        <f>BL47/BG47-1</f>
        <v>0.72227297295239867</v>
      </c>
      <c r="BM49" s="165">
        <f>BM47/BH47-1</f>
        <v>1.421624084723927E-2</v>
      </c>
      <c r="BN49" s="165">
        <f>BN47/BI47-1</f>
        <v>0.33621332645252844</v>
      </c>
      <c r="BP49" s="165">
        <f>BP47/BK47-1</f>
        <v>0.22482854014177889</v>
      </c>
    </row>
    <row r="50" spans="1:68">
      <c r="A50" s="164"/>
      <c r="X50" s="165"/>
      <c r="Y50" s="165"/>
      <c r="Z50" s="165"/>
      <c r="AB50" s="165"/>
      <c r="AC50" s="165"/>
      <c r="AD50" s="165"/>
      <c r="AE50" s="165"/>
      <c r="AG50" s="165"/>
      <c r="AH50" s="165"/>
      <c r="AI50" s="165"/>
      <c r="AJ50" s="165"/>
      <c r="AL50" s="165"/>
      <c r="AM50" s="165"/>
      <c r="AN50" s="165"/>
      <c r="AO50" s="165"/>
      <c r="AQ50" s="165"/>
      <c r="AR50" s="165"/>
      <c r="AS50" s="165"/>
      <c r="AT50" s="165"/>
      <c r="AU50" s="165"/>
      <c r="AV50" s="165"/>
      <c r="AW50" s="165"/>
      <c r="AX50" s="165"/>
      <c r="AY50" s="468">
        <f>AY47-6000</f>
        <v>302456</v>
      </c>
      <c r="AZ50" s="107"/>
      <c r="BP50" t="s">
        <v>690</v>
      </c>
    </row>
    <row r="51" spans="1:68">
      <c r="A51" s="10" t="s">
        <v>631</v>
      </c>
      <c r="X51" s="165"/>
      <c r="Y51" s="165"/>
      <c r="Z51" s="165"/>
      <c r="AB51" s="165"/>
      <c r="AC51" s="165"/>
      <c r="AD51" s="165"/>
      <c r="AE51" s="165"/>
      <c r="AG51" s="165"/>
      <c r="AH51" s="165"/>
      <c r="AI51" s="165"/>
      <c r="AJ51" s="165"/>
      <c r="AL51" s="165"/>
      <c r="AM51" s="165"/>
      <c r="AN51" s="165"/>
      <c r="AO51" s="165"/>
      <c r="AQ51" s="165"/>
      <c r="AR51" s="165"/>
      <c r="AS51" s="165"/>
      <c r="AT51" s="165"/>
      <c r="AU51" s="165"/>
      <c r="AV51" s="165"/>
      <c r="AW51" s="165">
        <v>0.18</v>
      </c>
      <c r="AX51" s="165">
        <v>0.25800000000000001</v>
      </c>
      <c r="AY51" s="165">
        <f>AY50/AT46-1</f>
        <v>0.68969832402234643</v>
      </c>
      <c r="AZ51" s="107"/>
      <c r="BB51" s="230"/>
      <c r="BC51" s="230"/>
      <c r="BG51" s="230"/>
      <c r="BH51" s="230"/>
    </row>
    <row r="52" spans="1:68">
      <c r="AM52" s="275">
        <f>AM49/AH47</f>
        <v>4.2066963046069966E-6</v>
      </c>
      <c r="AX52">
        <f>4.5+72</f>
        <v>76.5</v>
      </c>
      <c r="BA52" s="230"/>
      <c r="BB52" s="230"/>
      <c r="BC52" s="160"/>
      <c r="BF52" s="533">
        <f>(42+66)/195</f>
        <v>0.55384615384615388</v>
      </c>
      <c r="BG52" s="230"/>
      <c r="BH52" s="160"/>
    </row>
    <row r="53" spans="1:68">
      <c r="AM53" s="275"/>
      <c r="BA53" s="230"/>
      <c r="BB53" s="230"/>
      <c r="BC53" s="231"/>
      <c r="BF53" s="230"/>
      <c r="BG53" s="230"/>
      <c r="BH53" s="231">
        <v>0.55000000000000004</v>
      </c>
      <c r="BL53" s="186">
        <f>16-22</f>
        <v>-6</v>
      </c>
    </row>
    <row r="54" spans="1:68">
      <c r="A54" t="s">
        <v>640</v>
      </c>
      <c r="AJ54" t="s">
        <v>460</v>
      </c>
      <c r="AM54" t="s">
        <v>461</v>
      </c>
      <c r="AO54">
        <v>51</v>
      </c>
      <c r="AQ54">
        <v>46.6</v>
      </c>
      <c r="AR54">
        <v>41.8</v>
      </c>
      <c r="AS54">
        <v>37</v>
      </c>
      <c r="AT54">
        <f>AS54-4.5</f>
        <v>32.5</v>
      </c>
      <c r="AV54">
        <f>AT54-4.5</f>
        <v>28</v>
      </c>
      <c r="AW54">
        <f>AV54-4.5</f>
        <v>23.5</v>
      </c>
      <c r="AX54">
        <f>AW54-4.5+72</f>
        <v>91</v>
      </c>
      <c r="AY54">
        <f>AX54-4.5</f>
        <v>86.5</v>
      </c>
      <c r="BA54" s="230"/>
      <c r="BB54" s="230"/>
      <c r="BC54" s="231"/>
      <c r="BF54" s="230"/>
      <c r="BG54" s="230"/>
      <c r="BH54" s="231">
        <v>0.49</v>
      </c>
    </row>
    <row r="55" spans="1:68">
      <c r="AO55">
        <f>AO36-AO54</f>
        <v>154.5</v>
      </c>
      <c r="AQ55">
        <f>AQ36-AQ54</f>
        <v>161.80000000000001</v>
      </c>
      <c r="AR55">
        <f>AR36-AR54</f>
        <v>187.2</v>
      </c>
      <c r="AS55">
        <f>AS36-AS54</f>
        <v>199.9</v>
      </c>
      <c r="AT55">
        <f>AT36-AT54</f>
        <v>209.5</v>
      </c>
      <c r="AV55">
        <f>AV36-AV54</f>
        <v>222.9</v>
      </c>
      <c r="AW55">
        <f>AW36-AW54</f>
        <v>235.39999999999998</v>
      </c>
      <c r="AX55">
        <f>AX36-AX54</f>
        <v>246.5</v>
      </c>
      <c r="AY55" s="374">
        <f>AY36-AY54</f>
        <v>277.57900000000001</v>
      </c>
      <c r="BA55" s="230"/>
      <c r="BB55" s="230"/>
      <c r="BC55" s="231"/>
      <c r="BF55" s="230"/>
      <c r="BG55" s="230"/>
      <c r="BH55" s="231">
        <f>6</f>
        <v>6</v>
      </c>
    </row>
    <row r="56" spans="1:68">
      <c r="AM56" s="275"/>
      <c r="BA56" s="230"/>
      <c r="BB56" s="230"/>
      <c r="BC56" s="231"/>
      <c r="BF56" s="230"/>
      <c r="BG56" s="230"/>
      <c r="BH56" s="231"/>
    </row>
    <row r="57" spans="1:68">
      <c r="A57" t="s">
        <v>327</v>
      </c>
      <c r="R57">
        <v>1.2</v>
      </c>
      <c r="S57">
        <v>1.1000000000000001</v>
      </c>
      <c r="T57">
        <v>1.5</v>
      </c>
      <c r="U57">
        <v>1.3</v>
      </c>
      <c r="V57">
        <v>5.0999999999999996</v>
      </c>
      <c r="W57" t="s">
        <v>347</v>
      </c>
      <c r="X57">
        <v>0</v>
      </c>
      <c r="Y57">
        <v>0.88500000000000001</v>
      </c>
      <c r="Z57">
        <v>2.2000000000000002</v>
      </c>
      <c r="AA57">
        <v>3.5</v>
      </c>
      <c r="AD57" s="161">
        <v>1</v>
      </c>
      <c r="BA57" s="230"/>
      <c r="BF57" s="230"/>
    </row>
    <row r="59" spans="1:68">
      <c r="A59" t="s">
        <v>351</v>
      </c>
      <c r="V59">
        <v>8.4</v>
      </c>
      <c r="AA59">
        <v>8.1</v>
      </c>
      <c r="AY59" s="160"/>
    </row>
    <row r="61" spans="1:68">
      <c r="A61" t="s">
        <v>437</v>
      </c>
      <c r="AB61">
        <v>121</v>
      </c>
      <c r="AC61">
        <v>129</v>
      </c>
      <c r="AD61">
        <v>269</v>
      </c>
      <c r="AE61">
        <v>238</v>
      </c>
      <c r="AF61">
        <f>121+129+269+238</f>
        <v>757</v>
      </c>
      <c r="AG61" s="175">
        <v>891</v>
      </c>
      <c r="AH61" s="175">
        <v>687</v>
      </c>
      <c r="AI61" s="175">
        <v>1000</v>
      </c>
      <c r="AJ61" s="175">
        <v>473</v>
      </c>
      <c r="AK61" s="175">
        <f>SUM(AG61:AJ61)</f>
        <v>3051</v>
      </c>
      <c r="AL61" s="175">
        <v>659</v>
      </c>
      <c r="AM61" s="175">
        <v>576</v>
      </c>
      <c r="AN61" s="175">
        <v>909</v>
      </c>
      <c r="AO61" s="175">
        <v>881</v>
      </c>
      <c r="AP61" s="175">
        <f>SUM(AL61:AO61)</f>
        <v>3025</v>
      </c>
      <c r="AQ61" s="175">
        <v>850</v>
      </c>
      <c r="AR61" s="175">
        <v>1200</v>
      </c>
      <c r="AS61" s="175">
        <v>1000</v>
      </c>
      <c r="AT61" s="175">
        <f>AU61-AS61-AR61-AQ61</f>
        <v>350</v>
      </c>
      <c r="AU61" s="175">
        <v>3400</v>
      </c>
      <c r="AV61" s="175"/>
      <c r="AW61" s="175"/>
      <c r="AX61" s="175"/>
      <c r="AY61" s="175"/>
    </row>
    <row r="62" spans="1:68">
      <c r="A62" s="164" t="s">
        <v>352</v>
      </c>
      <c r="AB62" s="165" t="e">
        <f>AB61/Z61-1</f>
        <v>#DIV/0!</v>
      </c>
      <c r="AC62" s="165">
        <f>AC61/AB61-1</f>
        <v>6.6115702479338845E-2</v>
      </c>
      <c r="AD62" s="165">
        <f>AD61/AC61-1</f>
        <v>1.0852713178294575</v>
      </c>
      <c r="AE62" s="165">
        <f>AE61/AD61-1</f>
        <v>-0.11524163568773238</v>
      </c>
      <c r="AG62" s="165">
        <f>AG61/AE61-1</f>
        <v>2.7436974789915967</v>
      </c>
      <c r="AH62" s="165">
        <f>AH61/AG61-1</f>
        <v>-0.22895622895622891</v>
      </c>
      <c r="AI62" s="165">
        <f>AI61/AH61-1</f>
        <v>0.45560407569141192</v>
      </c>
      <c r="AJ62" s="165">
        <f>AJ61/AI61-1</f>
        <v>-0.52700000000000002</v>
      </c>
      <c r="AL62" s="165">
        <f>AL61/AJ61-1</f>
        <v>0.39323467230443976</v>
      </c>
      <c r="AM62" s="165">
        <f>AM61/AL61-1</f>
        <v>-0.12594840667678298</v>
      </c>
      <c r="AN62" s="165">
        <f>AN61/AM61-1</f>
        <v>0.578125</v>
      </c>
      <c r="AO62" s="165">
        <f>AO61/AN61-1</f>
        <v>-3.0803080308030806E-2</v>
      </c>
      <c r="AQ62" s="165">
        <f>AQ61/AO61-1</f>
        <v>-3.518728717366626E-2</v>
      </c>
      <c r="AR62" s="165">
        <f>AR61/AP61-1</f>
        <v>-0.60330578512396693</v>
      </c>
      <c r="AT62" s="230">
        <f>AT61-AO61</f>
        <v>-531</v>
      </c>
    </row>
    <row r="63" spans="1:68">
      <c r="A63" s="164" t="s">
        <v>353</v>
      </c>
      <c r="AB63" s="165" t="e">
        <f>AB61/W61-1</f>
        <v>#DIV/0!</v>
      </c>
      <c r="AC63" s="165" t="e">
        <f>AC61/X61-1</f>
        <v>#DIV/0!</v>
      </c>
      <c r="AD63" s="165" t="e">
        <f>AD61/Y61-1</f>
        <v>#DIV/0!</v>
      </c>
      <c r="AE63" s="165" t="e">
        <f>AE61/Z61-1</f>
        <v>#DIV/0!</v>
      </c>
      <c r="AG63" s="165">
        <f>AG61/AB61-1</f>
        <v>6.3636363636363633</v>
      </c>
      <c r="AH63" s="165">
        <f>AH61/AC61-1</f>
        <v>4.3255813953488369</v>
      </c>
      <c r="AI63" s="165">
        <f>AI61/AD61-1</f>
        <v>2.7174721189591078</v>
      </c>
      <c r="AJ63" s="165">
        <f>AJ61/AE61-1</f>
        <v>0.98739495798319332</v>
      </c>
      <c r="AL63" s="165">
        <f>AL61/AG61-1</f>
        <v>-0.26038159371492708</v>
      </c>
      <c r="AM63" s="165">
        <f>AM61/AH61-1</f>
        <v>-0.16157205240174677</v>
      </c>
      <c r="AN63" s="165">
        <f>AN61/AI61-1</f>
        <v>-9.099999999999997E-2</v>
      </c>
      <c r="AO63" s="165">
        <f>AO61/AJ61-1</f>
        <v>0.86257928118393234</v>
      </c>
      <c r="AQ63" s="165">
        <f>AQ61/AL61-1</f>
        <v>0.28983308042488609</v>
      </c>
      <c r="AR63" s="165">
        <f>AR61/AM61-1</f>
        <v>1.0833333333333335</v>
      </c>
    </row>
    <row r="65" spans="1:64">
      <c r="A65" t="s">
        <v>337</v>
      </c>
      <c r="AB65">
        <v>17</v>
      </c>
      <c r="AC65" t="s">
        <v>338</v>
      </c>
      <c r="AD65" t="s">
        <v>410</v>
      </c>
      <c r="AE65" t="s">
        <v>414</v>
      </c>
      <c r="AG65" t="s">
        <v>450</v>
      </c>
      <c r="AI65" t="s">
        <v>445</v>
      </c>
      <c r="AJ65" t="s">
        <v>447</v>
      </c>
      <c r="AL65" t="s">
        <v>451</v>
      </c>
      <c r="AN65" t="s">
        <v>459</v>
      </c>
      <c r="AO65" t="s">
        <v>470</v>
      </c>
    </row>
    <row r="67" spans="1:64">
      <c r="A67" t="s">
        <v>524</v>
      </c>
      <c r="AN67" t="s">
        <v>526</v>
      </c>
      <c r="AR67">
        <v>5</v>
      </c>
      <c r="AS67" t="s">
        <v>525</v>
      </c>
      <c r="AW67">
        <v>5.6</v>
      </c>
      <c r="BC67">
        <v>5.6</v>
      </c>
      <c r="BH67">
        <v>5.6</v>
      </c>
    </row>
    <row r="68" spans="1:64">
      <c r="AE68" s="231"/>
    </row>
    <row r="69" spans="1:64">
      <c r="A69" t="s">
        <v>339</v>
      </c>
      <c r="Y69" s="163">
        <v>4.5999999999999999E-2</v>
      </c>
      <c r="Z69" s="163">
        <v>0.13300000000000001</v>
      </c>
      <c r="AC69" s="162">
        <v>0.13</v>
      </c>
      <c r="AD69" s="162">
        <v>0.216</v>
      </c>
      <c r="AE69" s="160">
        <v>0.16200000000000001</v>
      </c>
      <c r="AG69">
        <v>15.8</v>
      </c>
      <c r="AH69">
        <v>12.8</v>
      </c>
      <c r="AI69">
        <v>14</v>
      </c>
      <c r="AJ69">
        <v>16</v>
      </c>
    </row>
    <row r="70" spans="1:64">
      <c r="AE70" s="160"/>
    </row>
    <row r="71" spans="1:64" s="160" customFormat="1">
      <c r="A71" s="160" t="s">
        <v>340</v>
      </c>
      <c r="Z71" s="160">
        <v>9.7000000000000003E-2</v>
      </c>
      <c r="AC71" s="160">
        <v>0.08</v>
      </c>
      <c r="AD71" s="160">
        <v>0.13100000000000001</v>
      </c>
      <c r="AE71" s="160">
        <v>0.109</v>
      </c>
      <c r="AG71" s="160">
        <v>0.115</v>
      </c>
      <c r="AH71" s="160">
        <v>9.5000000000000001E-2</v>
      </c>
      <c r="AI71" s="160">
        <v>0.115</v>
      </c>
      <c r="AJ71" s="160">
        <v>0.14000000000000001</v>
      </c>
      <c r="BL71" s="539"/>
    </row>
    <row r="72" spans="1:64">
      <c r="AE72" s="160"/>
    </row>
    <row r="73" spans="1:64">
      <c r="A73" t="s">
        <v>341</v>
      </c>
      <c r="AC73" s="162">
        <v>0.05</v>
      </c>
      <c r="AD73">
        <v>8.5</v>
      </c>
      <c r="AE73" s="160">
        <v>5.2999999999999999E-2</v>
      </c>
      <c r="AG73">
        <v>4.3</v>
      </c>
      <c r="AH73">
        <v>3.3</v>
      </c>
      <c r="AI73">
        <v>2.5</v>
      </c>
      <c r="AJ73">
        <v>2</v>
      </c>
    </row>
    <row r="74" spans="1:64">
      <c r="AE74" s="160"/>
    </row>
    <row r="75" spans="1:64">
      <c r="A75" t="s">
        <v>342</v>
      </c>
      <c r="Z75" s="163">
        <v>0.161</v>
      </c>
      <c r="AC75" s="163">
        <v>9.0999999999999998E-2</v>
      </c>
      <c r="AD75">
        <v>14.1</v>
      </c>
      <c r="AE75" s="160">
        <v>-0.112</v>
      </c>
      <c r="AG75">
        <v>17</v>
      </c>
      <c r="AH75">
        <v>19.8</v>
      </c>
      <c r="AI75">
        <v>17</v>
      </c>
    </row>
    <row r="76" spans="1:64">
      <c r="AE76" s="160"/>
    </row>
    <row r="77" spans="1:64">
      <c r="A77" t="s">
        <v>340</v>
      </c>
      <c r="Z77" s="163">
        <v>9.9000000000000005E-2</v>
      </c>
      <c r="AC77" s="163">
        <v>4.1000000000000002E-2</v>
      </c>
      <c r="AD77">
        <v>2.6</v>
      </c>
      <c r="AE77" s="160">
        <v>-0.189</v>
      </c>
      <c r="AG77">
        <v>10.3</v>
      </c>
      <c r="AH77">
        <v>4.5</v>
      </c>
      <c r="AI77">
        <v>13.4</v>
      </c>
      <c r="AJ77">
        <v>25</v>
      </c>
    </row>
    <row r="78" spans="1:64">
      <c r="AE78" s="231"/>
    </row>
    <row r="79" spans="1:64">
      <c r="A79" t="s">
        <v>341</v>
      </c>
      <c r="Z79" s="163">
        <v>6.2E-2</v>
      </c>
      <c r="AC79" s="162">
        <v>0.05</v>
      </c>
      <c r="AD79">
        <v>11.5</v>
      </c>
      <c r="AE79">
        <v>7.2</v>
      </c>
      <c r="AG79">
        <v>7</v>
      </c>
      <c r="AH79">
        <f>AH75-AH77</f>
        <v>15.3</v>
      </c>
      <c r="AI79">
        <f>AI75-AI77</f>
        <v>3.5999999999999996</v>
      </c>
    </row>
    <row r="80" spans="1:64">
      <c r="Z80" t="s">
        <v>350</v>
      </c>
      <c r="BG80">
        <v>1.2050000000000001</v>
      </c>
      <c r="BH80">
        <v>1.2250000000000001</v>
      </c>
      <c r="BJ80">
        <f>MEDIAN(BG80:BH80)</f>
        <v>1.2150000000000001</v>
      </c>
    </row>
    <row r="81" spans="1:36">
      <c r="A81" t="s">
        <v>343</v>
      </c>
      <c r="Z81" s="163">
        <v>0.436</v>
      </c>
      <c r="AC81" s="163">
        <v>0.43099999999999999</v>
      </c>
      <c r="AD81">
        <v>41.9</v>
      </c>
      <c r="AE81">
        <v>42.9</v>
      </c>
      <c r="AG81">
        <v>35</v>
      </c>
      <c r="AH81">
        <v>31.4</v>
      </c>
      <c r="AI81">
        <v>34.200000000000003</v>
      </c>
    </row>
    <row r="83" spans="1:36">
      <c r="A83" t="s">
        <v>344</v>
      </c>
      <c r="Z83" s="163">
        <v>0.436</v>
      </c>
      <c r="AC83" s="163">
        <v>0.38200000000000001</v>
      </c>
      <c r="AD83">
        <v>37.700000000000003</v>
      </c>
      <c r="AE83">
        <v>40.5</v>
      </c>
      <c r="AG83">
        <v>33.700000000000003</v>
      </c>
      <c r="AH83">
        <v>30.1</v>
      </c>
    </row>
    <row r="85" spans="1:36">
      <c r="A85" t="s">
        <v>341</v>
      </c>
      <c r="AC85" s="163">
        <v>4.9000000000000002E-2</v>
      </c>
      <c r="AD85">
        <v>4.2</v>
      </c>
      <c r="AE85">
        <v>2.4</v>
      </c>
      <c r="AG85">
        <v>1.5</v>
      </c>
      <c r="AH85">
        <v>1.3</v>
      </c>
      <c r="AI85">
        <v>1.1000000000000001</v>
      </c>
      <c r="AJ85" s="163">
        <v>8.0000000000000002E-3</v>
      </c>
    </row>
    <row r="87" spans="1:36">
      <c r="A87" t="s">
        <v>345</v>
      </c>
      <c r="Z87" s="163">
        <v>7.1999999999999995E-2</v>
      </c>
      <c r="AC87" s="163">
        <v>0.105</v>
      </c>
      <c r="AD87">
        <v>25.2</v>
      </c>
      <c r="AE87">
        <v>22.2</v>
      </c>
      <c r="AG87">
        <v>10</v>
      </c>
      <c r="AH87">
        <v>10.8</v>
      </c>
    </row>
    <row r="89" spans="1:36">
      <c r="A89" t="s">
        <v>340</v>
      </c>
      <c r="Z89" s="163">
        <v>4.4999999999999998E-2</v>
      </c>
      <c r="AC89" s="163">
        <v>6.8000000000000005E-2</v>
      </c>
      <c r="AD89">
        <v>17.399999999999999</v>
      </c>
      <c r="AE89">
        <v>18.7</v>
      </c>
      <c r="AG89">
        <v>6</v>
      </c>
      <c r="AH89">
        <v>5.7</v>
      </c>
      <c r="AJ89">
        <v>10</v>
      </c>
    </row>
    <row r="91" spans="1:36">
      <c r="A91" t="s">
        <v>341</v>
      </c>
      <c r="Z91" s="163">
        <v>2.7E-2</v>
      </c>
      <c r="AC91" s="163">
        <v>3.6999999999999998E-2</v>
      </c>
      <c r="AD91">
        <v>7.8</v>
      </c>
      <c r="AE91">
        <v>3.5</v>
      </c>
      <c r="AG91">
        <v>4</v>
      </c>
      <c r="AH91">
        <v>5.0999999999999996</v>
      </c>
      <c r="AI91">
        <v>5.9</v>
      </c>
      <c r="AJ91">
        <v>3.4</v>
      </c>
    </row>
    <row r="93" spans="1:36">
      <c r="A93" t="s">
        <v>346</v>
      </c>
      <c r="Z93" s="163">
        <v>0.13500000000000001</v>
      </c>
      <c r="AC93" s="163">
        <v>0.122</v>
      </c>
      <c r="AD93">
        <v>20.100000000000001</v>
      </c>
      <c r="AE93">
        <v>16.899999999999999</v>
      </c>
      <c r="AG93">
        <v>15.6</v>
      </c>
      <c r="AH93">
        <v>10.9</v>
      </c>
      <c r="AI93">
        <v>10.9</v>
      </c>
    </row>
    <row r="95" spans="1:36">
      <c r="A95" t="s">
        <v>340</v>
      </c>
      <c r="Z95" s="163">
        <v>8.5999999999999993E-2</v>
      </c>
      <c r="AC95" s="163">
        <v>6.7000000000000004E-2</v>
      </c>
      <c r="AD95">
        <v>9.6999999999999993</v>
      </c>
      <c r="AE95">
        <v>10.1</v>
      </c>
      <c r="AG95">
        <v>10.5</v>
      </c>
      <c r="AH95">
        <v>9.6</v>
      </c>
      <c r="AI95">
        <v>9.5</v>
      </c>
      <c r="AJ95">
        <v>8.1999999999999993</v>
      </c>
    </row>
    <row r="97" spans="1:41">
      <c r="A97" t="s">
        <v>341</v>
      </c>
      <c r="Z97" s="163">
        <v>4.9000000000000002E-2</v>
      </c>
      <c r="AC97" s="163">
        <v>5.5E-2</v>
      </c>
      <c r="AD97">
        <v>10.4</v>
      </c>
      <c r="AG97">
        <v>5.0999999999999996</v>
      </c>
      <c r="AH97">
        <v>0.7</v>
      </c>
      <c r="AI97">
        <v>1.4</v>
      </c>
    </row>
    <row r="103" spans="1:41">
      <c r="A103" t="s">
        <v>462</v>
      </c>
    </row>
    <row r="108" spans="1:41">
      <c r="AN108" t="e">
        <f>+#REF!/0.65</f>
        <v>#REF!</v>
      </c>
      <c r="AO108" t="e">
        <f>+#REF!/0.65</f>
        <v>#REF!</v>
      </c>
    </row>
    <row r="109" spans="1:41">
      <c r="A109" t="s">
        <v>464</v>
      </c>
      <c r="X109">
        <f>X36*1000</f>
        <v>50000</v>
      </c>
      <c r="Y109">
        <f>Y36*1000</f>
        <v>62000</v>
      </c>
      <c r="Z109">
        <f>Z36*1000</f>
        <v>65000</v>
      </c>
      <c r="AB109">
        <f>AB36*1000</f>
        <v>68000</v>
      </c>
      <c r="AC109">
        <f>AC36*1000</f>
        <v>73000</v>
      </c>
      <c r="AD109">
        <f>AD36*1000</f>
        <v>80000</v>
      </c>
      <c r="AE109">
        <f>AE36*1000</f>
        <v>82100</v>
      </c>
      <c r="AG109">
        <f>AG36*1000</f>
        <v>97300</v>
      </c>
      <c r="AH109">
        <f>AH36*1000</f>
        <v>101200</v>
      </c>
      <c r="AI109">
        <f>AI36*1000</f>
        <v>189300</v>
      </c>
      <c r="AJ109">
        <f>AJ36*1000</f>
        <v>188700</v>
      </c>
      <c r="AL109">
        <f>AL36*1000</f>
        <v>183200</v>
      </c>
      <c r="AM109">
        <f>AM36*1000</f>
        <v>185700</v>
      </c>
      <c r="AN109">
        <f>AN36*1000</f>
        <v>194700</v>
      </c>
      <c r="AO109">
        <f>AO36*1000</f>
        <v>205500</v>
      </c>
    </row>
    <row r="110" spans="1:41">
      <c r="A110" t="s">
        <v>463</v>
      </c>
      <c r="X110">
        <f>+'Income Statement'!V8+'Income Statement'!W8+'Income Statement'!Y8+'Income Statement'!Z8</f>
        <v>37440</v>
      </c>
      <c r="Y110">
        <f>+'Income Statement'!W8+'Income Statement'!Y8+'Income Statement'!Z8+'Income Statement'!AA8</f>
        <v>40786</v>
      </c>
      <c r="Z110">
        <f>+'Income Statement'!Y8+'Income Statement'!Z8+'Income Statement'!AA8+'Income Statement'!AB8</f>
        <v>44618</v>
      </c>
      <c r="AB110">
        <f>+'Income Statement'!Z8+'Income Statement'!AA8+'Income Statement'!AB8+'Income Statement'!AD8</f>
        <v>48123</v>
      </c>
      <c r="AC110">
        <f>+'Income Statement'!AA8+'Income Statement'!AB8+'Income Statement'!AD8+'Income Statement'!AE8</f>
        <v>51433</v>
      </c>
      <c r="AD110">
        <f>+'Income Statement'!AB8+'Income Statement'!AD8+'Income Statement'!AE8+'Income Statement'!AF8</f>
        <v>55312</v>
      </c>
      <c r="AE110">
        <f>+'Income Statement'!AD8+'Income Statement'!AE8+'Income Statement'!AF8+'Income Statement'!AG8</f>
        <v>61864</v>
      </c>
      <c r="AG110">
        <f>+'Income Statement'!AE8+'Income Statement'!AF8+'Income Statement'!AG8+'Income Statement'!AI8</f>
        <v>68898</v>
      </c>
      <c r="AH110">
        <f>+'Income Statement'!AF8+'Income Statement'!AG8+'Income Statement'!AI8+'Income Statement'!AJ8</f>
        <v>75969</v>
      </c>
      <c r="AI110">
        <f>+'Income Statement'!AG8+'Income Statement'!AI8+'Income Statement'!AJ8+'Income Statement'!AK8</f>
        <v>83449</v>
      </c>
      <c r="AJ110">
        <f>+'Income Statement'!AI8+'Income Statement'!AJ8+'Income Statement'!AK8+'Income Statement'!AL8</f>
        <v>87848</v>
      </c>
      <c r="AL110">
        <f>+'Income Statement'!AJ8+'Income Statement'!AK8+'Income Statement'!AL8+'Income Statement'!AN8</f>
        <v>92629</v>
      </c>
      <c r="AM110">
        <f>+'Income Statement'!AK8+'Income Statement'!AL8+'Income Statement'!AN8+'Income Statement'!AO8</f>
        <v>98644</v>
      </c>
      <c r="AN110">
        <f>+'Income Statement'!AL8+'Income Statement'!AN8+'Income Statement'!AO8+'Income Statement'!AP8</f>
        <v>104986</v>
      </c>
      <c r="AO110">
        <f>+'Income Statement'!AN8+'Income Statement'!AO8+'Income Statement'!AP8+'Income Statement'!AQ8</f>
        <v>111933</v>
      </c>
    </row>
    <row r="111" spans="1:41">
      <c r="A111" t="s">
        <v>462</v>
      </c>
      <c r="X111" s="231">
        <f>+X109/X110</f>
        <v>1.3354700854700854</v>
      </c>
      <c r="Y111" s="231">
        <f>+Y109/Y110</f>
        <v>1.5201294561859462</v>
      </c>
      <c r="Z111" s="231">
        <f>+Z109/Z110</f>
        <v>1.4568111524496841</v>
      </c>
      <c r="AB111" s="231">
        <f>+AB109/AB110</f>
        <v>1.4130457369656921</v>
      </c>
      <c r="AC111" s="231">
        <f>+AC109/AC110</f>
        <v>1.4193222250306223</v>
      </c>
      <c r="AD111" s="231">
        <f>+AD109/AD110</f>
        <v>1.4463407578825571</v>
      </c>
      <c r="AE111" s="231">
        <f>+AE109/AE110</f>
        <v>1.3271046165783007</v>
      </c>
      <c r="AG111" s="231">
        <f>+AG109/AG110</f>
        <v>1.4122325756916021</v>
      </c>
      <c r="AH111" s="231">
        <f>+AH109/AH110</f>
        <v>1.3321223130487436</v>
      </c>
      <c r="AI111" s="231">
        <f>+AI109/AI110</f>
        <v>2.2684513894714136</v>
      </c>
      <c r="AJ111" s="231">
        <f>+AJ109/AJ110</f>
        <v>2.1480284127128675</v>
      </c>
      <c r="AL111" s="231">
        <f>+AL109/AL110</f>
        <v>1.9777823359854905</v>
      </c>
      <c r="AM111" s="231">
        <f>+AM109/AM110</f>
        <v>1.882527067028912</v>
      </c>
      <c r="AN111" s="231">
        <f>+AN109/AN110</f>
        <v>1.8545329853504278</v>
      </c>
      <c r="AO111" s="231">
        <f>+AO109/AO110</f>
        <v>1.8359197019645681</v>
      </c>
    </row>
    <row r="114" spans="1:41">
      <c r="A114" t="s">
        <v>468</v>
      </c>
      <c r="AI114">
        <v>71500</v>
      </c>
      <c r="AJ114">
        <f>68.3*1000</f>
        <v>68300</v>
      </c>
      <c r="AL114">
        <v>64500</v>
      </c>
      <c r="AM114">
        <f>60.5*1000</f>
        <v>60500</v>
      </c>
      <c r="AN114">
        <v>56000</v>
      </c>
      <c r="AO114">
        <f>+AN114-4500</f>
        <v>51500</v>
      </c>
    </row>
    <row r="116" spans="1:41">
      <c r="A116" t="s">
        <v>467</v>
      </c>
      <c r="W116">
        <f>W109</f>
        <v>0</v>
      </c>
      <c r="X116">
        <f>X109</f>
        <v>50000</v>
      </c>
      <c r="Y116">
        <f>Y109</f>
        <v>62000</v>
      </c>
      <c r="Z116">
        <f>Z109</f>
        <v>65000</v>
      </c>
      <c r="AB116">
        <f t="shared" ref="AB116:AE117" si="5">AB109</f>
        <v>68000</v>
      </c>
      <c r="AC116">
        <f t="shared" si="5"/>
        <v>73000</v>
      </c>
      <c r="AD116">
        <f t="shared" si="5"/>
        <v>80000</v>
      </c>
      <c r="AE116">
        <f t="shared" si="5"/>
        <v>82100</v>
      </c>
      <c r="AG116">
        <f>AG109</f>
        <v>97300</v>
      </c>
      <c r="AH116">
        <f>AH109</f>
        <v>101200</v>
      </c>
      <c r="AI116">
        <f>+AI109-AI114</f>
        <v>117800</v>
      </c>
      <c r="AJ116">
        <f>+AJ109-AJ114</f>
        <v>120400</v>
      </c>
      <c r="AL116">
        <f>+AL109-AL114</f>
        <v>118700</v>
      </c>
      <c r="AM116">
        <f>+AM109-AM114</f>
        <v>125200</v>
      </c>
      <c r="AN116">
        <f>+AN109-AN114</f>
        <v>138700</v>
      </c>
      <c r="AO116">
        <f>+AO109-AO114</f>
        <v>154000</v>
      </c>
    </row>
    <row r="117" spans="1:41">
      <c r="A117" t="s">
        <v>463</v>
      </c>
      <c r="X117">
        <f>X110</f>
        <v>37440</v>
      </c>
      <c r="Y117">
        <f>Y110</f>
        <v>40786</v>
      </c>
      <c r="Z117">
        <f>Z110</f>
        <v>44618</v>
      </c>
      <c r="AB117">
        <f t="shared" si="5"/>
        <v>48123</v>
      </c>
      <c r="AC117">
        <f t="shared" si="5"/>
        <v>51433</v>
      </c>
      <c r="AD117">
        <f t="shared" si="5"/>
        <v>55312</v>
      </c>
      <c r="AE117">
        <f t="shared" si="5"/>
        <v>61864</v>
      </c>
      <c r="AG117">
        <f>AG110</f>
        <v>68898</v>
      </c>
      <c r="AH117">
        <f>AH110</f>
        <v>75969</v>
      </c>
      <c r="AI117">
        <f>AI110</f>
        <v>83449</v>
      </c>
      <c r="AJ117">
        <f>AJ110</f>
        <v>87848</v>
      </c>
      <c r="AL117">
        <f>AL110</f>
        <v>92629</v>
      </c>
      <c r="AM117">
        <f>AM110</f>
        <v>98644</v>
      </c>
      <c r="AN117">
        <f>AN110</f>
        <v>104986</v>
      </c>
      <c r="AO117">
        <f>AO110</f>
        <v>111933</v>
      </c>
    </row>
    <row r="118" spans="1:41">
      <c r="A118" t="s">
        <v>462</v>
      </c>
      <c r="X118" s="231">
        <f>+X116/X117</f>
        <v>1.3354700854700854</v>
      </c>
      <c r="Y118" s="231">
        <f>+Y116/Y117</f>
        <v>1.5201294561859462</v>
      </c>
      <c r="Z118" s="231">
        <f>+Z116/Z117</f>
        <v>1.4568111524496841</v>
      </c>
      <c r="AB118" s="231">
        <f>+AB116/AB117</f>
        <v>1.4130457369656921</v>
      </c>
      <c r="AC118" s="231">
        <f>+AC116/AC117</f>
        <v>1.4193222250306223</v>
      </c>
      <c r="AD118" s="231">
        <f>+AD116/AD117</f>
        <v>1.4463407578825571</v>
      </c>
      <c r="AE118" s="231">
        <f>+AE116/AE117</f>
        <v>1.3271046165783007</v>
      </c>
      <c r="AG118" s="231">
        <f>+AG116/AG117</f>
        <v>1.4122325756916021</v>
      </c>
      <c r="AH118" s="231">
        <f>+AH116/AH117</f>
        <v>1.3321223130487436</v>
      </c>
      <c r="AI118" s="231">
        <f>+AI116/AI117</f>
        <v>1.4116406427878105</v>
      </c>
      <c r="AJ118" s="231">
        <f>+AJ116/AJ117</f>
        <v>1.3705491303160005</v>
      </c>
      <c r="AL118" s="231">
        <f>+AL116/AL117</f>
        <v>1.2814561314491142</v>
      </c>
      <c r="AM118" s="231">
        <f>+AM116/AM117</f>
        <v>1.2692104943027451</v>
      </c>
      <c r="AN118" s="231">
        <f>+AN116/AN117</f>
        <v>1.3211285314232373</v>
      </c>
      <c r="AO118" s="231">
        <f>+AO116/AO117</f>
        <v>1.3758230369953455</v>
      </c>
    </row>
    <row r="119" spans="1:41">
      <c r="AO119">
        <f>+AO116/1.29</f>
        <v>119379.84496124031</v>
      </c>
    </row>
    <row r="120" spans="1:41">
      <c r="A120" t="s">
        <v>465</v>
      </c>
      <c r="X120">
        <f>+X40*1000</f>
        <v>118199.99999999999</v>
      </c>
      <c r="Y120">
        <f>+Y40*1000</f>
        <v>115400</v>
      </c>
      <c r="Z120">
        <f>+Z40*1000</f>
        <v>144599.99999999997</v>
      </c>
      <c r="AB120">
        <f>+AB40*1000</f>
        <v>141300</v>
      </c>
      <c r="AC120">
        <f>+AC40*1000</f>
        <v>141000</v>
      </c>
      <c r="AD120">
        <f>+AD40*1000</f>
        <v>139200</v>
      </c>
      <c r="AE120">
        <f>+AE40*1000</f>
        <v>143000</v>
      </c>
      <c r="AG120">
        <f>+AG40*1000</f>
        <v>151699.99999999997</v>
      </c>
      <c r="AH120">
        <f>+AH40*1000</f>
        <v>249400.00000000003</v>
      </c>
      <c r="AI120">
        <f>+AI40*1000</f>
        <v>193000</v>
      </c>
      <c r="AJ120">
        <f>+AJ40*1000</f>
        <v>206399.99999999997</v>
      </c>
      <c r="AL120">
        <f>+AL40*1000</f>
        <v>208600.00000000003</v>
      </c>
      <c r="AM120">
        <f>+AM40*1000</f>
        <v>279000</v>
      </c>
      <c r="AN120">
        <f>+AN40*1000</f>
        <v>287500</v>
      </c>
      <c r="AO120">
        <f>+AO40*1000</f>
        <v>290999.99999999994</v>
      </c>
    </row>
    <row r="121" spans="1:41">
      <c r="A121" t="s">
        <v>463</v>
      </c>
      <c r="X121">
        <f>+'Income Statement'!V5+'Income Statement'!W5+'Income Statement'!Y5+'Income Statement'!Z5+'Income Statement'!V11+'Income Statement'!W11+'Income Statement'!Y11+'Income Statement'!Z11</f>
        <v>108577</v>
      </c>
      <c r="Y121">
        <f>+'Income Statement'!W5+'Income Statement'!Y5+'Income Statement'!Z5+'Income Statement'!AA5+'Income Statement'!W11+'Income Statement'!Y11+'Income Statement'!Z11+'Income Statement'!AA11</f>
        <v>114374</v>
      </c>
      <c r="Z121">
        <f>+'Income Statement'!Y5+'Income Statement'!Z5+'Income Statement'!AA5+'Income Statement'!AB5+'Income Statement'!Y11+'Income Statement'!Z11+'Income Statement'!AA11+'Income Statement'!AB11</f>
        <v>117336</v>
      </c>
      <c r="AB121">
        <f>+'Income Statement'!Z5+'Income Statement'!AA5+'Income Statement'!AB5+'Income Statement'!AD5+'Income Statement'!Z11+'Income Statement'!AA11+'Income Statement'!AB11+'Income Statement'!AD11</f>
        <v>120534</v>
      </c>
      <c r="AC121">
        <f>+'Income Statement'!AA5+'Income Statement'!AB5+'Income Statement'!AD5+'Income Statement'!AE5+'Income Statement'!AA11+'Income Statement'!AB11+'Income Statement'!AD11+'Income Statement'!AE11</f>
        <v>124550</v>
      </c>
      <c r="AD121">
        <f>+'Income Statement'!AB5+'Income Statement'!AD5+'Income Statement'!AE5+'Income Statement'!AF5+'Income Statement'!AB11+'Income Statement'!AD11+'Income Statement'!AE11+'Income Statement'!AF11</f>
        <v>128833</v>
      </c>
      <c r="AE121">
        <f>+'Income Statement'!AD5+'Income Statement'!AE5+'Income Statement'!AF5+'Income Statement'!AG5+'Income Statement'!AD11+'Income Statement'!AE11+'Income Statement'!AF11+'Income Statement'!AG11</f>
        <v>134108</v>
      </c>
      <c r="AG121">
        <f>+'Income Statement'!AE5+'Income Statement'!AF5+'Income Statement'!AG5+'Income Statement'!AI5+'Income Statement'!AE11+'Income Statement'!AF11+'Income Statement'!AG11+'Income Statement'!AI11</f>
        <v>140356</v>
      </c>
      <c r="AH121">
        <f>+'Income Statement'!AF5+'Income Statement'!AG5+'Income Statement'!AI5+'Income Statement'!AJ5+'Income Statement'!AF11+'Income Statement'!AG11+'Income Statement'!AI11+'Income Statement'!AJ11</f>
        <v>148392</v>
      </c>
      <c r="AI121">
        <f>+'Income Statement'!AG5+'Income Statement'!AI5+'Income Statement'!AJ5+'Income Statement'!AK5+'Income Statement'!AG11+'Income Statement'!AI11+'Income Statement'!AJ11+'Income Statement'!AK11</f>
        <v>157422</v>
      </c>
      <c r="AJ121">
        <f>+'Income Statement'!AI5+'Income Statement'!AJ5+'Income Statement'!AK5+'Income Statement'!AL5+'Income Statement'!AI11+'Income Statement'!AJ11+'Income Statement'!AK11+'Income Statement'!AL11</f>
        <v>162886</v>
      </c>
      <c r="AL121">
        <f>+'Income Statement'!AJ5+'Income Statement'!AK5+'Income Statement'!AL5+'Income Statement'!AN5+'Income Statement'!AJ11+'Income Statement'!AK11+'Income Statement'!AL11+'Income Statement'!AN11</f>
        <v>172451</v>
      </c>
      <c r="AM121">
        <f>+'Income Statement'!AK5+'Income Statement'!AL5+'Income Statement'!AN5+'Income Statement'!AO5+'Income Statement'!AK11+'Income Statement'!AL11+'Income Statement'!AN11+'Income Statement'!AO11</f>
        <v>179389</v>
      </c>
      <c r="AN121">
        <f>+'Income Statement'!AL5+'Income Statement'!AN5+'Income Statement'!AO5+'Income Statement'!AP5+'Income Statement'!AL11+'Income Statement'!AN11+'Income Statement'!AO11+'Income Statement'!AP11</f>
        <v>187092</v>
      </c>
      <c r="AO121">
        <f>+'Income Statement'!AN5+'Income Statement'!AO5+'Income Statement'!AP5+'Income Statement'!AQ5+'Income Statement'!AN11+'Income Statement'!AO11+'Income Statement'!AP11+'Income Statement'!AQ11</f>
        <v>198860</v>
      </c>
    </row>
    <row r="122" spans="1:41">
      <c r="A122" t="s">
        <v>462</v>
      </c>
      <c r="X122" s="231">
        <f>+X120/X121</f>
        <v>1.0886283467032611</v>
      </c>
      <c r="Y122" s="231">
        <f>+Y120/Y121</f>
        <v>1.0089705702344938</v>
      </c>
      <c r="Z122" s="231">
        <f>+Z120/Z121</f>
        <v>1.2323583554919204</v>
      </c>
      <c r="AB122" s="231">
        <f>+AB120/AB121</f>
        <v>1.1722833391408234</v>
      </c>
      <c r="AC122" s="231">
        <f>+AC120/AC121</f>
        <v>1.1320754716981132</v>
      </c>
      <c r="AD122" s="231">
        <f>+AD120/AD121</f>
        <v>1.0804685135019754</v>
      </c>
      <c r="AE122" s="231">
        <f>+AE120/AE121</f>
        <v>1.0663047692904226</v>
      </c>
      <c r="AG122" s="231">
        <f>+AG120/AG121</f>
        <v>1.0808230499586764</v>
      </c>
      <c r="AH122" s="231">
        <f>+AH120/AH121</f>
        <v>1.6806835948029546</v>
      </c>
      <c r="AI122" s="231">
        <f>+AI120/AI121</f>
        <v>1.2260039892772294</v>
      </c>
      <c r="AJ122" s="231">
        <f>+AJ120/AJ121</f>
        <v>1.2671438920471985</v>
      </c>
      <c r="AL122" s="231">
        <f>+AL120/AL121</f>
        <v>1.2096189642275199</v>
      </c>
      <c r="AM122" s="231">
        <f>+AM120/AM121</f>
        <v>1.5552793092107098</v>
      </c>
      <c r="AN122" s="231">
        <f>+AN120/AN121</f>
        <v>1.5366771427960575</v>
      </c>
      <c r="AO122" s="231">
        <f>+AO120/AO121</f>
        <v>1.4633410439505177</v>
      </c>
    </row>
    <row r="123" spans="1:41">
      <c r="AO123">
        <f>+AO120/1.25</f>
        <v>232799.99999999994</v>
      </c>
    </row>
    <row r="124" spans="1:41">
      <c r="A124" t="s">
        <v>466</v>
      </c>
      <c r="W124">
        <f>+W25*1000</f>
        <v>29000</v>
      </c>
      <c r="X124">
        <f>+X25*1000</f>
        <v>23800</v>
      </c>
      <c r="Y124">
        <f>+Y25*1000</f>
        <v>21200</v>
      </c>
      <c r="Z124">
        <f>+Z25*1000</f>
        <v>19900</v>
      </c>
      <c r="AB124">
        <f>+AB25*1000</f>
        <v>24300</v>
      </c>
      <c r="AC124">
        <f>+AC25*1000</f>
        <v>32000</v>
      </c>
      <c r="AD124">
        <f>+AD25*1000</f>
        <v>29699.999999999989</v>
      </c>
      <c r="AE124">
        <f>+AE25*1000</f>
        <v>30000</v>
      </c>
      <c r="AG124">
        <f>+AG25*1000</f>
        <v>25700.000000000044</v>
      </c>
      <c r="AH124">
        <f>+AH25*1000</f>
        <v>19799.999999999956</v>
      </c>
      <c r="AI124">
        <f>+AI25*1000</f>
        <v>23399.999999999978</v>
      </c>
      <c r="AJ124">
        <f>+AJ25*1000</f>
        <v>19900.000000000091</v>
      </c>
      <c r="AL124">
        <f>+AL25*1000</f>
        <v>31499.999999999942</v>
      </c>
      <c r="AM124">
        <f>+AM25*1000</f>
        <v>35600.000000000022</v>
      </c>
      <c r="AN124">
        <f>+AN25*1000</f>
        <v>39700.000000000044</v>
      </c>
      <c r="AO124">
        <f>+AO25*1000</f>
        <v>47700.000000000044</v>
      </c>
    </row>
    <row r="125" spans="1:41">
      <c r="A125" t="s">
        <v>463</v>
      </c>
      <c r="W125">
        <f>'Income Statement'!U17+'Income Statement'!V17+'Income Statement'!W17+'Income Statement'!Y17</f>
        <v>22713</v>
      </c>
      <c r="X125">
        <f>+'Income Statement'!V17+'Income Statement'!W17+'Income Statement'!Y17+'Income Statement'!Z17</f>
        <v>22497</v>
      </c>
      <c r="Y125">
        <f>+'Income Statement'!W17+'Income Statement'!Y17+'Income Statement'!Z17+'Income Statement'!AA17</f>
        <v>22330</v>
      </c>
      <c r="Z125">
        <f>+'Income Statement'!Y17+'Income Statement'!Z17+'Income Statement'!AA17+'Income Statement'!AB17</f>
        <v>22543</v>
      </c>
      <c r="AB125">
        <f>'Income Statement'!Z17+'Income Statement'!AA17+'Income Statement'!AB17+'Income Statement'!AD17</f>
        <v>22452</v>
      </c>
      <c r="AC125">
        <f>+'Income Statement'!AA17+'Income Statement'!AB17+'Income Statement'!AD17+'Income Statement'!AE17</f>
        <v>21737</v>
      </c>
      <c r="AD125">
        <f>+'Income Statement'!AB17+'Income Statement'!AD17+'Income Statement'!AE17+'Income Statement'!AF17</f>
        <v>21350</v>
      </c>
      <c r="AE125">
        <f>+'Income Statement'!AD17+'Income Statement'!AE17+'Income Statement'!AF17+'Income Statement'!AG17</f>
        <v>20825</v>
      </c>
      <c r="AG125">
        <f>'Income Statement'!AE17+'Income Statement'!AF17+'Income Statement'!AG17+'Income Statement'!AI17</f>
        <v>20085</v>
      </c>
      <c r="AH125">
        <f>+'Income Statement'!AF17+'Income Statement'!AG17+'Income Statement'!AI17+'Income Statement'!AJ17</f>
        <v>20473</v>
      </c>
      <c r="AI125">
        <f>+'Income Statement'!AG17+'Income Statement'!AI17+'Income Statement'!AJ17+'Income Statement'!AK17</f>
        <v>21068</v>
      </c>
      <c r="AJ125">
        <f>+'Income Statement'!AI17+'Income Statement'!AJ17+'Income Statement'!AK17+'Income Statement'!AL17</f>
        <v>21802</v>
      </c>
      <c r="AL125">
        <f>'Income Statement'!AJ17+'Income Statement'!AK17+'Income Statement'!AL17+'Income Statement'!AN17</f>
        <v>23040</v>
      </c>
      <c r="AM125">
        <f>+'Income Statement'!AK17+'Income Statement'!AL17+'Income Statement'!AN17+'Income Statement'!AO17</f>
        <v>24287</v>
      </c>
      <c r="AN125">
        <f>+'Income Statement'!AL17+'Income Statement'!AN17+'Income Statement'!AO17+'Income Statement'!AP17</f>
        <v>25042</v>
      </c>
      <c r="AO125">
        <f>+'Income Statement'!AN17+'Income Statement'!AO17+'Income Statement'!AP17+'Income Statement'!AQ17</f>
        <v>25065</v>
      </c>
    </row>
    <row r="126" spans="1:41">
      <c r="A126" t="s">
        <v>462</v>
      </c>
      <c r="W126" s="231">
        <f>+W124/W125</f>
        <v>1.2768018315502134</v>
      </c>
      <c r="X126" s="231">
        <f>+X124/X125</f>
        <v>1.0579188336222607</v>
      </c>
      <c r="Y126" s="231">
        <f>+Y124/Y125</f>
        <v>0.94939543215405287</v>
      </c>
      <c r="Z126" s="231">
        <f>+Z124/Z125</f>
        <v>0.88275739697467059</v>
      </c>
      <c r="AB126" s="231">
        <f>+AB124/AB125</f>
        <v>1.0823089257081775</v>
      </c>
      <c r="AC126" s="231">
        <f>+AC124/AC125</f>
        <v>1.4721442701384735</v>
      </c>
      <c r="AD126" s="231">
        <f>+AD124/AD125</f>
        <v>1.391100702576112</v>
      </c>
      <c r="AE126" s="231">
        <f>+AE124/AE125</f>
        <v>1.440576230492197</v>
      </c>
      <c r="AG126" s="231">
        <f>+AG124/AG125</f>
        <v>1.2795618620861362</v>
      </c>
      <c r="AH126" s="231">
        <f>+AH124/AH125</f>
        <v>0.96712743613539576</v>
      </c>
      <c r="AI126" s="231">
        <f>+AI124/AI125</f>
        <v>1.110689196886272</v>
      </c>
      <c r="AJ126" s="231">
        <f>+AJ124/AJ125</f>
        <v>0.91276029722044272</v>
      </c>
      <c r="AL126" s="231">
        <f>+AL124/AL125</f>
        <v>1.3671874999999976</v>
      </c>
      <c r="AM126" s="231">
        <f>+AM124/AM125</f>
        <v>1.465804751513156</v>
      </c>
      <c r="AN126" s="231">
        <f>+AN124/AN125</f>
        <v>1.5853366344541189</v>
      </c>
      <c r="AO126" s="231">
        <f>+AO124/AO125</f>
        <v>1.9030520646319586</v>
      </c>
    </row>
  </sheetData>
  <pageMargins left="0.7" right="0.7" top="0.75" bottom="0.75" header="0.3" footer="0.3"/>
  <pageSetup scale="28" orientation="landscape"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AJ8"/>
  <sheetViews>
    <sheetView workbookViewId="0">
      <selection activeCell="BL41" sqref="BL41"/>
    </sheetView>
  </sheetViews>
  <sheetFormatPr defaultRowHeight="14.25"/>
  <cols>
    <col min="2" max="6" width="0" hidden="1" customWidth="1"/>
    <col min="7" max="7" width="5" bestFit="1" customWidth="1"/>
  </cols>
  <sheetData>
    <row r="2" spans="1:36" ht="14.65" thickBot="1"/>
    <row r="3" spans="1:36" ht="14.65" thickBot="1">
      <c r="A3" s="471" t="s">
        <v>634</v>
      </c>
      <c r="C3" s="4" t="s">
        <v>5</v>
      </c>
      <c r="D3" s="4" t="s">
        <v>6</v>
      </c>
      <c r="E3" s="4" t="s">
        <v>7</v>
      </c>
      <c r="F3" s="4" t="s">
        <v>8</v>
      </c>
      <c r="G3" s="3">
        <v>2009</v>
      </c>
      <c r="H3" s="471" t="s">
        <v>9</v>
      </c>
      <c r="I3" s="471" t="s">
        <v>10</v>
      </c>
      <c r="J3" s="471" t="s">
        <v>11</v>
      </c>
      <c r="K3" s="471" t="s">
        <v>12</v>
      </c>
      <c r="L3" s="473" t="s">
        <v>13</v>
      </c>
      <c r="M3" s="471" t="s">
        <v>14</v>
      </c>
      <c r="N3" s="471" t="s">
        <v>15</v>
      </c>
      <c r="O3" s="471" t="s">
        <v>16</v>
      </c>
      <c r="P3" s="471" t="s">
        <v>17</v>
      </c>
      <c r="Q3" s="471" t="s">
        <v>125</v>
      </c>
      <c r="R3" s="471" t="s">
        <v>405</v>
      </c>
      <c r="S3" s="471" t="s">
        <v>413</v>
      </c>
      <c r="T3" s="471" t="s">
        <v>428</v>
      </c>
      <c r="U3" s="471" t="s">
        <v>431</v>
      </c>
      <c r="V3" s="471" t="s">
        <v>432</v>
      </c>
      <c r="W3" s="471" t="s">
        <v>433</v>
      </c>
      <c r="X3" s="471" t="s">
        <v>449</v>
      </c>
      <c r="Y3" s="471" t="s">
        <v>454</v>
      </c>
      <c r="Z3" s="471" t="s">
        <v>455</v>
      </c>
      <c r="AA3" s="471" t="s">
        <v>456</v>
      </c>
      <c r="AB3" s="471" t="s">
        <v>471</v>
      </c>
      <c r="AC3" s="471" t="s">
        <v>472</v>
      </c>
      <c r="AD3" s="471" t="s">
        <v>473</v>
      </c>
      <c r="AE3" s="471" t="s">
        <v>474</v>
      </c>
      <c r="AF3" s="476" t="s">
        <v>497</v>
      </c>
      <c r="AG3" s="471" t="s">
        <v>498</v>
      </c>
      <c r="AH3" s="471" t="s">
        <v>499</v>
      </c>
      <c r="AI3" s="477" t="s">
        <v>500</v>
      </c>
      <c r="AJ3" s="476" t="s">
        <v>612</v>
      </c>
    </row>
    <row r="5" spans="1:36">
      <c r="A5" t="s">
        <v>328</v>
      </c>
      <c r="H5">
        <v>218.8</v>
      </c>
      <c r="I5">
        <v>258</v>
      </c>
      <c r="J5">
        <v>253.8</v>
      </c>
      <c r="K5">
        <v>281.39999999999998</v>
      </c>
      <c r="L5">
        <v>262.10000000000002</v>
      </c>
      <c r="M5">
        <v>296</v>
      </c>
      <c r="N5">
        <v>298.7</v>
      </c>
      <c r="O5">
        <v>339.8</v>
      </c>
      <c r="P5">
        <v>332.1</v>
      </c>
      <c r="Q5">
        <v>360</v>
      </c>
      <c r="R5">
        <v>357.9</v>
      </c>
      <c r="S5">
        <v>380.6</v>
      </c>
      <c r="T5">
        <v>386.6</v>
      </c>
      <c r="U5">
        <v>430.9</v>
      </c>
      <c r="V5">
        <v>541</v>
      </c>
      <c r="W5">
        <v>551.70000000000005</v>
      </c>
      <c r="X5">
        <v>540.29999999999995</v>
      </c>
      <c r="Y5">
        <v>654.70000000000005</v>
      </c>
      <c r="Z5">
        <v>674</v>
      </c>
      <c r="AA5">
        <v>702</v>
      </c>
      <c r="AB5">
        <v>689.6</v>
      </c>
      <c r="AC5">
        <v>723</v>
      </c>
      <c r="AD5">
        <v>757.7</v>
      </c>
      <c r="AE5" s="374">
        <f>844.5</f>
        <v>844.5</v>
      </c>
      <c r="AF5">
        <v>808.7</v>
      </c>
      <c r="AG5">
        <v>867.6</v>
      </c>
      <c r="AH5">
        <v>935.6</v>
      </c>
      <c r="AI5" s="374">
        <v>953</v>
      </c>
      <c r="AJ5">
        <v>939.2</v>
      </c>
    </row>
    <row r="6" spans="1:36">
      <c r="A6" t="s">
        <v>637</v>
      </c>
      <c r="L6" s="160">
        <f>L5/H5-1</f>
        <v>0.19789762340036576</v>
      </c>
      <c r="M6" s="160">
        <f t="shared" ref="M6:AJ6" si="0">M5/I5-1</f>
        <v>0.1472868217054264</v>
      </c>
      <c r="N6" s="160">
        <f t="shared" si="0"/>
        <v>0.17691095350669817</v>
      </c>
      <c r="O6" s="160">
        <f t="shared" si="0"/>
        <v>0.20753375977256594</v>
      </c>
      <c r="P6" s="160">
        <f t="shared" si="0"/>
        <v>0.26707363601678735</v>
      </c>
      <c r="Q6" s="160">
        <f t="shared" si="0"/>
        <v>0.21621621621621623</v>
      </c>
      <c r="R6" s="160">
        <f t="shared" si="0"/>
        <v>0.1981921660528958</v>
      </c>
      <c r="S6" s="160">
        <f t="shared" si="0"/>
        <v>0.12007062978222494</v>
      </c>
      <c r="T6" s="160">
        <f t="shared" si="0"/>
        <v>0.16410719662752182</v>
      </c>
      <c r="U6" s="160">
        <f t="shared" si="0"/>
        <v>0.19694444444444437</v>
      </c>
      <c r="V6" s="160">
        <f t="shared" si="0"/>
        <v>0.5115954177144455</v>
      </c>
      <c r="W6" s="160">
        <f t="shared" si="0"/>
        <v>0.44955333683657384</v>
      </c>
      <c r="X6" s="160">
        <f t="shared" si="0"/>
        <v>0.39756854630108629</v>
      </c>
      <c r="Y6" s="160">
        <f t="shared" si="0"/>
        <v>0.51937804595033676</v>
      </c>
      <c r="Z6" s="160">
        <f t="shared" si="0"/>
        <v>0.24584103512014788</v>
      </c>
      <c r="AA6" s="160">
        <f t="shared" si="0"/>
        <v>0.2724306688417617</v>
      </c>
      <c r="AB6" s="160">
        <f t="shared" si="0"/>
        <v>0.27632796594484565</v>
      </c>
      <c r="AC6" s="160">
        <f t="shared" si="0"/>
        <v>0.10432259049946535</v>
      </c>
      <c r="AD6" s="160">
        <f t="shared" si="0"/>
        <v>0.12418397626112765</v>
      </c>
      <c r="AE6" s="160">
        <f t="shared" si="0"/>
        <v>0.20299145299145294</v>
      </c>
      <c r="AF6" s="160">
        <f t="shared" si="0"/>
        <v>0.17270881670533655</v>
      </c>
      <c r="AG6" s="160">
        <f t="shared" si="0"/>
        <v>0.19999999999999996</v>
      </c>
      <c r="AH6" s="160">
        <f t="shared" si="0"/>
        <v>0.2347894945228981</v>
      </c>
      <c r="AI6" s="160">
        <f t="shared" si="0"/>
        <v>0.12847838957963287</v>
      </c>
      <c r="AJ6" s="160">
        <f t="shared" si="0"/>
        <v>0.16137010016075171</v>
      </c>
    </row>
    <row r="7" spans="1:36">
      <c r="A7" t="s">
        <v>329</v>
      </c>
      <c r="H7">
        <v>195.9</v>
      </c>
      <c r="I7">
        <v>223.9</v>
      </c>
      <c r="J7">
        <v>216.2</v>
      </c>
      <c r="K7">
        <v>248.2</v>
      </c>
      <c r="L7">
        <v>233.2</v>
      </c>
      <c r="M7">
        <v>272.2</v>
      </c>
      <c r="N7">
        <v>277.5</v>
      </c>
      <c r="O7">
        <v>319.89999999999998</v>
      </c>
      <c r="P7">
        <v>307.8</v>
      </c>
      <c r="Q7">
        <v>328</v>
      </c>
      <c r="R7">
        <v>328.2</v>
      </c>
      <c r="S7">
        <v>350.6</v>
      </c>
      <c r="T7">
        <v>360.9</v>
      </c>
      <c r="U7">
        <v>411.1</v>
      </c>
      <c r="V7">
        <v>517.6</v>
      </c>
      <c r="W7">
        <v>531.79999999999995</v>
      </c>
      <c r="X7">
        <v>508.8</v>
      </c>
      <c r="Y7">
        <v>619.1</v>
      </c>
      <c r="Z7">
        <v>634.29999999999995</v>
      </c>
      <c r="AA7">
        <f>+Z7+20</f>
        <v>654.29999999999995</v>
      </c>
      <c r="AB7" s="374">
        <v>633.38700000000006</v>
      </c>
      <c r="AC7" s="374">
        <v>672.43700000000001</v>
      </c>
      <c r="AD7" s="374">
        <v>707.67600000000004</v>
      </c>
      <c r="AE7" s="374">
        <v>796.97500000000002</v>
      </c>
      <c r="AF7">
        <v>763.3</v>
      </c>
      <c r="AG7">
        <v>826.9</v>
      </c>
      <c r="AH7">
        <v>892.1</v>
      </c>
      <c r="AI7" s="374">
        <v>914.27300000000002</v>
      </c>
      <c r="AJ7" s="374">
        <v>904.6</v>
      </c>
    </row>
    <row r="8" spans="1:36">
      <c r="A8" t="s">
        <v>637</v>
      </c>
      <c r="L8" s="160">
        <f t="shared" ref="L8:AJ8" si="1">L7/H7-1</f>
        <v>0.19040326697294518</v>
      </c>
      <c r="M8" s="160">
        <f t="shared" si="1"/>
        <v>0.21572130415363988</v>
      </c>
      <c r="N8" s="160">
        <f t="shared" si="1"/>
        <v>0.28353376503237748</v>
      </c>
      <c r="O8" s="160">
        <f t="shared" si="1"/>
        <v>0.28887993553585822</v>
      </c>
      <c r="P8" s="160">
        <f t="shared" si="1"/>
        <v>0.31989708404802752</v>
      </c>
      <c r="Q8" s="160">
        <f t="shared" si="1"/>
        <v>0.20499632623071284</v>
      </c>
      <c r="R8" s="160">
        <f t="shared" si="1"/>
        <v>0.18270270270270261</v>
      </c>
      <c r="S8" s="160">
        <f t="shared" si="1"/>
        <v>9.5967489840575348E-2</v>
      </c>
      <c r="T8" s="160">
        <f t="shared" si="1"/>
        <v>0.17251461988304073</v>
      </c>
      <c r="U8" s="160">
        <f t="shared" si="1"/>
        <v>0.25335365853658542</v>
      </c>
      <c r="V8" s="160">
        <f t="shared" si="1"/>
        <v>0.57708714198659372</v>
      </c>
      <c r="W8" s="160">
        <f t="shared" si="1"/>
        <v>0.51682829435253819</v>
      </c>
      <c r="X8" s="160">
        <f t="shared" si="1"/>
        <v>0.40980881130507085</v>
      </c>
      <c r="Y8" s="160">
        <f t="shared" si="1"/>
        <v>0.50595962053028454</v>
      </c>
      <c r="Z8" s="160">
        <f t="shared" si="1"/>
        <v>0.22546367851622851</v>
      </c>
      <c r="AA8" s="160">
        <f t="shared" si="1"/>
        <v>0.23034975554719828</v>
      </c>
      <c r="AB8" s="160">
        <f t="shared" si="1"/>
        <v>0.24486438679245293</v>
      </c>
      <c r="AC8" s="160">
        <f t="shared" si="1"/>
        <v>8.6152479405588789E-2</v>
      </c>
      <c r="AD8" s="160">
        <f t="shared" si="1"/>
        <v>0.11568027747122822</v>
      </c>
      <c r="AE8" s="160">
        <f t="shared" si="1"/>
        <v>0.21805746599419229</v>
      </c>
      <c r="AF8" s="160">
        <f t="shared" si="1"/>
        <v>0.20510840923479634</v>
      </c>
      <c r="AG8" s="160">
        <f t="shared" si="1"/>
        <v>0.22970627731668536</v>
      </c>
      <c r="AH8" s="160">
        <f t="shared" si="1"/>
        <v>0.26060513568356125</v>
      </c>
      <c r="AI8" s="160">
        <f t="shared" si="1"/>
        <v>0.14717902067191568</v>
      </c>
      <c r="AJ8" s="160">
        <f t="shared" si="1"/>
        <v>0.18511725402856039</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225B8-68F3-43F8-91DD-328CC8735B58}">
  <dimension ref="D4:I9"/>
  <sheetViews>
    <sheetView showGridLines="0" topLeftCell="A6" workbookViewId="0">
      <selection activeCell="D5" sqref="D5:F9"/>
    </sheetView>
  </sheetViews>
  <sheetFormatPr defaultRowHeight="14.25"/>
  <cols>
    <col min="4" max="4" width="20.59765625" customWidth="1"/>
    <col min="5" max="5" width="28.1328125" customWidth="1"/>
    <col min="6" max="6" width="31.59765625" bestFit="1" customWidth="1"/>
  </cols>
  <sheetData>
    <row r="4" spans="4:9" ht="14.65" thickBot="1"/>
    <row r="5" spans="4:9" ht="26.65" thickBot="1">
      <c r="D5" s="1146" t="s">
        <v>1001</v>
      </c>
      <c r="E5" s="1147" t="s">
        <v>1002</v>
      </c>
      <c r="F5" s="1148" t="s">
        <v>1016</v>
      </c>
      <c r="G5" s="1121"/>
      <c r="H5" s="1119"/>
      <c r="I5" s="1119"/>
    </row>
    <row r="6" spans="4:9" ht="26.25" thickBot="1">
      <c r="D6" s="1144" t="s">
        <v>1004</v>
      </c>
      <c r="E6" s="1122" t="s">
        <v>1005</v>
      </c>
      <c r="F6" s="1123" t="s">
        <v>1017</v>
      </c>
      <c r="G6" s="1121"/>
      <c r="H6" s="1119"/>
      <c r="I6" s="1119"/>
    </row>
    <row r="7" spans="4:9" ht="36.950000000000003" customHeight="1" thickBot="1">
      <c r="D7" s="1144" t="s">
        <v>1007</v>
      </c>
      <c r="E7" s="1122" t="s">
        <v>1008</v>
      </c>
      <c r="F7" s="1123" t="s">
        <v>1018</v>
      </c>
      <c r="G7" s="1121"/>
      <c r="H7" s="1119"/>
      <c r="I7" s="1119"/>
    </row>
    <row r="8" spans="4:9" ht="35.1" customHeight="1" thickBot="1">
      <c r="D8" s="1144" t="s">
        <v>1010</v>
      </c>
      <c r="E8" s="1122" t="s">
        <v>1011</v>
      </c>
      <c r="F8" s="1123" t="s">
        <v>1019</v>
      </c>
      <c r="G8" s="1121"/>
      <c r="H8" s="1119"/>
      <c r="I8" s="1119"/>
    </row>
    <row r="9" spans="4:9" ht="33.950000000000003" customHeight="1" thickBot="1">
      <c r="D9" s="1145" t="s">
        <v>1013</v>
      </c>
      <c r="E9" s="1124" t="s">
        <v>1014</v>
      </c>
      <c r="F9" s="1125" t="s">
        <v>1020</v>
      </c>
      <c r="G9" s="1121"/>
      <c r="H9" s="1119"/>
      <c r="I9" s="1119"/>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CP112"/>
  <sheetViews>
    <sheetView showGridLines="0" zoomScaleNormal="100" workbookViewId="0">
      <pane xSplit="3" ySplit="2" topLeftCell="BS3" activePane="bottomRight" state="frozen"/>
      <selection activeCell="BL41" sqref="BL41"/>
      <selection pane="topRight" activeCell="BL41" sqref="BL41"/>
      <selection pane="bottomLeft" activeCell="BL41" sqref="BL41"/>
      <selection pane="bottomRight" activeCell="BL41" sqref="BL41"/>
    </sheetView>
  </sheetViews>
  <sheetFormatPr defaultColWidth="8.86328125" defaultRowHeight="13.5" outlineLevelCol="1"/>
  <cols>
    <col min="1" max="1" width="1.59765625" style="729" customWidth="1"/>
    <col min="2" max="2" width="4.1328125" style="729" customWidth="1"/>
    <col min="3" max="3" width="32.3984375" style="729" bestFit="1" customWidth="1"/>
    <col min="4" max="8" width="9.59765625" style="729" hidden="1" customWidth="1" outlineLevel="1"/>
    <col min="9" max="9" width="9.59765625" style="729" hidden="1" customWidth="1" outlineLevel="1" collapsed="1"/>
    <col min="10" max="13" width="9.59765625" style="729" hidden="1" customWidth="1" outlineLevel="1"/>
    <col min="14" max="14" width="9.59765625" style="729" hidden="1" customWidth="1" outlineLevel="1" collapsed="1"/>
    <col min="15" max="18" width="9.59765625" style="729" hidden="1" customWidth="1" outlineLevel="1"/>
    <col min="19" max="19" width="9.59765625" style="729" hidden="1" customWidth="1" outlineLevel="1" collapsed="1"/>
    <col min="20" max="23" width="9.59765625" style="729" hidden="1" customWidth="1" outlineLevel="1"/>
    <col min="24" max="24" width="9.59765625" style="729" hidden="1" customWidth="1" outlineLevel="1" collapsed="1"/>
    <col min="25" max="28" width="9.59765625" style="729" hidden="1" customWidth="1" outlineLevel="1"/>
    <col min="29" max="29" width="9.59765625" style="729" hidden="1" customWidth="1" outlineLevel="1" collapsed="1"/>
    <col min="30" max="53" width="9.59765625" style="729" hidden="1" customWidth="1" outlineLevel="1"/>
    <col min="54" max="54" width="9.59765625" style="729" customWidth="1" collapsed="1"/>
    <col min="55" max="58" width="9.59765625" style="729" hidden="1" customWidth="1" outlineLevel="1"/>
    <col min="59" max="59" width="9.59765625" style="729" customWidth="1" collapsed="1"/>
    <col min="60" max="63" width="9.59765625" style="729" hidden="1" customWidth="1" outlineLevel="1"/>
    <col min="64" max="64" width="10.265625" style="729" bestFit="1" customWidth="1" collapsed="1"/>
    <col min="65" max="68" width="9.59765625" style="729" customWidth="1"/>
    <col min="69" max="69" width="10.3984375" style="729" bestFit="1" customWidth="1"/>
    <col min="70" max="73" width="9.59765625" style="729" customWidth="1"/>
    <col min="74" max="74" width="10.3984375" style="729" bestFit="1" customWidth="1"/>
    <col min="75" max="78" width="9.59765625" style="729" customWidth="1"/>
    <col min="79" max="79" width="14.3984375" style="729" bestFit="1" customWidth="1"/>
    <col min="80" max="83" width="10.3984375" style="729" customWidth="1" outlineLevel="1"/>
    <col min="84" max="84" width="10.3984375" style="729" customWidth="1"/>
    <col min="85" max="86" width="8.86328125" style="729"/>
    <col min="87" max="87" width="23" style="729" bestFit="1" customWidth="1"/>
    <col min="88" max="16384" width="8.86328125" style="729"/>
  </cols>
  <sheetData>
    <row r="1" spans="2:92" ht="10.35" customHeight="1" thickBot="1">
      <c r="AF1" s="730"/>
      <c r="AG1" s="730"/>
      <c r="AH1" s="730"/>
      <c r="AI1" s="730"/>
      <c r="AJ1" s="730"/>
      <c r="AK1" s="730"/>
      <c r="AL1" s="730"/>
      <c r="AM1" s="730"/>
      <c r="AN1" s="730"/>
      <c r="AO1" s="730"/>
      <c r="AP1" s="730"/>
      <c r="AQ1" s="730"/>
      <c r="AR1" s="730"/>
    </row>
    <row r="2" spans="2:92" s="7" customFormat="1" thickBot="1">
      <c r="B2" s="620" t="s">
        <v>0</v>
      </c>
      <c r="C2" s="621"/>
      <c r="D2" s="624">
        <v>2007</v>
      </c>
      <c r="E2" s="623" t="s">
        <v>1</v>
      </c>
      <c r="F2" s="622" t="s">
        <v>2</v>
      </c>
      <c r="G2" s="622" t="s">
        <v>3</v>
      </c>
      <c r="H2" s="624" t="s">
        <v>4</v>
      </c>
      <c r="I2" s="624">
        <v>2008</v>
      </c>
      <c r="J2" s="623" t="s">
        <v>5</v>
      </c>
      <c r="K2" s="622" t="s">
        <v>6</v>
      </c>
      <c r="L2" s="622" t="s">
        <v>7</v>
      </c>
      <c r="M2" s="624" t="s">
        <v>8</v>
      </c>
      <c r="N2" s="624">
        <v>2009</v>
      </c>
      <c r="O2" s="623" t="s">
        <v>9</v>
      </c>
      <c r="P2" s="622" t="s">
        <v>10</v>
      </c>
      <c r="Q2" s="622" t="s">
        <v>11</v>
      </c>
      <c r="R2" s="624" t="s">
        <v>12</v>
      </c>
      <c r="S2" s="624">
        <v>2010</v>
      </c>
      <c r="T2" s="623" t="s">
        <v>13</v>
      </c>
      <c r="U2" s="622" t="s">
        <v>14</v>
      </c>
      <c r="V2" s="622" t="s">
        <v>15</v>
      </c>
      <c r="W2" s="624" t="s">
        <v>16</v>
      </c>
      <c r="X2" s="624">
        <v>2011</v>
      </c>
      <c r="Y2" s="623" t="s">
        <v>17</v>
      </c>
      <c r="Z2" s="622" t="s">
        <v>125</v>
      </c>
      <c r="AA2" s="622" t="s">
        <v>405</v>
      </c>
      <c r="AB2" s="624" t="s">
        <v>413</v>
      </c>
      <c r="AC2" s="624">
        <v>2012</v>
      </c>
      <c r="AD2" s="623" t="s">
        <v>428</v>
      </c>
      <c r="AE2" s="622" t="s">
        <v>431</v>
      </c>
      <c r="AF2" s="622" t="s">
        <v>432</v>
      </c>
      <c r="AG2" s="624" t="s">
        <v>433</v>
      </c>
      <c r="AH2" s="624">
        <v>2013</v>
      </c>
      <c r="AI2" s="623" t="s">
        <v>449</v>
      </c>
      <c r="AJ2" s="622" t="s">
        <v>454</v>
      </c>
      <c r="AK2" s="622" t="s">
        <v>455</v>
      </c>
      <c r="AL2" s="624" t="s">
        <v>456</v>
      </c>
      <c r="AM2" s="624">
        <v>2014</v>
      </c>
      <c r="AN2" s="623" t="s">
        <v>471</v>
      </c>
      <c r="AO2" s="622" t="s">
        <v>472</v>
      </c>
      <c r="AP2" s="622" t="s">
        <v>473</v>
      </c>
      <c r="AQ2" s="624" t="s">
        <v>474</v>
      </c>
      <c r="AR2" s="624">
        <v>2015</v>
      </c>
      <c r="AS2" s="623" t="s">
        <v>497</v>
      </c>
      <c r="AT2" s="622" t="s">
        <v>498</v>
      </c>
      <c r="AU2" s="622" t="s">
        <v>499</v>
      </c>
      <c r="AV2" s="624" t="s">
        <v>500</v>
      </c>
      <c r="AW2" s="624">
        <v>2016</v>
      </c>
      <c r="AX2" s="623" t="s">
        <v>633</v>
      </c>
      <c r="AY2" s="622" t="s">
        <v>638</v>
      </c>
      <c r="AZ2" s="622" t="s">
        <v>639</v>
      </c>
      <c r="BA2" s="624" t="s">
        <v>641</v>
      </c>
      <c r="BB2" s="624">
        <v>2017</v>
      </c>
      <c r="BC2" s="623" t="s">
        <v>645</v>
      </c>
      <c r="BD2" s="622" t="s">
        <v>648</v>
      </c>
      <c r="BE2" s="622" t="s">
        <v>647</v>
      </c>
      <c r="BF2" s="624" t="s">
        <v>646</v>
      </c>
      <c r="BG2" s="624">
        <v>2018</v>
      </c>
      <c r="BH2" s="623" t="s">
        <v>669</v>
      </c>
      <c r="BI2" s="622" t="s">
        <v>673</v>
      </c>
      <c r="BJ2" s="622" t="s">
        <v>674</v>
      </c>
      <c r="BK2" s="624" t="s">
        <v>675</v>
      </c>
      <c r="BL2" s="624">
        <v>2019</v>
      </c>
      <c r="BM2" s="623" t="s">
        <v>685</v>
      </c>
      <c r="BN2" s="622" t="s">
        <v>687</v>
      </c>
      <c r="BO2" s="622" t="s">
        <v>688</v>
      </c>
      <c r="BP2" s="624" t="s">
        <v>689</v>
      </c>
      <c r="BQ2" s="624">
        <v>2020</v>
      </c>
      <c r="BR2" s="623" t="s">
        <v>738</v>
      </c>
      <c r="BS2" s="622" t="s">
        <v>761</v>
      </c>
      <c r="BT2" s="622" t="s">
        <v>777</v>
      </c>
      <c r="BU2" s="624" t="s">
        <v>781</v>
      </c>
      <c r="BV2" s="624">
        <v>2021</v>
      </c>
      <c r="BW2" s="623" t="s">
        <v>752</v>
      </c>
      <c r="BX2" s="622" t="s">
        <v>753</v>
      </c>
      <c r="BY2" s="622" t="s">
        <v>754</v>
      </c>
      <c r="BZ2" s="624" t="s">
        <v>755</v>
      </c>
      <c r="CA2" s="624" t="s">
        <v>756</v>
      </c>
      <c r="CB2" s="623" t="s">
        <v>791</v>
      </c>
      <c r="CC2" s="622" t="s">
        <v>792</v>
      </c>
      <c r="CD2" s="622" t="s">
        <v>793</v>
      </c>
      <c r="CE2" s="624" t="s">
        <v>794</v>
      </c>
      <c r="CF2" s="624" t="s">
        <v>795</v>
      </c>
    </row>
    <row r="3" spans="2:92">
      <c r="B3" s="792"/>
      <c r="D3" s="793"/>
      <c r="I3" s="793"/>
      <c r="N3" s="793"/>
      <c r="S3" s="793"/>
      <c r="X3" s="793"/>
      <c r="AC3" s="793"/>
      <c r="AH3" s="793"/>
      <c r="AI3" s="730"/>
      <c r="AJ3" s="730"/>
      <c r="AL3" s="730"/>
      <c r="AM3" s="794"/>
      <c r="AR3" s="794"/>
      <c r="AW3" s="794"/>
      <c r="AX3" s="795"/>
      <c r="AY3" s="795"/>
      <c r="AZ3" s="795"/>
      <c r="BA3" s="795"/>
      <c r="BB3" s="794"/>
      <c r="BC3" s="795"/>
      <c r="BD3" s="795"/>
      <c r="BE3" s="795"/>
      <c r="BF3" s="795"/>
      <c r="BG3" s="794"/>
      <c r="BH3" s="795"/>
      <c r="BI3" s="795"/>
      <c r="BJ3" s="795"/>
      <c r="BK3" s="795"/>
      <c r="BL3" s="794"/>
      <c r="CA3" s="729">
        <f>+'Income Statement'!CA5/'Income Statement'!BV5-1</f>
        <v>-0.20208993714070811</v>
      </c>
    </row>
    <row r="4" spans="2:92" s="7" customFormat="1" ht="13.15">
      <c r="B4" s="983" t="s">
        <v>50</v>
      </c>
      <c r="C4" s="168"/>
      <c r="D4" s="833">
        <f>'Income Statement'!D5</f>
        <v>35063</v>
      </c>
      <c r="E4" s="168">
        <f>'Income Statement'!E5</f>
        <v>8369</v>
      </c>
      <c r="F4" s="168">
        <f>'Income Statement'!F5</f>
        <v>11905</v>
      </c>
      <c r="G4" s="168">
        <f>'Income Statement'!G5</f>
        <v>11372</v>
      </c>
      <c r="H4" s="168">
        <f>'Income Statement'!H5</f>
        <v>9844</v>
      </c>
      <c r="I4" s="833">
        <f>'Income Statement'!I5</f>
        <v>41490</v>
      </c>
      <c r="J4" s="168">
        <f>'Income Statement'!J5</f>
        <v>10756</v>
      </c>
      <c r="K4" s="168">
        <f>'Income Statement'!K5</f>
        <v>9912</v>
      </c>
      <c r="L4" s="168">
        <f>'Income Statement'!L5</f>
        <v>10167</v>
      </c>
      <c r="M4" s="168">
        <f>'Income Statement'!M5</f>
        <v>11296</v>
      </c>
      <c r="N4" s="833">
        <f>'Income Statement'!N5</f>
        <v>42131</v>
      </c>
      <c r="O4" s="168">
        <f>'Income Statement'!O5</f>
        <v>8449</v>
      </c>
      <c r="P4" s="168">
        <f>'Income Statement'!P5</f>
        <v>8735</v>
      </c>
      <c r="Q4" s="168">
        <f>'Income Statement'!Q5</f>
        <v>9260</v>
      </c>
      <c r="R4" s="168">
        <f>'Income Statement'!R5</f>
        <v>8469</v>
      </c>
      <c r="S4" s="833">
        <f>'Income Statement'!S5</f>
        <v>34913</v>
      </c>
      <c r="T4" s="168">
        <f>'Income Statement'!T5</f>
        <v>6822</v>
      </c>
      <c r="U4" s="168">
        <f>'Income Statement'!U5</f>
        <v>8308</v>
      </c>
      <c r="V4" s="168">
        <f>'Income Statement'!V5</f>
        <v>7631</v>
      </c>
      <c r="W4" s="168">
        <f>'Income Statement'!W5</f>
        <v>9833</v>
      </c>
      <c r="X4" s="833">
        <f>'Income Statement'!X5</f>
        <v>32594</v>
      </c>
      <c r="Y4" s="168">
        <f>'Income Statement'!Y5</f>
        <v>7563</v>
      </c>
      <c r="Z4" s="168">
        <f>'Income Statement'!Z5</f>
        <v>8422</v>
      </c>
      <c r="AA4" s="834">
        <f>'Income Statement'!AA5</f>
        <v>8973</v>
      </c>
      <c r="AB4" s="834">
        <f>'Income Statement'!AB5</f>
        <v>8970</v>
      </c>
      <c r="AC4" s="835">
        <f>SUM(Y4:AB4)</f>
        <v>33928</v>
      </c>
      <c r="AD4" s="834">
        <f>'Income Statement'!AD5</f>
        <v>8830</v>
      </c>
      <c r="AE4" s="834">
        <f>'Income Statement'!AE5</f>
        <v>10090</v>
      </c>
      <c r="AF4" s="834">
        <f>'Income Statement'!AF5</f>
        <v>10495</v>
      </c>
      <c r="AG4" s="834">
        <f>'Income Statement'!AG5</f>
        <v>11426</v>
      </c>
      <c r="AH4" s="836">
        <f>SUM(AH5,AH7,AH9)</f>
        <v>40841</v>
      </c>
      <c r="AI4" s="834">
        <f>'Income Statement'!AI5</f>
        <v>11232</v>
      </c>
      <c r="AJ4" s="834">
        <f>'Income Statement'!AJ5</f>
        <v>12083</v>
      </c>
      <c r="AK4" s="834">
        <f>'Income Statement'!AK5</f>
        <v>13226</v>
      </c>
      <c r="AL4" s="834">
        <f>'Income Statement'!AL5</f>
        <v>12524</v>
      </c>
      <c r="AM4" s="835">
        <f>+AM7+AM9+AM5</f>
        <v>49065</v>
      </c>
      <c r="AN4" s="834">
        <f>'Income Statement'!AN5</f>
        <v>14300</v>
      </c>
      <c r="AO4" s="834">
        <f>'Income Statement'!AO5</f>
        <v>14586</v>
      </c>
      <c r="AP4" s="834">
        <f>'Income Statement'!AP5</f>
        <v>15690</v>
      </c>
      <c r="AQ4" s="834">
        <f>'Income Statement'!AQ5</f>
        <v>14432</v>
      </c>
      <c r="AR4" s="835">
        <f t="shared" ref="AR4:BR4" si="0">+AR7+AR9+AR5</f>
        <v>59008</v>
      </c>
      <c r="AS4" s="834">
        <f t="shared" si="0"/>
        <v>16850</v>
      </c>
      <c r="AT4" s="834">
        <f t="shared" si="0"/>
        <v>17551</v>
      </c>
      <c r="AU4" s="834">
        <f t="shared" si="0"/>
        <v>19930</v>
      </c>
      <c r="AV4" s="834">
        <f t="shared" si="0"/>
        <v>19975</v>
      </c>
      <c r="AW4" s="835">
        <f t="shared" si="0"/>
        <v>74306</v>
      </c>
      <c r="AX4" s="834">
        <f t="shared" si="0"/>
        <v>18223</v>
      </c>
      <c r="AY4" s="834">
        <f t="shared" si="0"/>
        <v>17107</v>
      </c>
      <c r="AZ4" s="834">
        <f t="shared" si="0"/>
        <v>19842</v>
      </c>
      <c r="BA4" s="834">
        <f t="shared" si="0"/>
        <v>20522</v>
      </c>
      <c r="BB4" s="835">
        <f t="shared" si="0"/>
        <v>75694</v>
      </c>
      <c r="BC4" s="834">
        <f t="shared" si="0"/>
        <v>22776</v>
      </c>
      <c r="BD4" s="834">
        <f t="shared" si="0"/>
        <v>22400</v>
      </c>
      <c r="BE4" s="834">
        <f t="shared" si="0"/>
        <v>22444</v>
      </c>
      <c r="BF4" s="834">
        <f t="shared" si="0"/>
        <v>25821</v>
      </c>
      <c r="BG4" s="835">
        <f t="shared" si="0"/>
        <v>93441</v>
      </c>
      <c r="BH4" s="834">
        <f t="shared" si="0"/>
        <v>21793</v>
      </c>
      <c r="BI4" s="834">
        <f t="shared" si="0"/>
        <v>20675</v>
      </c>
      <c r="BJ4" s="834">
        <f t="shared" si="0"/>
        <v>25379</v>
      </c>
      <c r="BK4" s="834">
        <f t="shared" si="0"/>
        <v>32358</v>
      </c>
      <c r="BL4" s="835">
        <f t="shared" si="0"/>
        <v>100205</v>
      </c>
      <c r="BM4" s="834">
        <f t="shared" si="0"/>
        <v>18737</v>
      </c>
      <c r="BN4" s="834">
        <f t="shared" si="0"/>
        <v>17025</v>
      </c>
      <c r="BO4" s="834">
        <f t="shared" si="0"/>
        <v>19937</v>
      </c>
      <c r="BP4" s="834">
        <f t="shared" si="0"/>
        <v>17465</v>
      </c>
      <c r="BQ4" s="835">
        <f t="shared" si="0"/>
        <v>73164</v>
      </c>
      <c r="BR4" s="834">
        <f t="shared" si="0"/>
        <v>14933</v>
      </c>
      <c r="BS4" s="834">
        <f>BS7+BS9</f>
        <v>17604</v>
      </c>
      <c r="BT4" s="834">
        <f>BT7+BT9</f>
        <v>22673</v>
      </c>
      <c r="BU4" s="834">
        <f t="shared" ref="BU4:CC4" si="1">+BU7+BU9+BU5</f>
        <v>19242</v>
      </c>
      <c r="BV4" s="835">
        <f t="shared" si="1"/>
        <v>74452</v>
      </c>
      <c r="BW4" s="834">
        <f t="shared" si="1"/>
        <v>14316.82</v>
      </c>
      <c r="BX4" s="834">
        <f t="shared" si="1"/>
        <v>16881.59</v>
      </c>
      <c r="BY4" s="834">
        <f t="shared" si="1"/>
        <v>14106.05</v>
      </c>
      <c r="BZ4" s="834">
        <f t="shared" si="1"/>
        <v>15574.35</v>
      </c>
      <c r="CA4" s="835">
        <f t="shared" si="1"/>
        <v>60878.80999999999</v>
      </c>
      <c r="CB4" s="834">
        <f t="shared" si="1"/>
        <v>13064.308000000001</v>
      </c>
      <c r="CC4" s="834">
        <f t="shared" si="1"/>
        <v>15366.806</v>
      </c>
      <c r="CD4" s="834">
        <f>+CD7+CD9+CD5</f>
        <v>15125.474</v>
      </c>
      <c r="CE4" s="834">
        <f>+CE7+CE9+CE5</f>
        <v>13409.91</v>
      </c>
      <c r="CF4" s="835">
        <f>+CF7+CF9+CF5</f>
        <v>56966.497999999992</v>
      </c>
    </row>
    <row r="5" spans="2:92" hidden="1">
      <c r="B5" s="173"/>
      <c r="C5" s="35" t="s">
        <v>436</v>
      </c>
      <c r="D5" s="800"/>
      <c r="E5" s="176"/>
      <c r="F5" s="176"/>
      <c r="G5" s="176"/>
      <c r="H5" s="176"/>
      <c r="I5" s="800"/>
      <c r="J5" s="176"/>
      <c r="K5" s="176"/>
      <c r="L5" s="176"/>
      <c r="M5" s="176"/>
      <c r="N5" s="800"/>
      <c r="O5" s="176"/>
      <c r="P5" s="176"/>
      <c r="Q5" s="176"/>
      <c r="R5" s="176"/>
      <c r="S5" s="800"/>
      <c r="T5" s="176"/>
      <c r="U5" s="176"/>
      <c r="V5" s="176"/>
      <c r="W5" s="176"/>
      <c r="X5" s="800"/>
      <c r="Y5" s="176">
        <v>121</v>
      </c>
      <c r="Z5" s="176">
        <v>129</v>
      </c>
      <c r="AA5" s="730">
        <v>269</v>
      </c>
      <c r="AB5" s="730">
        <v>238</v>
      </c>
      <c r="AC5" s="801">
        <f>SUM(Y5:AB5)</f>
        <v>757</v>
      </c>
      <c r="AD5" s="802">
        <v>891</v>
      </c>
      <c r="AE5" s="802">
        <v>687</v>
      </c>
      <c r="AF5" s="802">
        <v>1000</v>
      </c>
      <c r="AG5" s="802">
        <v>473</v>
      </c>
      <c r="AH5" s="803">
        <f>SUM(AD5:AG5)</f>
        <v>3051</v>
      </c>
      <c r="AI5" s="802">
        <f>Metrics!AL61</f>
        <v>659</v>
      </c>
      <c r="AJ5" s="802">
        <f>Metrics!AM61</f>
        <v>576</v>
      </c>
      <c r="AK5" s="802">
        <f>Metrics!AN61</f>
        <v>909</v>
      </c>
      <c r="AL5" s="802">
        <v>881</v>
      </c>
      <c r="AM5" s="803">
        <f>SUM(AI5:AL5)</f>
        <v>3025</v>
      </c>
      <c r="AN5" s="802">
        <v>850</v>
      </c>
      <c r="AO5" s="802">
        <v>1200</v>
      </c>
      <c r="AP5" s="802">
        <v>1000</v>
      </c>
      <c r="AQ5" s="802">
        <v>319</v>
      </c>
      <c r="AR5" s="803">
        <f>SUM(AN5:AQ5)</f>
        <v>3369</v>
      </c>
      <c r="AS5" s="802">
        <v>904</v>
      </c>
      <c r="AT5" s="802">
        <v>655</v>
      </c>
      <c r="AU5" s="802">
        <v>1400</v>
      </c>
      <c r="AV5" s="802">
        <v>432</v>
      </c>
      <c r="AW5" s="803">
        <f>SUM(AS5:AV5)</f>
        <v>3391</v>
      </c>
      <c r="AX5" s="802">
        <v>0</v>
      </c>
      <c r="AY5" s="804">
        <v>0</v>
      </c>
      <c r="AZ5" s="730">
        <v>0</v>
      </c>
      <c r="BA5" s="730"/>
      <c r="BB5" s="801">
        <f>SUM(AX5:BA5)</f>
        <v>0</v>
      </c>
      <c r="BC5" s="730"/>
      <c r="BD5" s="730"/>
      <c r="BE5" s="730"/>
      <c r="BF5" s="730"/>
      <c r="BG5" s="801">
        <f>SUM(BC5:BF5)</f>
        <v>0</v>
      </c>
      <c r="BH5" s="730"/>
      <c r="BI5" s="804"/>
      <c r="BJ5" s="804"/>
      <c r="BK5" s="804"/>
      <c r="BL5" s="803">
        <f>SUM(BH5:BK5)</f>
        <v>0</v>
      </c>
      <c r="BM5" s="804"/>
      <c r="BN5" s="804"/>
      <c r="BO5" s="804"/>
      <c r="BP5" s="804"/>
      <c r="BQ5" s="803">
        <f>SUM(BM5:BP5)</f>
        <v>0</v>
      </c>
      <c r="BR5" s="804"/>
      <c r="BS5" s="804"/>
      <c r="BT5" s="804"/>
      <c r="BU5" s="804"/>
      <c r="BV5" s="803">
        <f>SUM(BR5:BU5)</f>
        <v>0</v>
      </c>
      <c r="BW5" s="804"/>
      <c r="BX5" s="804"/>
      <c r="BY5" s="804"/>
      <c r="BZ5" s="804"/>
      <c r="CA5" s="803">
        <f>SUM(BW5:BZ5)</f>
        <v>0</v>
      </c>
      <c r="CB5" s="804"/>
      <c r="CC5" s="804"/>
      <c r="CD5" s="804"/>
      <c r="CE5" s="804"/>
      <c r="CF5" s="803">
        <f>SUM(CB5:CE5)</f>
        <v>0</v>
      </c>
    </row>
    <row r="6" spans="2:92" s="97" customFormat="1" ht="2.1" customHeight="1">
      <c r="B6" s="98"/>
      <c r="C6" s="99" t="s">
        <v>21</v>
      </c>
      <c r="D6" s="100" t="e">
        <f>D5/#REF!-1</f>
        <v>#REF!</v>
      </c>
      <c r="E6" s="99" t="e">
        <f>E5/#REF!-1</f>
        <v>#REF!</v>
      </c>
      <c r="F6" s="99" t="e">
        <f t="shared" ref="F6:AK6" si="2">F5/A5-1</f>
        <v>#DIV/0!</v>
      </c>
      <c r="G6" s="99" t="e">
        <f t="shared" si="2"/>
        <v>#DIV/0!</v>
      </c>
      <c r="H6" s="99" t="e">
        <f t="shared" si="2"/>
        <v>#VALUE!</v>
      </c>
      <c r="I6" s="100" t="e">
        <f t="shared" si="2"/>
        <v>#DIV/0!</v>
      </c>
      <c r="J6" s="99" t="e">
        <f t="shared" si="2"/>
        <v>#DIV/0!</v>
      </c>
      <c r="K6" s="99" t="e">
        <f t="shared" si="2"/>
        <v>#DIV/0!</v>
      </c>
      <c r="L6" s="99" t="e">
        <f t="shared" si="2"/>
        <v>#DIV/0!</v>
      </c>
      <c r="M6" s="99" t="e">
        <f t="shared" si="2"/>
        <v>#DIV/0!</v>
      </c>
      <c r="N6" s="100" t="e">
        <f t="shared" si="2"/>
        <v>#DIV/0!</v>
      </c>
      <c r="O6" s="99" t="e">
        <f t="shared" si="2"/>
        <v>#DIV/0!</v>
      </c>
      <c r="P6" s="99" t="e">
        <f t="shared" si="2"/>
        <v>#DIV/0!</v>
      </c>
      <c r="Q6" s="99" t="e">
        <f t="shared" si="2"/>
        <v>#DIV/0!</v>
      </c>
      <c r="R6" s="99" t="e">
        <f t="shared" si="2"/>
        <v>#DIV/0!</v>
      </c>
      <c r="S6" s="100" t="e">
        <f t="shared" si="2"/>
        <v>#DIV/0!</v>
      </c>
      <c r="T6" s="99" t="e">
        <f t="shared" si="2"/>
        <v>#DIV/0!</v>
      </c>
      <c r="U6" s="99" t="e">
        <f t="shared" si="2"/>
        <v>#DIV/0!</v>
      </c>
      <c r="V6" s="99" t="e">
        <f t="shared" si="2"/>
        <v>#DIV/0!</v>
      </c>
      <c r="W6" s="99" t="e">
        <f t="shared" si="2"/>
        <v>#DIV/0!</v>
      </c>
      <c r="X6" s="100" t="e">
        <f t="shared" si="2"/>
        <v>#DIV/0!</v>
      </c>
      <c r="Y6" s="99" t="e">
        <f t="shared" si="2"/>
        <v>#DIV/0!</v>
      </c>
      <c r="Z6" s="99" t="e">
        <f t="shared" si="2"/>
        <v>#DIV/0!</v>
      </c>
      <c r="AA6" s="99" t="e">
        <f t="shared" si="2"/>
        <v>#DIV/0!</v>
      </c>
      <c r="AB6" s="99" t="e">
        <f t="shared" si="2"/>
        <v>#DIV/0!</v>
      </c>
      <c r="AC6" s="100" t="e">
        <f t="shared" si="2"/>
        <v>#DIV/0!</v>
      </c>
      <c r="AD6" s="99">
        <f t="shared" si="2"/>
        <v>6.3636363636363633</v>
      </c>
      <c r="AE6" s="99">
        <f t="shared" si="2"/>
        <v>4.3255813953488369</v>
      </c>
      <c r="AF6" s="99">
        <f t="shared" si="2"/>
        <v>2.7174721189591078</v>
      </c>
      <c r="AG6" s="99">
        <f t="shared" si="2"/>
        <v>0.98739495798319332</v>
      </c>
      <c r="AH6" s="100">
        <f t="shared" si="2"/>
        <v>3.0303830911492735</v>
      </c>
      <c r="AI6" s="99">
        <f t="shared" si="2"/>
        <v>-0.26038159371492708</v>
      </c>
      <c r="AJ6" s="99">
        <f t="shared" si="2"/>
        <v>-0.16157205240174677</v>
      </c>
      <c r="AK6" s="99">
        <f t="shared" si="2"/>
        <v>-9.099999999999997E-2</v>
      </c>
      <c r="AL6" s="99">
        <f t="shared" ref="AL6:BQ6" si="3">AL5/AG5-1</f>
        <v>0.86257928118393234</v>
      </c>
      <c r="AM6" s="100">
        <f t="shared" si="3"/>
        <v>-8.5217961324155489E-3</v>
      </c>
      <c r="AN6" s="99">
        <f t="shared" si="3"/>
        <v>0.28983308042488609</v>
      </c>
      <c r="AO6" s="99">
        <f t="shared" si="3"/>
        <v>1.0833333333333335</v>
      </c>
      <c r="AP6" s="99">
        <f t="shared" si="3"/>
        <v>0.10011001100110017</v>
      </c>
      <c r="AQ6" s="99">
        <f t="shared" si="3"/>
        <v>-0.63791146424517597</v>
      </c>
      <c r="AR6" s="100">
        <f t="shared" si="3"/>
        <v>0.1137190082644628</v>
      </c>
      <c r="AS6" s="99">
        <f t="shared" si="3"/>
        <v>6.3529411764705834E-2</v>
      </c>
      <c r="AT6" s="99">
        <f t="shared" si="3"/>
        <v>-0.45416666666666672</v>
      </c>
      <c r="AU6" s="236">
        <f t="shared" si="3"/>
        <v>0.39999999999999991</v>
      </c>
      <c r="AV6" s="99">
        <f t="shared" si="3"/>
        <v>0.35423197492163006</v>
      </c>
      <c r="AW6" s="100">
        <f t="shared" si="3"/>
        <v>6.5301276343128212E-3</v>
      </c>
      <c r="AX6" s="99">
        <f t="shared" si="3"/>
        <v>-1</v>
      </c>
      <c r="AY6" s="99">
        <f t="shared" si="3"/>
        <v>-1</v>
      </c>
      <c r="AZ6" s="99">
        <f t="shared" si="3"/>
        <v>-1</v>
      </c>
      <c r="BA6" s="99">
        <f t="shared" si="3"/>
        <v>-1</v>
      </c>
      <c r="BB6" s="100">
        <f t="shared" si="3"/>
        <v>-1</v>
      </c>
      <c r="BC6" s="99" t="e">
        <f t="shared" si="3"/>
        <v>#DIV/0!</v>
      </c>
      <c r="BD6" s="99" t="e">
        <f t="shared" si="3"/>
        <v>#DIV/0!</v>
      </c>
      <c r="BE6" s="99" t="e">
        <f t="shared" si="3"/>
        <v>#DIV/0!</v>
      </c>
      <c r="BF6" s="99" t="e">
        <f t="shared" si="3"/>
        <v>#DIV/0!</v>
      </c>
      <c r="BG6" s="100" t="e">
        <f t="shared" si="3"/>
        <v>#DIV/0!</v>
      </c>
      <c r="BH6" s="99" t="e">
        <f t="shared" si="3"/>
        <v>#DIV/0!</v>
      </c>
      <c r="BI6" s="99" t="e">
        <f t="shared" si="3"/>
        <v>#DIV/0!</v>
      </c>
      <c r="BJ6" s="99" t="e">
        <f t="shared" si="3"/>
        <v>#DIV/0!</v>
      </c>
      <c r="BK6" s="99" t="e">
        <f t="shared" si="3"/>
        <v>#DIV/0!</v>
      </c>
      <c r="BL6" s="100" t="e">
        <f t="shared" si="3"/>
        <v>#DIV/0!</v>
      </c>
      <c r="BM6" s="99" t="e">
        <f t="shared" si="3"/>
        <v>#DIV/0!</v>
      </c>
      <c r="BN6" s="99" t="e">
        <f t="shared" si="3"/>
        <v>#DIV/0!</v>
      </c>
      <c r="BO6" s="99" t="e">
        <f t="shared" si="3"/>
        <v>#DIV/0!</v>
      </c>
      <c r="BP6" s="99" t="e">
        <f t="shared" si="3"/>
        <v>#DIV/0!</v>
      </c>
      <c r="BQ6" s="100" t="e">
        <f t="shared" si="3"/>
        <v>#DIV/0!</v>
      </c>
      <c r="BR6" s="99" t="e">
        <f t="shared" ref="BR6:CF6" si="4">BR5/BM5-1</f>
        <v>#DIV/0!</v>
      </c>
      <c r="BS6" s="99" t="e">
        <f t="shared" si="4"/>
        <v>#DIV/0!</v>
      </c>
      <c r="BT6" s="99" t="e">
        <f t="shared" si="4"/>
        <v>#DIV/0!</v>
      </c>
      <c r="BU6" s="99" t="e">
        <f t="shared" si="4"/>
        <v>#DIV/0!</v>
      </c>
      <c r="BV6" s="100" t="e">
        <f t="shared" si="4"/>
        <v>#DIV/0!</v>
      </c>
      <c r="BW6" s="99" t="e">
        <f t="shared" si="4"/>
        <v>#DIV/0!</v>
      </c>
      <c r="BX6" s="99" t="e">
        <f t="shared" si="4"/>
        <v>#DIV/0!</v>
      </c>
      <c r="BY6" s="99" t="e">
        <f t="shared" si="4"/>
        <v>#DIV/0!</v>
      </c>
      <c r="BZ6" s="99" t="e">
        <f t="shared" si="4"/>
        <v>#DIV/0!</v>
      </c>
      <c r="CA6" s="100" t="e">
        <f t="shared" si="4"/>
        <v>#DIV/0!</v>
      </c>
      <c r="CB6" s="99" t="e">
        <f t="shared" si="4"/>
        <v>#DIV/0!</v>
      </c>
      <c r="CC6" s="99" t="e">
        <f t="shared" si="4"/>
        <v>#DIV/0!</v>
      </c>
      <c r="CD6" s="99" t="e">
        <f t="shared" si="4"/>
        <v>#DIV/0!</v>
      </c>
      <c r="CE6" s="99" t="e">
        <f t="shared" si="4"/>
        <v>#DIV/0!</v>
      </c>
      <c r="CF6" s="100" t="e">
        <f t="shared" si="4"/>
        <v>#DIV/0!</v>
      </c>
    </row>
    <row r="7" spans="2:92" s="1005" customFormat="1" ht="12.75">
      <c r="B7" s="999"/>
      <c r="C7" s="1000" t="s">
        <v>782</v>
      </c>
      <c r="D7" s="1001"/>
      <c r="E7" s="1000"/>
      <c r="F7" s="1000"/>
      <c r="G7" s="1000"/>
      <c r="H7" s="1000"/>
      <c r="I7" s="1001"/>
      <c r="J7" s="1000">
        <v>10215</v>
      </c>
      <c r="K7" s="1000">
        <v>9256</v>
      </c>
      <c r="L7" s="1000">
        <v>9524</v>
      </c>
      <c r="M7" s="1000">
        <f>N7-L7-K7-J7</f>
        <v>10489</v>
      </c>
      <c r="N7" s="1001">
        <v>39484</v>
      </c>
      <c r="O7" s="1000">
        <v>7922</v>
      </c>
      <c r="P7" s="1000">
        <v>8246</v>
      </c>
      <c r="Q7" s="1000">
        <v>8613</v>
      </c>
      <c r="R7" s="1000">
        <f>S7-Q7-P7-O7</f>
        <v>7976</v>
      </c>
      <c r="S7" s="1001">
        <v>32757</v>
      </c>
      <c r="T7" s="1000">
        <v>6287</v>
      </c>
      <c r="U7" s="1000">
        <v>7562</v>
      </c>
      <c r="V7" s="1000">
        <v>7081</v>
      </c>
      <c r="W7" s="1000">
        <f>X7-V7-U7-T7</f>
        <v>9264</v>
      </c>
      <c r="X7" s="1001">
        <v>30194</v>
      </c>
      <c r="Y7" s="1000">
        <v>6829</v>
      </c>
      <c r="Z7" s="1000">
        <v>7859</v>
      </c>
      <c r="AA7" s="1002">
        <v>8307</v>
      </c>
      <c r="AB7" s="1002">
        <f>AB13+AB17</f>
        <v>8420.5630000000074</v>
      </c>
      <c r="AC7" s="1003">
        <f>SUM(Y7:AB7)</f>
        <v>31415.563000000009</v>
      </c>
      <c r="AD7" s="1002">
        <f>AD13+AD17</f>
        <v>7209</v>
      </c>
      <c r="AE7" s="1002">
        <f>AE13+AE17</f>
        <v>8934</v>
      </c>
      <c r="AF7" s="1002">
        <f>AF13+AF17</f>
        <v>9126</v>
      </c>
      <c r="AG7" s="1002">
        <f>AG13+AG17</f>
        <v>10454</v>
      </c>
      <c r="AH7" s="1003">
        <f>SUM(AD7:AG7)</f>
        <v>35723</v>
      </c>
      <c r="AI7" s="1002">
        <f>22145-AJ7-659-576</f>
        <v>10137</v>
      </c>
      <c r="AJ7" s="1002">
        <f>11349-576</f>
        <v>10773</v>
      </c>
      <c r="AK7" s="1002">
        <f>AK13+AK17</f>
        <v>11283</v>
      </c>
      <c r="AL7" s="1002">
        <f>AM7-AK7-AJ7-AI7</f>
        <v>10829</v>
      </c>
      <c r="AM7" s="1003">
        <f>46047-3025</f>
        <v>43022</v>
      </c>
      <c r="AN7" s="1002">
        <f>12327-850</f>
        <v>11477</v>
      </c>
      <c r="AO7" s="1002">
        <f>13556-1200</f>
        <v>12356</v>
      </c>
      <c r="AP7" s="1002">
        <f>14680-1000</f>
        <v>13680</v>
      </c>
      <c r="AQ7" s="1002">
        <f>AR7-AP7-AO7-AN7</f>
        <v>13494</v>
      </c>
      <c r="AR7" s="1003">
        <f>54376-AR5</f>
        <v>51007</v>
      </c>
      <c r="AS7" s="1002">
        <f>15654-AS5</f>
        <v>14750</v>
      </c>
      <c r="AT7" s="1002">
        <f>16439-AT5</f>
        <v>15784</v>
      </c>
      <c r="AU7" s="1004">
        <f>18492-AU5</f>
        <v>17092</v>
      </c>
      <c r="AV7" s="1002">
        <f>AW7-AU7-AT7-AS7</f>
        <v>17827</v>
      </c>
      <c r="AW7" s="1003">
        <f>68844-AW5</f>
        <v>65453</v>
      </c>
      <c r="AX7" s="1002">
        <f>16574-AX5</f>
        <v>16574</v>
      </c>
      <c r="AY7" s="1002">
        <f>15354-AY5</f>
        <v>15354</v>
      </c>
      <c r="AZ7" s="1002">
        <f>18223-AZ5</f>
        <v>18223</v>
      </c>
      <c r="BA7" s="1002">
        <f>67840-AZ7-AY7-AX7</f>
        <v>17689</v>
      </c>
      <c r="BB7" s="1003">
        <f>SUM(AX7:BA7)</f>
        <v>67840</v>
      </c>
      <c r="BC7" s="1002">
        <f>BC13+BC17</f>
        <v>20689</v>
      </c>
      <c r="BD7" s="1002">
        <f>BD13+BD17</f>
        <v>19991</v>
      </c>
      <c r="BE7" s="1002">
        <f>BE13+BE17</f>
        <v>19544</v>
      </c>
      <c r="BF7" s="1002">
        <f>BF13+BF17</f>
        <v>23511</v>
      </c>
      <c r="BG7" s="1003">
        <f>SUM(BC7:BF7)</f>
        <v>83735</v>
      </c>
      <c r="BH7" s="1002">
        <f>BH13+BH17</f>
        <v>19011</v>
      </c>
      <c r="BI7" s="1002">
        <f>BI13+BI17</f>
        <v>17983</v>
      </c>
      <c r="BJ7" s="1002">
        <f>BJ13+BJ17</f>
        <v>23449</v>
      </c>
      <c r="BK7" s="1002">
        <f>BK13+BK17</f>
        <v>32124</v>
      </c>
      <c r="BL7" s="1003">
        <f>SUM(BH7:BK7)</f>
        <v>92567</v>
      </c>
      <c r="BM7" s="1002">
        <v>15951</v>
      </c>
      <c r="BN7" s="1002">
        <v>14683</v>
      </c>
      <c r="BO7" s="1002">
        <v>17798</v>
      </c>
      <c r="BP7" s="1002">
        <f>64200-BO7-BN7-BM7</f>
        <v>15768</v>
      </c>
      <c r="BQ7" s="1003">
        <f>SUM(BM7:BP7)</f>
        <v>64200</v>
      </c>
      <c r="BR7" s="1002">
        <v>13047</v>
      </c>
      <c r="BS7" s="1002">
        <v>15779</v>
      </c>
      <c r="BT7" s="1002">
        <v>21238</v>
      </c>
      <c r="BU7" s="1002">
        <f>BV7-BT7-BS7-BR7</f>
        <v>18037</v>
      </c>
      <c r="BV7" s="1003">
        <v>68101</v>
      </c>
      <c r="BW7" s="1002">
        <f>BW13+BW17</f>
        <v>12525.119999999999</v>
      </c>
      <c r="BX7" s="1002">
        <f>BX13+BX17</f>
        <v>15147.84</v>
      </c>
      <c r="BY7" s="1002">
        <f>BY13+BY17</f>
        <v>12742.8</v>
      </c>
      <c r="BZ7" s="1002">
        <f>BZ13+BZ17</f>
        <v>14429.6</v>
      </c>
      <c r="CA7" s="1003">
        <f>SUM(BW7:BZ7)</f>
        <v>54845.359999999993</v>
      </c>
      <c r="CB7" s="1002">
        <f>CB13+CB17</f>
        <v>11272.608</v>
      </c>
      <c r="CC7" s="1002">
        <f>CC13+CC17</f>
        <v>13633.056</v>
      </c>
      <c r="CD7" s="1002">
        <f>CD13+CD17</f>
        <v>13762.224</v>
      </c>
      <c r="CE7" s="1002">
        <f>CE13+CE17</f>
        <v>12265.16</v>
      </c>
      <c r="CF7" s="1003">
        <f>SUM(CB7:CE7)</f>
        <v>50933.047999999995</v>
      </c>
    </row>
    <row r="8" spans="2:92" s="97" customFormat="1" ht="10.15">
      <c r="B8" s="98"/>
      <c r="C8" s="99" t="s">
        <v>21</v>
      </c>
      <c r="D8" s="100" t="e">
        <f>D7/#REF!-1</f>
        <v>#REF!</v>
      </c>
      <c r="E8" s="99" t="e">
        <f>E7/#REF!-1</f>
        <v>#REF!</v>
      </c>
      <c r="F8" s="99" t="e">
        <f>F7/A7-1</f>
        <v>#DIV/0!</v>
      </c>
      <c r="G8" s="99" t="e">
        <f t="shared" ref="G8:Y8" si="5">G7/B7-1</f>
        <v>#DIV/0!</v>
      </c>
      <c r="H8" s="99" t="e">
        <f t="shared" si="5"/>
        <v>#VALUE!</v>
      </c>
      <c r="I8" s="100" t="e">
        <f t="shared" si="5"/>
        <v>#DIV/0!</v>
      </c>
      <c r="J8" s="99" t="e">
        <f t="shared" si="5"/>
        <v>#DIV/0!</v>
      </c>
      <c r="K8" s="99" t="e">
        <f t="shared" si="5"/>
        <v>#DIV/0!</v>
      </c>
      <c r="L8" s="99" t="e">
        <f t="shared" si="5"/>
        <v>#DIV/0!</v>
      </c>
      <c r="M8" s="99" t="e">
        <f t="shared" si="5"/>
        <v>#DIV/0!</v>
      </c>
      <c r="N8" s="100" t="e">
        <f t="shared" si="5"/>
        <v>#DIV/0!</v>
      </c>
      <c r="O8" s="99">
        <f t="shared" si="5"/>
        <v>-0.22447381302006852</v>
      </c>
      <c r="P8" s="99">
        <f t="shared" si="5"/>
        <v>-0.10911840968020747</v>
      </c>
      <c r="Q8" s="99">
        <f t="shared" si="5"/>
        <v>-9.5653086938261245E-2</v>
      </c>
      <c r="R8" s="99">
        <f t="shared" si="5"/>
        <v>-0.23958432643721994</v>
      </c>
      <c r="S8" s="100">
        <f t="shared" si="5"/>
        <v>-0.17037280923918552</v>
      </c>
      <c r="T8" s="99">
        <f t="shared" si="5"/>
        <v>-0.20638727594041906</v>
      </c>
      <c r="U8" s="99">
        <f t="shared" si="5"/>
        <v>-8.2949308755760343E-2</v>
      </c>
      <c r="V8" s="99">
        <f t="shared" si="5"/>
        <v>-0.17787066062928136</v>
      </c>
      <c r="W8" s="99">
        <f t="shared" si="5"/>
        <v>0.16148445336008033</v>
      </c>
      <c r="X8" s="100">
        <f t="shared" si="5"/>
        <v>-7.8242818328906782E-2</v>
      </c>
      <c r="Y8" s="99">
        <f t="shared" si="5"/>
        <v>8.6209638937490007E-2</v>
      </c>
      <c r="Z8" s="99">
        <f t="shared" ref="Z8:BS8" si="6">Z7/U7-1</f>
        <v>3.9275323988362976E-2</v>
      </c>
      <c r="AA8" s="99">
        <f t="shared" si="6"/>
        <v>0.17313938709221866</v>
      </c>
      <c r="AB8" s="99">
        <f t="shared" si="6"/>
        <v>-9.1044581174437922E-2</v>
      </c>
      <c r="AC8" s="100">
        <f t="shared" si="6"/>
        <v>4.0457143803404927E-2</v>
      </c>
      <c r="AD8" s="99">
        <f t="shared" si="6"/>
        <v>5.5645043198125688E-2</v>
      </c>
      <c r="AE8" s="99">
        <f t="shared" si="6"/>
        <v>0.13678585061712689</v>
      </c>
      <c r="AF8" s="99">
        <f t="shared" si="6"/>
        <v>9.8591549295774739E-2</v>
      </c>
      <c r="AG8" s="99">
        <f t="shared" si="6"/>
        <v>0.24148468457512773</v>
      </c>
      <c r="AH8" s="100">
        <f t="shared" si="6"/>
        <v>0.13711156473624198</v>
      </c>
      <c r="AI8" s="99">
        <f t="shared" si="6"/>
        <v>0.4061589679567208</v>
      </c>
      <c r="AJ8" s="99">
        <f t="shared" si="6"/>
        <v>0.20584284754869042</v>
      </c>
      <c r="AK8" s="99">
        <f t="shared" si="6"/>
        <v>0.23635765943458242</v>
      </c>
      <c r="AL8" s="99">
        <f t="shared" si="6"/>
        <v>3.5871436770614107E-2</v>
      </c>
      <c r="AM8" s="100">
        <f t="shared" si="6"/>
        <v>0.20432214539652316</v>
      </c>
      <c r="AN8" s="99">
        <f t="shared" si="6"/>
        <v>0.13218901055539112</v>
      </c>
      <c r="AO8" s="99">
        <f t="shared" si="6"/>
        <v>0.14694142764318197</v>
      </c>
      <c r="AP8" s="99">
        <f t="shared" si="6"/>
        <v>0.21244349906939641</v>
      </c>
      <c r="AQ8" s="99">
        <f t="shared" si="6"/>
        <v>0.24609843937575038</v>
      </c>
      <c r="AR8" s="100">
        <f t="shared" si="6"/>
        <v>0.18560271489005631</v>
      </c>
      <c r="AS8" s="99">
        <f t="shared" si="6"/>
        <v>0.28517905375969321</v>
      </c>
      <c r="AT8" s="99">
        <f t="shared" si="6"/>
        <v>0.27743606345095495</v>
      </c>
      <c r="AU8" s="236">
        <f t="shared" si="6"/>
        <v>0.24941520467836265</v>
      </c>
      <c r="AV8" s="99">
        <f t="shared" si="6"/>
        <v>0.32110567659700617</v>
      </c>
      <c r="AW8" s="100">
        <f t="shared" si="6"/>
        <v>0.28321602917246658</v>
      </c>
      <c r="AX8" s="99">
        <f t="shared" si="6"/>
        <v>0.12366101694915255</v>
      </c>
      <c r="AY8" s="99">
        <f t="shared" si="6"/>
        <v>-2.7242777496198634E-2</v>
      </c>
      <c r="AZ8" s="99">
        <f t="shared" si="6"/>
        <v>6.617130821436934E-2</v>
      </c>
      <c r="BA8" s="99">
        <f t="shared" si="6"/>
        <v>-7.7410669209625471E-3</v>
      </c>
      <c r="BB8" s="100">
        <f t="shared" si="6"/>
        <v>3.6468916627198089E-2</v>
      </c>
      <c r="BC8" s="99">
        <f t="shared" si="6"/>
        <v>0.24828043924218646</v>
      </c>
      <c r="BD8" s="99">
        <f t="shared" si="6"/>
        <v>0.30200599192392863</v>
      </c>
      <c r="BE8" s="99">
        <f t="shared" si="6"/>
        <v>7.2490808319157107E-2</v>
      </c>
      <c r="BF8" s="99">
        <f t="shared" si="6"/>
        <v>0.32913109842274868</v>
      </c>
      <c r="BG8" s="100">
        <f t="shared" si="6"/>
        <v>0.2343012971698113</v>
      </c>
      <c r="BH8" s="99">
        <f t="shared" si="6"/>
        <v>-8.1105901686886805E-2</v>
      </c>
      <c r="BI8" s="99">
        <f t="shared" si="6"/>
        <v>-0.10044520034015303</v>
      </c>
      <c r="BJ8" s="99">
        <f t="shared" si="6"/>
        <v>0.19980556692591067</v>
      </c>
      <c r="BK8" s="99">
        <f t="shared" si="6"/>
        <v>0.36633916039300751</v>
      </c>
      <c r="BL8" s="100">
        <f t="shared" si="6"/>
        <v>0.10547560757150531</v>
      </c>
      <c r="BM8" s="99">
        <f t="shared" si="6"/>
        <v>-0.16095944453211297</v>
      </c>
      <c r="BN8" s="99">
        <f t="shared" si="6"/>
        <v>-0.18350664516487791</v>
      </c>
      <c r="BO8" s="99">
        <f t="shared" si="6"/>
        <v>-0.24099108703995908</v>
      </c>
      <c r="BP8" s="99">
        <f t="shared" si="6"/>
        <v>-0.50915203586103841</v>
      </c>
      <c r="BQ8" s="100">
        <f t="shared" si="6"/>
        <v>-0.3064483023107587</v>
      </c>
      <c r="BR8" s="99">
        <f t="shared" si="6"/>
        <v>-0.18205755125070533</v>
      </c>
      <c r="BS8" s="99">
        <f t="shared" si="6"/>
        <v>7.4644146291629854E-2</v>
      </c>
      <c r="BT8" s="99">
        <f>BS7/BO7-1</f>
        <v>-0.11343971232722783</v>
      </c>
      <c r="BU8" s="99">
        <f t="shared" ref="BU8:CC8" si="7">BU7/BP7-1</f>
        <v>0.14389903602232379</v>
      </c>
      <c r="BV8" s="100">
        <f t="shared" si="7"/>
        <v>6.0763239875389452E-2</v>
      </c>
      <c r="BW8" s="99">
        <f t="shared" si="7"/>
        <v>-4.0000000000000036E-2</v>
      </c>
      <c r="BX8" s="99">
        <f t="shared" si="7"/>
        <v>-4.0000000000000036E-2</v>
      </c>
      <c r="BY8" s="99">
        <f t="shared" si="7"/>
        <v>-0.4</v>
      </c>
      <c r="BZ8" s="99">
        <f t="shared" si="7"/>
        <v>-0.19999999999999996</v>
      </c>
      <c r="CA8" s="100">
        <f t="shared" si="7"/>
        <v>-0.1946467746435443</v>
      </c>
      <c r="CB8" s="99">
        <f t="shared" si="7"/>
        <v>-9.9999999999999867E-2</v>
      </c>
      <c r="CC8" s="99">
        <f t="shared" si="7"/>
        <v>-9.9999999999999978E-2</v>
      </c>
      <c r="CD8" s="99">
        <f>CD7/BX7-1</f>
        <v>-9.1472843652956493E-2</v>
      </c>
      <c r="CE8" s="99">
        <f>CE7/BZ7-1</f>
        <v>-0.15000000000000002</v>
      </c>
      <c r="CF8" s="100">
        <f>CF7/CA7-1</f>
        <v>-7.1333509343361023E-2</v>
      </c>
    </row>
    <row r="9" spans="2:92" s="1005" customFormat="1" ht="12.75">
      <c r="B9" s="999"/>
      <c r="C9" s="1000" t="s">
        <v>783</v>
      </c>
      <c r="D9" s="1001"/>
      <c r="E9" s="1000"/>
      <c r="F9" s="1000"/>
      <c r="G9" s="1000"/>
      <c r="H9" s="1000"/>
      <c r="I9" s="1001"/>
      <c r="J9" s="1000">
        <v>541</v>
      </c>
      <c r="K9" s="1000">
        <v>656</v>
      </c>
      <c r="L9" s="1000">
        <v>643</v>
      </c>
      <c r="M9" s="1000">
        <f>N9-L9-K9-J9</f>
        <v>807</v>
      </c>
      <c r="N9" s="1001">
        <v>2647</v>
      </c>
      <c r="O9" s="1000">
        <v>527</v>
      </c>
      <c r="P9" s="1000">
        <v>489</v>
      </c>
      <c r="Q9" s="1000">
        <v>647</v>
      </c>
      <c r="R9" s="1000">
        <f>S9-Q9-P9-O9</f>
        <v>493</v>
      </c>
      <c r="S9" s="1001">
        <v>2156</v>
      </c>
      <c r="T9" s="1000">
        <v>535</v>
      </c>
      <c r="U9" s="1000">
        <v>746</v>
      </c>
      <c r="V9" s="1000">
        <v>550</v>
      </c>
      <c r="W9" s="1000">
        <f>X9-V9-U9-T9</f>
        <v>569</v>
      </c>
      <c r="X9" s="1001">
        <v>2400</v>
      </c>
      <c r="Y9" s="1000">
        <v>613</v>
      </c>
      <c r="Z9" s="1000">
        <v>435</v>
      </c>
      <c r="AA9" s="1005">
        <v>397</v>
      </c>
      <c r="AB9" s="1005">
        <v>400</v>
      </c>
      <c r="AC9" s="1003">
        <f>SUM(Y9:AB9)</f>
        <v>1845</v>
      </c>
      <c r="AD9" s="1002">
        <v>730</v>
      </c>
      <c r="AE9" s="1002">
        <v>459</v>
      </c>
      <c r="AF9" s="1002">
        <v>369</v>
      </c>
      <c r="AG9" s="1002">
        <v>509</v>
      </c>
      <c r="AH9" s="1003">
        <f>SUM(AD9:AG9)</f>
        <v>2067</v>
      </c>
      <c r="AI9" s="1004">
        <f>1170-AJ9</f>
        <v>436</v>
      </c>
      <c r="AJ9" s="1004">
        <v>734</v>
      </c>
      <c r="AK9" s="1004">
        <v>1034</v>
      </c>
      <c r="AL9" s="1002">
        <f>AM9-AK9-AJ9-AI9</f>
        <v>814</v>
      </c>
      <c r="AM9" s="1003">
        <v>3018</v>
      </c>
      <c r="AN9" s="1004">
        <v>1973</v>
      </c>
      <c r="AO9" s="1004">
        <v>1030</v>
      </c>
      <c r="AP9" s="1004">
        <v>1010</v>
      </c>
      <c r="AQ9" s="1004">
        <f>AR9-AP9-AO9-AN9</f>
        <v>619</v>
      </c>
      <c r="AR9" s="1003">
        <v>4632</v>
      </c>
      <c r="AS9" s="1004">
        <v>1196</v>
      </c>
      <c r="AT9" s="1004">
        <v>1112</v>
      </c>
      <c r="AU9" s="1004">
        <v>1438</v>
      </c>
      <c r="AV9" s="1004">
        <f>AW9-AU9-AT9-AS9</f>
        <v>1716</v>
      </c>
      <c r="AW9" s="1003">
        <v>5462</v>
      </c>
      <c r="AX9" s="1004">
        <v>1649</v>
      </c>
      <c r="AY9" s="1004">
        <v>1753</v>
      </c>
      <c r="AZ9" s="1002">
        <v>1619</v>
      </c>
      <c r="BA9" s="1002">
        <f>7854-AZ9-AY9-AX9</f>
        <v>2833</v>
      </c>
      <c r="BB9" s="1003">
        <f>SUM(AX9:BA9)</f>
        <v>7854</v>
      </c>
      <c r="BC9" s="1002">
        <f>BC15</f>
        <v>2087</v>
      </c>
      <c r="BD9" s="1002">
        <f t="shared" ref="BD9:BK9" si="8">BD15</f>
        <v>2409</v>
      </c>
      <c r="BE9" s="1002">
        <f t="shared" si="8"/>
        <v>2900</v>
      </c>
      <c r="BF9" s="1002">
        <f t="shared" si="8"/>
        <v>2310</v>
      </c>
      <c r="BG9" s="1003">
        <f>SUM(BC9:BF9)</f>
        <v>9706</v>
      </c>
      <c r="BH9" s="1002">
        <f t="shared" si="8"/>
        <v>2782</v>
      </c>
      <c r="BI9" s="1002">
        <f t="shared" si="8"/>
        <v>2692</v>
      </c>
      <c r="BJ9" s="1002">
        <f t="shared" si="8"/>
        <v>1930</v>
      </c>
      <c r="BK9" s="1002">
        <f t="shared" si="8"/>
        <v>234</v>
      </c>
      <c r="BL9" s="1003">
        <f>SUM(BH9:BK9)</f>
        <v>7638</v>
      </c>
      <c r="BM9" s="1002">
        <v>2786</v>
      </c>
      <c r="BN9" s="1002">
        <v>2342</v>
      </c>
      <c r="BO9" s="1002">
        <v>2139</v>
      </c>
      <c r="BP9" s="1002">
        <f>8964-BO9-BN9-BM9</f>
        <v>1697</v>
      </c>
      <c r="BQ9" s="1003">
        <f>SUM(BM9:BP9)</f>
        <v>8964</v>
      </c>
      <c r="BR9" s="1002">
        <v>1886</v>
      </c>
      <c r="BS9" s="1002">
        <v>1825</v>
      </c>
      <c r="BT9" s="1002">
        <v>1435</v>
      </c>
      <c r="BU9" s="1002">
        <f>BV9-BT9-BS9-BR9</f>
        <v>1205</v>
      </c>
      <c r="BV9" s="1003">
        <v>6351</v>
      </c>
      <c r="BW9" s="1002">
        <f>+BW15</f>
        <v>1791.6999999999998</v>
      </c>
      <c r="BX9" s="1002">
        <f>+BX15</f>
        <v>1733.75</v>
      </c>
      <c r="BY9" s="1002">
        <f>+BY15</f>
        <v>1363.25</v>
      </c>
      <c r="BZ9" s="1002">
        <f>+BZ15</f>
        <v>1144.75</v>
      </c>
      <c r="CA9" s="1003">
        <f>SUM(BW9:BZ9)</f>
        <v>6033.45</v>
      </c>
      <c r="CB9" s="1002">
        <f>+CB15</f>
        <v>1791.6999999999998</v>
      </c>
      <c r="CC9" s="1002">
        <f>+CC15</f>
        <v>1733.75</v>
      </c>
      <c r="CD9" s="1002">
        <f>+CD15</f>
        <v>1363.25</v>
      </c>
      <c r="CE9" s="1002">
        <f>+CE15</f>
        <v>1144.75</v>
      </c>
      <c r="CF9" s="1003">
        <f>SUM(CB9:CE9)</f>
        <v>6033.45</v>
      </c>
    </row>
    <row r="10" spans="2:92" s="97" customFormat="1" ht="10.15">
      <c r="B10" s="98"/>
      <c r="C10" s="99" t="s">
        <v>21</v>
      </c>
      <c r="D10" s="100" t="e">
        <f>D9/#REF!-1</f>
        <v>#REF!</v>
      </c>
      <c r="E10" s="99" t="e">
        <f>E9/#REF!-1</f>
        <v>#REF!</v>
      </c>
      <c r="F10" s="99" t="e">
        <f>F9/A9-1</f>
        <v>#DIV/0!</v>
      </c>
      <c r="G10" s="99" t="e">
        <f t="shared" ref="G10:Y10" si="9">G9/B9-1</f>
        <v>#DIV/0!</v>
      </c>
      <c r="H10" s="99" t="e">
        <f t="shared" si="9"/>
        <v>#VALUE!</v>
      </c>
      <c r="I10" s="100" t="e">
        <f t="shared" si="9"/>
        <v>#DIV/0!</v>
      </c>
      <c r="J10" s="99" t="e">
        <f t="shared" si="9"/>
        <v>#DIV/0!</v>
      </c>
      <c r="K10" s="99" t="e">
        <f t="shared" si="9"/>
        <v>#DIV/0!</v>
      </c>
      <c r="L10" s="99" t="e">
        <f t="shared" si="9"/>
        <v>#DIV/0!</v>
      </c>
      <c r="M10" s="99" t="e">
        <f t="shared" si="9"/>
        <v>#DIV/0!</v>
      </c>
      <c r="N10" s="100" t="e">
        <f t="shared" si="9"/>
        <v>#DIV/0!</v>
      </c>
      <c r="O10" s="99">
        <f t="shared" si="9"/>
        <v>-2.5878003696857665E-2</v>
      </c>
      <c r="P10" s="99">
        <f t="shared" si="9"/>
        <v>-0.25457317073170727</v>
      </c>
      <c r="Q10" s="99">
        <f t="shared" si="9"/>
        <v>6.2208398133747345E-3</v>
      </c>
      <c r="R10" s="99">
        <f t="shared" si="9"/>
        <v>-0.38909541511771994</v>
      </c>
      <c r="S10" s="100">
        <f t="shared" si="9"/>
        <v>-0.18549301095579906</v>
      </c>
      <c r="T10" s="99">
        <f t="shared" si="9"/>
        <v>1.5180265654648917E-2</v>
      </c>
      <c r="U10" s="99">
        <f t="shared" si="9"/>
        <v>0.52556237218813906</v>
      </c>
      <c r="V10" s="99">
        <f t="shared" si="9"/>
        <v>-0.14992272024729525</v>
      </c>
      <c r="W10" s="99">
        <f t="shared" si="9"/>
        <v>0.15415821501014193</v>
      </c>
      <c r="X10" s="100">
        <f t="shared" si="9"/>
        <v>0.1131725417439704</v>
      </c>
      <c r="Y10" s="99">
        <f t="shared" si="9"/>
        <v>0.14579439252336446</v>
      </c>
      <c r="Z10" s="99">
        <f t="shared" ref="Z10:BE10" si="10">Z9/U9-1</f>
        <v>-0.41689008042895437</v>
      </c>
      <c r="AA10" s="99">
        <f t="shared" si="10"/>
        <v>-0.2781818181818182</v>
      </c>
      <c r="AB10" s="99">
        <f t="shared" si="10"/>
        <v>-0.29701230228470998</v>
      </c>
      <c r="AC10" s="100">
        <f t="shared" si="10"/>
        <v>-0.23124999999999996</v>
      </c>
      <c r="AD10" s="99">
        <f t="shared" si="10"/>
        <v>0.19086460032626418</v>
      </c>
      <c r="AE10" s="99">
        <f t="shared" si="10"/>
        <v>5.5172413793103559E-2</v>
      </c>
      <c r="AF10" s="99">
        <f t="shared" si="10"/>
        <v>-7.0528967254408048E-2</v>
      </c>
      <c r="AG10" s="99">
        <f t="shared" si="10"/>
        <v>0.27249999999999996</v>
      </c>
      <c r="AH10" s="100">
        <f t="shared" si="10"/>
        <v>0.12032520325203255</v>
      </c>
      <c r="AI10" s="99">
        <f t="shared" si="10"/>
        <v>-0.40273972602739727</v>
      </c>
      <c r="AJ10" s="99">
        <f t="shared" si="10"/>
        <v>0.59912854030501084</v>
      </c>
      <c r="AK10" s="99">
        <f t="shared" si="10"/>
        <v>1.8021680216802167</v>
      </c>
      <c r="AL10" s="99">
        <f t="shared" si="10"/>
        <v>0.59921414538310414</v>
      </c>
      <c r="AM10" s="100">
        <f t="shared" si="10"/>
        <v>0.46008708272859211</v>
      </c>
      <c r="AN10" s="99">
        <f t="shared" si="10"/>
        <v>3.5252293577981648</v>
      </c>
      <c r="AO10" s="99">
        <f t="shared" si="10"/>
        <v>0.40326975476839233</v>
      </c>
      <c r="AP10" s="99">
        <f t="shared" si="10"/>
        <v>-2.3210831721469982E-2</v>
      </c>
      <c r="AQ10" s="99">
        <f t="shared" si="10"/>
        <v>-0.23955773955773951</v>
      </c>
      <c r="AR10" s="100">
        <f t="shared" si="10"/>
        <v>0.53479125248508952</v>
      </c>
      <c r="AS10" s="99">
        <f t="shared" si="10"/>
        <v>-0.39381652306132797</v>
      </c>
      <c r="AT10" s="99">
        <f t="shared" si="10"/>
        <v>7.9611650485436947E-2</v>
      </c>
      <c r="AU10" s="236">
        <f t="shared" si="10"/>
        <v>0.42376237623762369</v>
      </c>
      <c r="AV10" s="99">
        <f t="shared" si="10"/>
        <v>1.7722132471728593</v>
      </c>
      <c r="AW10" s="100">
        <f t="shared" si="10"/>
        <v>0.17918825561312612</v>
      </c>
      <c r="AX10" s="99">
        <f t="shared" si="10"/>
        <v>0.37876254180602009</v>
      </c>
      <c r="AY10" s="99">
        <f t="shared" si="10"/>
        <v>0.57643884892086339</v>
      </c>
      <c r="AZ10" s="99">
        <f t="shared" si="10"/>
        <v>0.12586926286509037</v>
      </c>
      <c r="BA10" s="99">
        <f t="shared" si="10"/>
        <v>0.6509324009324009</v>
      </c>
      <c r="BB10" s="100">
        <f t="shared" si="10"/>
        <v>0.43793482240937376</v>
      </c>
      <c r="BC10" s="99">
        <f t="shared" si="10"/>
        <v>0.26561552456033954</v>
      </c>
      <c r="BD10" s="99">
        <f t="shared" si="10"/>
        <v>0.37421563034797489</v>
      </c>
      <c r="BE10" s="99">
        <f t="shared" si="10"/>
        <v>0.79122915379864112</v>
      </c>
      <c r="BF10" s="99">
        <f t="shared" ref="BF10:CF10" si="11">BF9/BA9-1</f>
        <v>-0.18460995411224845</v>
      </c>
      <c r="BG10" s="100">
        <f t="shared" si="11"/>
        <v>0.23580341227400048</v>
      </c>
      <c r="BH10" s="99">
        <f t="shared" si="11"/>
        <v>0.33301389554384286</v>
      </c>
      <c r="BI10" s="99">
        <f t="shared" si="11"/>
        <v>0.11747613117476141</v>
      </c>
      <c r="BJ10" s="99">
        <f t="shared" si="11"/>
        <v>-0.33448275862068966</v>
      </c>
      <c r="BK10" s="99">
        <f t="shared" si="11"/>
        <v>-0.89870129870129867</v>
      </c>
      <c r="BL10" s="100">
        <f t="shared" si="11"/>
        <v>-0.21306408407170818</v>
      </c>
      <c r="BM10" s="99">
        <f t="shared" si="11"/>
        <v>1.4378145219267058E-3</v>
      </c>
      <c r="BN10" s="99">
        <f t="shared" si="11"/>
        <v>-0.13001485884101038</v>
      </c>
      <c r="BO10" s="99">
        <f t="shared" si="11"/>
        <v>0.10829015544041454</v>
      </c>
      <c r="BP10" s="99">
        <f t="shared" si="11"/>
        <v>6.2521367521367521</v>
      </c>
      <c r="BQ10" s="100">
        <f t="shared" si="11"/>
        <v>0.17360565593087185</v>
      </c>
      <c r="BR10" s="99">
        <f t="shared" si="11"/>
        <v>-0.32304379038047382</v>
      </c>
      <c r="BS10" s="99">
        <f t="shared" si="11"/>
        <v>-0.22075149444918873</v>
      </c>
      <c r="BT10" s="99">
        <f t="shared" si="11"/>
        <v>-0.32912575970079472</v>
      </c>
      <c r="BU10" s="99">
        <f t="shared" si="11"/>
        <v>-0.28992339422510316</v>
      </c>
      <c r="BV10" s="100">
        <f t="shared" si="11"/>
        <v>-0.29149933065595712</v>
      </c>
      <c r="BW10" s="99">
        <f t="shared" si="11"/>
        <v>-5.0000000000000044E-2</v>
      </c>
      <c r="BX10" s="99">
        <f t="shared" si="11"/>
        <v>-5.0000000000000044E-2</v>
      </c>
      <c r="BY10" s="99">
        <f t="shared" si="11"/>
        <v>-5.0000000000000044E-2</v>
      </c>
      <c r="BZ10" s="99">
        <f t="shared" si="11"/>
        <v>-5.0000000000000044E-2</v>
      </c>
      <c r="CA10" s="100">
        <f t="shared" si="11"/>
        <v>-5.0000000000000044E-2</v>
      </c>
      <c r="CB10" s="99">
        <f t="shared" si="11"/>
        <v>0</v>
      </c>
      <c r="CC10" s="99">
        <f t="shared" si="11"/>
        <v>0</v>
      </c>
      <c r="CD10" s="99">
        <f t="shared" si="11"/>
        <v>0</v>
      </c>
      <c r="CE10" s="99">
        <f t="shared" si="11"/>
        <v>0</v>
      </c>
      <c r="CF10" s="100">
        <f t="shared" si="11"/>
        <v>0</v>
      </c>
    </row>
    <row r="11" spans="2:92" s="7" customFormat="1" ht="12.75">
      <c r="B11" s="11"/>
      <c r="C11" s="12" t="s">
        <v>359</v>
      </c>
      <c r="D11" s="9"/>
      <c r="I11" s="9"/>
      <c r="N11" s="9"/>
      <c r="S11" s="9"/>
      <c r="X11" s="9"/>
      <c r="Y11" s="12">
        <f>T4*(1+Y12)</f>
        <v>7101.7019999999993</v>
      </c>
      <c r="Z11" s="22">
        <f>Z95-Z89-Z82-Z71-Z55-Z27</f>
        <v>7915.8579999999947</v>
      </c>
      <c r="AA11" s="22">
        <f>AA95-AA89-AA82-AA71-AA55-AA27</f>
        <v>7993.1280000000115</v>
      </c>
      <c r="AB11" s="22">
        <f>AB95-AB89-AB82-AB71-AB55-AB27</f>
        <v>8087.5630000000074</v>
      </c>
      <c r="AC11" s="23">
        <f>SUM(Y11:AB11)</f>
        <v>31098.251000000011</v>
      </c>
      <c r="AD11" s="22">
        <f>+AD13+AD15</f>
        <v>7939</v>
      </c>
      <c r="AE11" s="22">
        <f>+AE13+AE15</f>
        <v>9393</v>
      </c>
      <c r="AF11" s="22">
        <f>+AF13+AF15</f>
        <v>9495</v>
      </c>
      <c r="AG11" s="22">
        <f>+AG13+AG15</f>
        <v>10963</v>
      </c>
      <c r="AH11" s="23">
        <f>SUM(AD11:AG11)</f>
        <v>37790</v>
      </c>
      <c r="AI11" s="22">
        <f>+AI13+AI15</f>
        <v>10573</v>
      </c>
      <c r="AJ11" s="22">
        <f>+AJ13+AJ15</f>
        <v>11507</v>
      </c>
      <c r="AK11" s="22">
        <f>+AK13+AK15</f>
        <v>12317</v>
      </c>
      <c r="AL11" s="22">
        <f>+AL13+AL15</f>
        <v>11643</v>
      </c>
      <c r="AM11" s="23">
        <f>SUM(AI11:AL11)</f>
        <v>46040</v>
      </c>
      <c r="AN11" s="22">
        <f>+AN13+AN15</f>
        <v>13450</v>
      </c>
      <c r="AO11" s="22">
        <f>+AO13+AO15</f>
        <v>13386</v>
      </c>
      <c r="AP11" s="22">
        <f>+AP13+AP15</f>
        <v>14690</v>
      </c>
      <c r="AQ11" s="22">
        <f>+AQ13+AQ15</f>
        <v>12581.3</v>
      </c>
      <c r="AR11" s="23">
        <f>SUM(AN11:AQ11)</f>
        <v>54107.3</v>
      </c>
      <c r="AS11" s="22">
        <f>+AS13+AS15</f>
        <v>15946</v>
      </c>
      <c r="AT11" s="22">
        <f>+AT13+AT15</f>
        <v>16896</v>
      </c>
      <c r="AU11" s="235">
        <f>+AU13+AU15</f>
        <v>18530</v>
      </c>
      <c r="AV11" s="22">
        <f>+AV13+AV15</f>
        <v>19543</v>
      </c>
      <c r="AW11" s="23">
        <f>SUM(AS11:AV11)</f>
        <v>70915</v>
      </c>
      <c r="AX11" s="22">
        <f>+AX13+AX15</f>
        <v>18223</v>
      </c>
      <c r="AY11" s="22">
        <f>+AY13+AY15</f>
        <v>17107</v>
      </c>
      <c r="AZ11" s="22">
        <f>+AZ13+AZ15</f>
        <v>19842</v>
      </c>
      <c r="BA11" s="22">
        <f>+BA13+BA15</f>
        <v>20522</v>
      </c>
      <c r="BB11" s="23">
        <f>SUM(AX11:BA11)</f>
        <v>75694</v>
      </c>
      <c r="BC11" s="22">
        <v>18223</v>
      </c>
      <c r="BD11" s="22">
        <f>+BD13+BD15</f>
        <v>22400</v>
      </c>
      <c r="BE11" s="22">
        <f>+BE13+BE15</f>
        <v>22444</v>
      </c>
      <c r="BF11" s="22">
        <f>+BF13+BF15</f>
        <v>25821</v>
      </c>
      <c r="BG11" s="23">
        <f>SUM(BC11:BF11)</f>
        <v>88888</v>
      </c>
      <c r="BH11" s="22">
        <f>+BH13+BH15</f>
        <v>21793</v>
      </c>
      <c r="BI11" s="22">
        <f>+BI13+BI15</f>
        <v>20675</v>
      </c>
      <c r="BJ11" s="22">
        <f>+BJ13+BJ15</f>
        <v>25379</v>
      </c>
      <c r="BK11" s="22">
        <f>+BK13+BK15</f>
        <v>32358</v>
      </c>
      <c r="BL11" s="23">
        <f>SUM(BH11:BK11)</f>
        <v>100205</v>
      </c>
      <c r="BM11" s="22">
        <f>+BM13+BM15</f>
        <v>18737</v>
      </c>
      <c r="BN11" s="22">
        <f>+BN13+BN15</f>
        <v>17025</v>
      </c>
      <c r="BO11" s="22">
        <f>+BO13+BO15</f>
        <v>19937</v>
      </c>
      <c r="BP11" s="22">
        <f>+BP13+BP15</f>
        <v>21374.399999999998</v>
      </c>
      <c r="BQ11" s="23">
        <f>SUM(BM11:BP11)</f>
        <v>77073.399999999994</v>
      </c>
      <c r="BR11" s="22">
        <f>+BR13+BR15</f>
        <v>15917.86</v>
      </c>
      <c r="BS11" s="22">
        <f>+BS13+BS15</f>
        <v>17323.489999999998</v>
      </c>
      <c r="BT11" s="22">
        <f>+BT13+BT15</f>
        <v>22673</v>
      </c>
      <c r="BU11" s="22">
        <f>+BU13+BU15</f>
        <v>19444.800000000003</v>
      </c>
      <c r="BV11" s="23">
        <f>SUM(BR11:BU11)</f>
        <v>75359.149999999994</v>
      </c>
      <c r="BW11" s="22">
        <f>+BW13+BW15</f>
        <v>14316.82</v>
      </c>
      <c r="BX11" s="22">
        <f>+BX13+BX15</f>
        <v>16881.59</v>
      </c>
      <c r="BY11" s="22">
        <f>+BY13+BY15</f>
        <v>14106.05</v>
      </c>
      <c r="BZ11" s="22">
        <f>+BZ13+BZ15</f>
        <v>15574.35</v>
      </c>
      <c r="CA11" s="23">
        <f>SUM(BW11:BZ11)</f>
        <v>60878.81</v>
      </c>
      <c r="CB11" s="22">
        <f>+CB13+CB15</f>
        <v>13064.308000000001</v>
      </c>
      <c r="CC11" s="22">
        <f>+CC13+CC15</f>
        <v>15366.806</v>
      </c>
      <c r="CD11" s="22">
        <f>+CD13+CD15</f>
        <v>15125.474</v>
      </c>
      <c r="CE11" s="22">
        <f>+CE13+CE15</f>
        <v>13409.91</v>
      </c>
      <c r="CF11" s="23">
        <f>SUM(CB11:CE11)</f>
        <v>56966.498000000007</v>
      </c>
      <c r="CJ11" s="7" t="s">
        <v>664</v>
      </c>
    </row>
    <row r="12" spans="2:92" s="97" customFormat="1" ht="12.75">
      <c r="B12" s="98"/>
      <c r="C12" s="99" t="s">
        <v>21</v>
      </c>
      <c r="D12" s="100"/>
      <c r="E12" s="99"/>
      <c r="F12" s="99"/>
      <c r="G12" s="99"/>
      <c r="H12" s="99"/>
      <c r="I12" s="100"/>
      <c r="J12" s="99"/>
      <c r="K12" s="99"/>
      <c r="L12" s="99"/>
      <c r="M12" s="99"/>
      <c r="N12" s="100"/>
      <c r="O12" s="99"/>
      <c r="P12" s="99"/>
      <c r="Q12" s="99"/>
      <c r="R12" s="99"/>
      <c r="S12" s="100"/>
      <c r="T12" s="99"/>
      <c r="U12" s="99"/>
      <c r="V12" s="99"/>
      <c r="W12" s="99"/>
      <c r="X12" s="100"/>
      <c r="Y12" s="99">
        <v>4.1000000000000002E-2</v>
      </c>
      <c r="Z12" s="99">
        <f t="shared" ref="Z12:BE12" si="12">Z11/U4-1</f>
        <v>-4.7200529610015085E-2</v>
      </c>
      <c r="AA12" s="99">
        <f t="shared" si="12"/>
        <v>4.745485519591286E-2</v>
      </c>
      <c r="AB12" s="99">
        <f t="shared" si="12"/>
        <v>-0.1775080850198304</v>
      </c>
      <c r="AC12" s="100">
        <f t="shared" si="12"/>
        <v>-4.5890317236300771E-2</v>
      </c>
      <c r="AD12" s="99">
        <f t="shared" si="12"/>
        <v>4.9715721274626423E-2</v>
      </c>
      <c r="AE12" s="99">
        <f t="shared" si="12"/>
        <v>0.1152932795060555</v>
      </c>
      <c r="AF12" s="99">
        <f t="shared" si="12"/>
        <v>5.8174523570712067E-2</v>
      </c>
      <c r="AG12" s="99">
        <f t="shared" si="12"/>
        <v>0.22218506131549609</v>
      </c>
      <c r="AH12" s="100">
        <f t="shared" si="12"/>
        <v>0.1138292855458618</v>
      </c>
      <c r="AI12" s="99">
        <f t="shared" si="12"/>
        <v>0.19739524348810877</v>
      </c>
      <c r="AJ12" s="99">
        <f t="shared" si="12"/>
        <v>0.14043607532210101</v>
      </c>
      <c r="AK12" s="99">
        <f t="shared" si="12"/>
        <v>0.1736064792758456</v>
      </c>
      <c r="AL12" s="99">
        <f t="shared" si="12"/>
        <v>1.8991773148958613E-2</v>
      </c>
      <c r="AM12" s="100">
        <f t="shared" si="12"/>
        <v>0.12729854802771734</v>
      </c>
      <c r="AN12" s="99">
        <f t="shared" si="12"/>
        <v>0.19747150997150986</v>
      </c>
      <c r="AO12" s="99">
        <f t="shared" si="12"/>
        <v>0.10783745758503693</v>
      </c>
      <c r="AP12" s="99">
        <f t="shared" si="12"/>
        <v>0.11069106305761389</v>
      </c>
      <c r="AQ12" s="99">
        <f t="shared" si="12"/>
        <v>4.5752155860747656E-3</v>
      </c>
      <c r="AR12" s="100">
        <f t="shared" si="12"/>
        <v>0.10276775705696539</v>
      </c>
      <c r="AS12" s="99">
        <f t="shared" si="12"/>
        <v>0.11510489510489519</v>
      </c>
      <c r="AT12" s="99">
        <f t="shared" si="12"/>
        <v>0.158371040723982</v>
      </c>
      <c r="AU12" s="236">
        <f t="shared" si="12"/>
        <v>0.18100701083492665</v>
      </c>
      <c r="AV12" s="99">
        <f t="shared" si="12"/>
        <v>0.35414356984478945</v>
      </c>
      <c r="AW12" s="100">
        <f t="shared" si="12"/>
        <v>0.20178619848156187</v>
      </c>
      <c r="AX12" s="99">
        <f t="shared" si="12"/>
        <v>8.1483679525222508E-2</v>
      </c>
      <c r="AY12" s="99">
        <f t="shared" si="12"/>
        <v>-2.5297703834539331E-2</v>
      </c>
      <c r="AZ12" s="99">
        <f t="shared" si="12"/>
        <v>-4.4154540893125427E-3</v>
      </c>
      <c r="BA12" s="99">
        <f t="shared" si="12"/>
        <v>2.7384230287859745E-2</v>
      </c>
      <c r="BB12" s="100">
        <f t="shared" si="12"/>
        <v>1.867951444028737E-2</v>
      </c>
      <c r="BC12" s="99">
        <f t="shared" si="12"/>
        <v>0</v>
      </c>
      <c r="BD12" s="99">
        <f t="shared" si="12"/>
        <v>0.30940550651779963</v>
      </c>
      <c r="BE12" s="99">
        <f t="shared" si="12"/>
        <v>0.13113597419614953</v>
      </c>
      <c r="BF12" s="99">
        <f t="shared" ref="BF12:CF12" si="13">BF11/BA4-1</f>
        <v>0.2582107007114316</v>
      </c>
      <c r="BG12" s="100">
        <f t="shared" si="13"/>
        <v>0.17430707850027738</v>
      </c>
      <c r="BH12" s="99">
        <f t="shared" si="13"/>
        <v>-4.3159466104671584E-2</v>
      </c>
      <c r="BI12" s="99">
        <f t="shared" si="13"/>
        <v>-7.7008928571428603E-2</v>
      </c>
      <c r="BJ12" s="99">
        <f t="shared" si="13"/>
        <v>0.13076991623596501</v>
      </c>
      <c r="BK12" s="99">
        <f t="shared" si="13"/>
        <v>0.25316602765191121</v>
      </c>
      <c r="BL12" s="100">
        <f t="shared" si="13"/>
        <v>7.2387923930608666E-2</v>
      </c>
      <c r="BM12" s="99">
        <f t="shared" si="13"/>
        <v>-0.14022851374294498</v>
      </c>
      <c r="BN12" s="99">
        <f t="shared" si="13"/>
        <v>-0.17654171704957677</v>
      </c>
      <c r="BO12" s="99">
        <f t="shared" si="13"/>
        <v>-0.2144292525316206</v>
      </c>
      <c r="BP12" s="99">
        <f t="shared" si="13"/>
        <v>-0.33944001483404418</v>
      </c>
      <c r="BQ12" s="100">
        <f t="shared" si="13"/>
        <v>-0.23084277231675077</v>
      </c>
      <c r="BR12" s="99">
        <f t="shared" si="13"/>
        <v>-0.15045845119282697</v>
      </c>
      <c r="BS12" s="99">
        <f t="shared" si="13"/>
        <v>1.7532452276064481E-2</v>
      </c>
      <c r="BT12" s="99">
        <f t="shared" si="13"/>
        <v>0.13723228168731505</v>
      </c>
      <c r="BU12" s="99">
        <f t="shared" si="13"/>
        <v>0.11335814486115114</v>
      </c>
      <c r="BV12" s="100">
        <f t="shared" si="13"/>
        <v>3.0003143622546524E-2</v>
      </c>
      <c r="BW12" s="99">
        <f t="shared" si="13"/>
        <v>-4.1262974619969195E-2</v>
      </c>
      <c r="BX12" s="99">
        <f t="shared" si="13"/>
        <v>-4.1036696205407841E-2</v>
      </c>
      <c r="BY12" s="99">
        <f t="shared" si="13"/>
        <v>-0.3778481012658228</v>
      </c>
      <c r="BZ12" s="99">
        <f t="shared" si="13"/>
        <v>-0.19060648581228556</v>
      </c>
      <c r="CA12" s="100">
        <f t="shared" si="13"/>
        <v>-0.18230792994143885</v>
      </c>
      <c r="CB12" s="99">
        <f t="shared" si="13"/>
        <v>-8.7485349400215906E-2</v>
      </c>
      <c r="CC12" s="99">
        <f t="shared" si="13"/>
        <v>-8.9729936575879354E-2</v>
      </c>
      <c r="CD12" s="99">
        <f t="shared" si="13"/>
        <v>7.226856561546291E-2</v>
      </c>
      <c r="CE12" s="99">
        <f t="shared" si="13"/>
        <v>-0.13897466025869465</v>
      </c>
      <c r="CF12" s="100">
        <f t="shared" si="13"/>
        <v>-6.4263936827937074E-2</v>
      </c>
      <c r="CI12" s="76"/>
      <c r="CJ12" s="805">
        <v>2019</v>
      </c>
      <c r="CK12" s="76"/>
      <c r="CL12" s="76"/>
      <c r="CM12" s="76"/>
      <c r="CN12" s="76"/>
    </row>
    <row r="13" spans="2:92" s="10" customFormat="1" ht="12.75">
      <c r="B13" s="11"/>
      <c r="C13" s="12" t="s">
        <v>361</v>
      </c>
      <c r="D13" s="13"/>
      <c r="E13" s="12"/>
      <c r="F13" s="12"/>
      <c r="G13" s="12"/>
      <c r="H13" s="12"/>
      <c r="I13" s="13"/>
      <c r="J13" s="12"/>
      <c r="K13" s="12"/>
      <c r="L13" s="12"/>
      <c r="M13" s="12"/>
      <c r="N13" s="13"/>
      <c r="O13" s="12"/>
      <c r="P13" s="12"/>
      <c r="Q13" s="12"/>
      <c r="R13" s="12"/>
      <c r="S13" s="13"/>
      <c r="T13" s="12"/>
      <c r="U13" s="12"/>
      <c r="V13" s="12"/>
      <c r="W13" s="12"/>
      <c r="X13" s="13"/>
      <c r="Y13" s="12">
        <f>Y11-Y15</f>
        <v>6488.7019999999993</v>
      </c>
      <c r="Z13" s="12">
        <f>Z11-Z15</f>
        <v>7480.8579999999947</v>
      </c>
      <c r="AA13" s="12">
        <f>AA11-AA15</f>
        <v>7596.1280000000115</v>
      </c>
      <c r="AB13" s="12">
        <f>AB11-AB15</f>
        <v>7687.5630000000074</v>
      </c>
      <c r="AC13" s="23">
        <f>SUM(Y13:AB13)</f>
        <v>29253.251000000011</v>
      </c>
      <c r="AD13" s="12">
        <f>8100-891</f>
        <v>7209</v>
      </c>
      <c r="AE13" s="12">
        <f>9621-687</f>
        <v>8934</v>
      </c>
      <c r="AF13" s="12">
        <f>10126-1000</f>
        <v>9126</v>
      </c>
      <c r="AG13" s="12">
        <f>AH13-AF13-AE13-AD13</f>
        <v>10454</v>
      </c>
      <c r="AH13" s="23">
        <f>38774-3051</f>
        <v>35723</v>
      </c>
      <c r="AI13" s="12">
        <f>AI7</f>
        <v>10137</v>
      </c>
      <c r="AJ13" s="12">
        <f>AJ7</f>
        <v>10773</v>
      </c>
      <c r="AK13" s="12">
        <f>12192-909</f>
        <v>11283</v>
      </c>
      <c r="AL13" s="12">
        <f>AL7</f>
        <v>10829</v>
      </c>
      <c r="AM13" s="23">
        <f>SUM(AI13:AL13)</f>
        <v>43022</v>
      </c>
      <c r="AN13" s="12">
        <f>+AN7</f>
        <v>11477</v>
      </c>
      <c r="AO13" s="12">
        <f>+AO7</f>
        <v>12356</v>
      </c>
      <c r="AP13" s="12">
        <f>+AP7</f>
        <v>13680</v>
      </c>
      <c r="AQ13" s="12">
        <f>+AQ7-AQ17</f>
        <v>11962.3</v>
      </c>
      <c r="AR13" s="23">
        <f>SUM(AN13:AQ13)</f>
        <v>49475.3</v>
      </c>
      <c r="AS13" s="12">
        <f>AS7</f>
        <v>14750</v>
      </c>
      <c r="AT13" s="12">
        <f>AT7</f>
        <v>15784</v>
      </c>
      <c r="AU13" s="12">
        <f>AU7</f>
        <v>17092</v>
      </c>
      <c r="AV13" s="12">
        <f>AV7</f>
        <v>17827</v>
      </c>
      <c r="AW13" s="23">
        <f>SUM(AS13:AV13)</f>
        <v>65453</v>
      </c>
      <c r="AX13" s="12">
        <f>AX7</f>
        <v>16574</v>
      </c>
      <c r="AY13" s="12">
        <f>AY7</f>
        <v>15354</v>
      </c>
      <c r="AZ13" s="12">
        <f>AZ7</f>
        <v>18223</v>
      </c>
      <c r="BA13" s="12">
        <f>BA7</f>
        <v>17689</v>
      </c>
      <c r="BB13" s="23">
        <f>SUM(AX13:BA13)</f>
        <v>67840</v>
      </c>
      <c r="BC13" s="12">
        <v>20689</v>
      </c>
      <c r="BD13" s="12">
        <v>19991</v>
      </c>
      <c r="BE13" s="12">
        <v>19544</v>
      </c>
      <c r="BF13" s="12">
        <f>83735-BE13-BD13-BC13</f>
        <v>23511</v>
      </c>
      <c r="BG13" s="23">
        <f>SUM(BC13:BF13)</f>
        <v>83735</v>
      </c>
      <c r="BH13" s="12">
        <v>19011</v>
      </c>
      <c r="BI13" s="12">
        <v>17983</v>
      </c>
      <c r="BJ13" s="12">
        <v>23449</v>
      </c>
      <c r="BK13" s="12">
        <f>92567-BJ13-BI13-BH13</f>
        <v>32124</v>
      </c>
      <c r="BL13" s="23">
        <f>SUM(BH13:BK13)</f>
        <v>92567</v>
      </c>
      <c r="BM13" s="12">
        <v>15951</v>
      </c>
      <c r="BN13" s="12">
        <v>14683</v>
      </c>
      <c r="BO13" s="12">
        <v>17798</v>
      </c>
      <c r="BP13" s="12">
        <f>BK7*(1+BP14)</f>
        <v>19274.399999999998</v>
      </c>
      <c r="BQ13" s="23">
        <f>SUM(BM13:BP13)</f>
        <v>67706.399999999994</v>
      </c>
      <c r="BR13" s="12">
        <f>BM7*(1+BR14)</f>
        <v>13717.86</v>
      </c>
      <c r="BS13" s="12">
        <f>BN7*(1+BS14)</f>
        <v>15123.49</v>
      </c>
      <c r="BT13" s="12">
        <v>21238</v>
      </c>
      <c r="BU13" s="12">
        <f>BP7*(1+BU14)</f>
        <v>17344.800000000003</v>
      </c>
      <c r="BV13" s="23">
        <f>SUM(BR13:BU13)</f>
        <v>67424.149999999994</v>
      </c>
      <c r="BW13" s="12">
        <f>BR7*(1+BW14)</f>
        <v>12525.119999999999</v>
      </c>
      <c r="BX13" s="12">
        <f>BS7*(1+BX14)</f>
        <v>15147.84</v>
      </c>
      <c r="BY13" s="12">
        <f>BT7*(1+BY14)</f>
        <v>12742.8</v>
      </c>
      <c r="BZ13" s="12">
        <f>BU7*(1+BZ14)</f>
        <v>14429.6</v>
      </c>
      <c r="CA13" s="23">
        <f>SUM(BW13:BZ13)</f>
        <v>54845.359999999993</v>
      </c>
      <c r="CB13" s="12">
        <f>BW7*(1+CB14)</f>
        <v>11272.608</v>
      </c>
      <c r="CC13" s="12">
        <f>BX7*(1+CC14)</f>
        <v>13633.056</v>
      </c>
      <c r="CD13" s="12">
        <f>BY7*(1+CD14)</f>
        <v>13762.224</v>
      </c>
      <c r="CE13" s="12">
        <f>BZ7*(1+CE14)</f>
        <v>12265.16</v>
      </c>
      <c r="CF13" s="23">
        <f>SUM(CB13:CE13)</f>
        <v>50933.047999999995</v>
      </c>
      <c r="CI13" s="10" t="s">
        <v>668</v>
      </c>
      <c r="CJ13" s="10" t="s">
        <v>572</v>
      </c>
      <c r="CK13" s="10" t="s">
        <v>573</v>
      </c>
      <c r="CL13" s="10" t="s">
        <v>570</v>
      </c>
      <c r="CM13" s="10" t="s">
        <v>574</v>
      </c>
    </row>
    <row r="14" spans="2:92" s="97" customFormat="1" ht="12.75">
      <c r="B14" s="98"/>
      <c r="C14" s="99" t="s">
        <v>21</v>
      </c>
      <c r="D14" s="100" t="e">
        <f>D13/#REF!-1</f>
        <v>#REF!</v>
      </c>
      <c r="E14" s="99" t="e">
        <f>E13/#REF!-1</f>
        <v>#REF!</v>
      </c>
      <c r="F14" s="99" t="e">
        <f>F13/A13-1</f>
        <v>#DIV/0!</v>
      </c>
      <c r="G14" s="99" t="e">
        <f t="shared" ref="G14:X14" si="14">G13/B13-1</f>
        <v>#DIV/0!</v>
      </c>
      <c r="H14" s="99" t="e">
        <f t="shared" si="14"/>
        <v>#VALUE!</v>
      </c>
      <c r="I14" s="100" t="e">
        <f t="shared" si="14"/>
        <v>#DIV/0!</v>
      </c>
      <c r="J14" s="99" t="e">
        <f t="shared" si="14"/>
        <v>#DIV/0!</v>
      </c>
      <c r="K14" s="99" t="e">
        <f t="shared" si="14"/>
        <v>#DIV/0!</v>
      </c>
      <c r="L14" s="99" t="e">
        <f t="shared" si="14"/>
        <v>#DIV/0!</v>
      </c>
      <c r="M14" s="99" t="e">
        <f t="shared" si="14"/>
        <v>#DIV/0!</v>
      </c>
      <c r="N14" s="100" t="e">
        <f t="shared" si="14"/>
        <v>#DIV/0!</v>
      </c>
      <c r="O14" s="99" t="e">
        <f t="shared" si="14"/>
        <v>#DIV/0!</v>
      </c>
      <c r="P14" s="99" t="e">
        <f t="shared" si="14"/>
        <v>#DIV/0!</v>
      </c>
      <c r="Q14" s="99" t="e">
        <f t="shared" si="14"/>
        <v>#DIV/0!</v>
      </c>
      <c r="R14" s="99" t="e">
        <f t="shared" si="14"/>
        <v>#DIV/0!</v>
      </c>
      <c r="S14" s="100" t="e">
        <f t="shared" si="14"/>
        <v>#DIV/0!</v>
      </c>
      <c r="T14" s="99" t="e">
        <f t="shared" si="14"/>
        <v>#DIV/0!</v>
      </c>
      <c r="U14" s="99" t="e">
        <f t="shared" si="14"/>
        <v>#DIV/0!</v>
      </c>
      <c r="V14" s="99" t="e">
        <f t="shared" si="14"/>
        <v>#DIV/0!</v>
      </c>
      <c r="W14" s="99" t="e">
        <f t="shared" si="14"/>
        <v>#DIV/0!</v>
      </c>
      <c r="X14" s="100" t="e">
        <f t="shared" si="14"/>
        <v>#DIV/0!</v>
      </c>
      <c r="Y14" s="99">
        <f t="shared" ref="Y14:AD14" si="15">Y13/T7-1</f>
        <v>3.2082392237951174E-2</v>
      </c>
      <c r="Z14" s="99">
        <f t="shared" si="15"/>
        <v>-1.0730230097858451E-2</v>
      </c>
      <c r="AA14" s="99">
        <f t="shared" si="15"/>
        <v>7.2747916960882897E-2</v>
      </c>
      <c r="AB14" s="99">
        <f t="shared" si="15"/>
        <v>-0.17016806994818579</v>
      </c>
      <c r="AC14" s="100">
        <f t="shared" si="15"/>
        <v>-3.1156819235609312E-2</v>
      </c>
      <c r="AD14" s="99">
        <f t="shared" si="15"/>
        <v>5.5645043198125688E-2</v>
      </c>
      <c r="AE14" s="99">
        <f t="shared" ref="AE14:AQ14" si="16">AE13/Z7-1</f>
        <v>0.13678585061712689</v>
      </c>
      <c r="AF14" s="99">
        <f t="shared" si="16"/>
        <v>9.8591549295774739E-2</v>
      </c>
      <c r="AG14" s="99">
        <f t="shared" si="16"/>
        <v>0.24148468457512773</v>
      </c>
      <c r="AH14" s="100">
        <f>AH13/AC7-1</f>
        <v>0.13711156473624198</v>
      </c>
      <c r="AI14" s="99">
        <f t="shared" si="16"/>
        <v>0.4061589679567208</v>
      </c>
      <c r="AJ14" s="99">
        <f t="shared" si="16"/>
        <v>0.20584284754869042</v>
      </c>
      <c r="AK14" s="99">
        <f t="shared" si="16"/>
        <v>0.23635765943458242</v>
      </c>
      <c r="AL14" s="99">
        <f t="shared" si="16"/>
        <v>3.5871436770614107E-2</v>
      </c>
      <c r="AM14" s="100">
        <f>AM13/AH7-1</f>
        <v>0.20432214539652316</v>
      </c>
      <c r="AN14" s="99">
        <f t="shared" si="16"/>
        <v>0.13218901055539112</v>
      </c>
      <c r="AO14" s="99">
        <f t="shared" si="16"/>
        <v>0.14694142764318197</v>
      </c>
      <c r="AP14" s="99">
        <f t="shared" si="16"/>
        <v>0.21244349906939641</v>
      </c>
      <c r="AQ14" s="99">
        <f t="shared" si="16"/>
        <v>0.10465416936005156</v>
      </c>
      <c r="AR14" s="100">
        <f>AR13/AM13-1</f>
        <v>0.15000000000000013</v>
      </c>
      <c r="AS14" s="99">
        <f t="shared" ref="AS14:BA14" si="17">AS13/AN7-1</f>
        <v>0.28517905375969321</v>
      </c>
      <c r="AT14" s="99">
        <f t="shared" si="17"/>
        <v>0.27743606345095495</v>
      </c>
      <c r="AU14" s="99">
        <f t="shared" si="17"/>
        <v>0.24941520467836265</v>
      </c>
      <c r="AV14" s="99">
        <f t="shared" si="17"/>
        <v>0.32110567659700617</v>
      </c>
      <c r="AW14" s="100">
        <f t="shared" si="17"/>
        <v>0.28321602917246658</v>
      </c>
      <c r="AX14" s="99">
        <f t="shared" si="17"/>
        <v>0.12366101694915255</v>
      </c>
      <c r="AY14" s="99">
        <f t="shared" si="17"/>
        <v>-2.7242777496198634E-2</v>
      </c>
      <c r="AZ14" s="99">
        <f t="shared" si="17"/>
        <v>6.617130821436934E-2</v>
      </c>
      <c r="BA14" s="99">
        <f t="shared" si="17"/>
        <v>-7.7410669209625471E-3</v>
      </c>
      <c r="BB14" s="100">
        <f>BB13/AW7-1</f>
        <v>3.6468916627198089E-2</v>
      </c>
      <c r="BC14" s="99">
        <v>0.03</v>
      </c>
      <c r="BD14" s="99">
        <v>0.03</v>
      </c>
      <c r="BE14" s="99">
        <v>0</v>
      </c>
      <c r="BF14" s="99">
        <v>0.29010999999999998</v>
      </c>
      <c r="BG14" s="100">
        <f>BG13/BB7-1</f>
        <v>0.2343012971698113</v>
      </c>
      <c r="BH14" s="99">
        <f>BH13/BC13-1</f>
        <v>-8.1105901686886805E-2</v>
      </c>
      <c r="BI14" s="236">
        <f>BI13/BD13-1</f>
        <v>-0.10044520034015303</v>
      </c>
      <c r="BJ14" s="99">
        <f>BJ13/BE13-1</f>
        <v>0.19980556692591067</v>
      </c>
      <c r="BK14" s="99">
        <f>BK13/BF13-1</f>
        <v>0.36633916039300751</v>
      </c>
      <c r="BL14" s="100">
        <f>BL13/BG7-1</f>
        <v>0.10547560757150531</v>
      </c>
      <c r="BM14" s="99">
        <f>BM13/BH13-1</f>
        <v>-0.16095944453211297</v>
      </c>
      <c r="BN14" s="99">
        <f>BN13/BI13-1</f>
        <v>-0.18350664516487791</v>
      </c>
      <c r="BO14" s="99">
        <f>BO13/BJ13-1</f>
        <v>-0.24099108703995908</v>
      </c>
      <c r="BP14" s="484">
        <v>-0.4</v>
      </c>
      <c r="BQ14" s="100">
        <f>BQ13/BL7-1</f>
        <v>-0.26856871239210522</v>
      </c>
      <c r="BR14" s="484">
        <v>-0.14000000000000001</v>
      </c>
      <c r="BS14" s="484">
        <v>0.03</v>
      </c>
      <c r="BT14" s="99">
        <f>BT13/BO13-1</f>
        <v>0.19328014383638603</v>
      </c>
      <c r="BU14" s="484">
        <v>0.1</v>
      </c>
      <c r="BV14" s="100">
        <f>BV13/BQ7-1</f>
        <v>5.0220404984423483E-2</v>
      </c>
      <c r="BW14" s="484">
        <v>-0.04</v>
      </c>
      <c r="BX14" s="484">
        <v>-0.04</v>
      </c>
      <c r="BY14" s="484">
        <v>-0.4</v>
      </c>
      <c r="BZ14" s="484">
        <v>-0.2</v>
      </c>
      <c r="CA14" s="100">
        <f>CA13/BV7-1</f>
        <v>-0.1946467746435443</v>
      </c>
      <c r="CB14" s="484">
        <v>-0.1</v>
      </c>
      <c r="CC14" s="484">
        <v>-0.1</v>
      </c>
      <c r="CD14" s="484">
        <v>0.08</v>
      </c>
      <c r="CE14" s="484">
        <v>-0.15</v>
      </c>
      <c r="CF14" s="100">
        <f>CF13/CA7-1</f>
        <v>-7.1333509343361023E-2</v>
      </c>
      <c r="CI14" s="805" t="s">
        <v>205</v>
      </c>
      <c r="CJ14" s="805">
        <v>17</v>
      </c>
      <c r="CK14" s="805">
        <v>19</v>
      </c>
      <c r="CL14" s="805">
        <v>20</v>
      </c>
      <c r="CM14" s="805">
        <v>22</v>
      </c>
      <c r="CN14" s="805">
        <f>SUM(CJ14:CM14)</f>
        <v>78</v>
      </c>
    </row>
    <row r="15" spans="2:92" s="10" customFormat="1" ht="12.75">
      <c r="B15" s="11"/>
      <c r="C15" s="12" t="s">
        <v>362</v>
      </c>
      <c r="D15" s="13"/>
      <c r="E15" s="12"/>
      <c r="F15" s="12"/>
      <c r="G15" s="12"/>
      <c r="H15" s="12"/>
      <c r="I15" s="13"/>
      <c r="J15" s="12"/>
      <c r="K15" s="12"/>
      <c r="L15" s="12"/>
      <c r="M15" s="12"/>
      <c r="N15" s="13"/>
      <c r="O15" s="12"/>
      <c r="P15" s="12"/>
      <c r="Q15" s="12"/>
      <c r="R15" s="12"/>
      <c r="S15" s="13"/>
      <c r="T15" s="12"/>
      <c r="U15" s="12"/>
      <c r="V15" s="12"/>
      <c r="W15" s="12"/>
      <c r="X15" s="13"/>
      <c r="Y15" s="12">
        <v>613</v>
      </c>
      <c r="Z15" s="12">
        <v>435</v>
      </c>
      <c r="AA15" s="12">
        <f>AA9</f>
        <v>397</v>
      </c>
      <c r="AB15" s="12">
        <f>AB9</f>
        <v>400</v>
      </c>
      <c r="AC15" s="23">
        <f>SUM(Y15:AB15)</f>
        <v>1845</v>
      </c>
      <c r="AD15" s="12">
        <f>AD9</f>
        <v>730</v>
      </c>
      <c r="AE15" s="12">
        <f>AE9</f>
        <v>459</v>
      </c>
      <c r="AF15" s="12">
        <f>AF9</f>
        <v>369</v>
      </c>
      <c r="AG15" s="12">
        <f>AH15-AF15-AE15-AD15</f>
        <v>509</v>
      </c>
      <c r="AH15" s="23">
        <v>2067</v>
      </c>
      <c r="AI15" s="12">
        <f>AI9</f>
        <v>436</v>
      </c>
      <c r="AJ15" s="12">
        <f>AJ9</f>
        <v>734</v>
      </c>
      <c r="AK15" s="12">
        <f>AK9</f>
        <v>1034</v>
      </c>
      <c r="AL15" s="12">
        <f>AL9</f>
        <v>814</v>
      </c>
      <c r="AM15" s="23">
        <f>SUM(AI15:AL15)</f>
        <v>3018</v>
      </c>
      <c r="AN15" s="12">
        <f>+AN9</f>
        <v>1973</v>
      </c>
      <c r="AO15" s="12">
        <f>AO9</f>
        <v>1030</v>
      </c>
      <c r="AP15" s="12">
        <f>AP9</f>
        <v>1010</v>
      </c>
      <c r="AQ15" s="12">
        <f>AQ9</f>
        <v>619</v>
      </c>
      <c r="AR15" s="23">
        <f>SUM(AN15:AQ15)</f>
        <v>4632</v>
      </c>
      <c r="AS15" s="12">
        <f>AS9</f>
        <v>1196</v>
      </c>
      <c r="AT15" s="12">
        <f>AT9</f>
        <v>1112</v>
      </c>
      <c r="AU15" s="12">
        <f>AU9</f>
        <v>1438</v>
      </c>
      <c r="AV15" s="12">
        <f>AV9</f>
        <v>1716</v>
      </c>
      <c r="AW15" s="23">
        <f>SUM(AS15:AV15)</f>
        <v>5462</v>
      </c>
      <c r="AX15" s="12">
        <f>AX9</f>
        <v>1649</v>
      </c>
      <c r="AY15" s="12">
        <f>AY9</f>
        <v>1753</v>
      </c>
      <c r="AZ15" s="12">
        <f>AZ9</f>
        <v>1619</v>
      </c>
      <c r="BA15" s="12">
        <f>BA9</f>
        <v>2833</v>
      </c>
      <c r="BB15" s="23">
        <f>SUM(AX15:BA15)</f>
        <v>7854</v>
      </c>
      <c r="BC15" s="12">
        <v>2087</v>
      </c>
      <c r="BD15" s="12">
        <v>2409</v>
      </c>
      <c r="BE15" s="12">
        <v>2900</v>
      </c>
      <c r="BF15" s="12">
        <f>9706-BE15-BD15-BC15</f>
        <v>2310</v>
      </c>
      <c r="BG15" s="23">
        <f>SUM(BC15:BF15)</f>
        <v>9706</v>
      </c>
      <c r="BH15" s="12">
        <v>2782</v>
      </c>
      <c r="BI15" s="12">
        <v>2692</v>
      </c>
      <c r="BJ15" s="12">
        <v>1930</v>
      </c>
      <c r="BK15" s="12">
        <f>7638-BJ15-BI15-BH15</f>
        <v>234</v>
      </c>
      <c r="BL15" s="23">
        <f>SUM(BH15:BK15)</f>
        <v>7638</v>
      </c>
      <c r="BM15" s="12">
        <v>2786</v>
      </c>
      <c r="BN15" s="12">
        <v>2342</v>
      </c>
      <c r="BO15" s="12">
        <v>2139</v>
      </c>
      <c r="BP15" s="12">
        <v>2100</v>
      </c>
      <c r="BQ15" s="23">
        <f>SUM(BM15:BP15)</f>
        <v>9367</v>
      </c>
      <c r="BR15" s="12">
        <v>2200</v>
      </c>
      <c r="BS15" s="12">
        <v>2200</v>
      </c>
      <c r="BT15" s="12">
        <v>1435</v>
      </c>
      <c r="BU15" s="12">
        <v>2100</v>
      </c>
      <c r="BV15" s="23">
        <f>SUM(BR15:BU15)</f>
        <v>7935</v>
      </c>
      <c r="BW15" s="12">
        <f>BR9*(1+BW16)</f>
        <v>1791.6999999999998</v>
      </c>
      <c r="BX15" s="12">
        <f>BS9*(1+BX16)</f>
        <v>1733.75</v>
      </c>
      <c r="BY15" s="12">
        <f>BT9*(1+BY16)</f>
        <v>1363.25</v>
      </c>
      <c r="BZ15" s="12">
        <f>BU9*(1+BZ16)</f>
        <v>1144.75</v>
      </c>
      <c r="CA15" s="23">
        <f>SUM(BW15:BZ15)</f>
        <v>6033.45</v>
      </c>
      <c r="CB15" s="12">
        <f>BW9*(1+CB16)</f>
        <v>1791.6999999999998</v>
      </c>
      <c r="CC15" s="12">
        <f>BX9*(1+CC16)</f>
        <v>1733.75</v>
      </c>
      <c r="CD15" s="12">
        <f>BY9*(1+CD16)</f>
        <v>1363.25</v>
      </c>
      <c r="CE15" s="12">
        <f>BZ9*(1+CE16)</f>
        <v>1144.75</v>
      </c>
      <c r="CF15" s="23">
        <f>SUM(CB15:CE15)</f>
        <v>6033.45</v>
      </c>
      <c r="CI15" s="807" t="s">
        <v>665</v>
      </c>
      <c r="CJ15" s="807">
        <f>0.17*CJ14</f>
        <v>2.89</v>
      </c>
      <c r="CK15" s="807">
        <f>0.17*CK14</f>
        <v>3.2300000000000004</v>
      </c>
      <c r="CL15" s="807">
        <f>0.17*CL14</f>
        <v>3.4000000000000004</v>
      </c>
      <c r="CM15" s="807">
        <f>0.17*CM14</f>
        <v>3.74</v>
      </c>
      <c r="CN15" s="807">
        <f>0.17*CN14</f>
        <v>13.260000000000002</v>
      </c>
    </row>
    <row r="16" spans="2:92" s="97" customFormat="1" ht="12.75">
      <c r="B16" s="98"/>
      <c r="C16" s="99" t="s">
        <v>21</v>
      </c>
      <c r="D16" s="100" t="e">
        <f>D15/#REF!-1</f>
        <v>#REF!</v>
      </c>
      <c r="E16" s="99" t="e">
        <f>E15/#REF!-1</f>
        <v>#REF!</v>
      </c>
      <c r="F16" s="99" t="e">
        <f>F15/A15-1</f>
        <v>#DIV/0!</v>
      </c>
      <c r="G16" s="99" t="e">
        <f t="shared" ref="G16:Y16" si="18">G15/B15-1</f>
        <v>#DIV/0!</v>
      </c>
      <c r="H16" s="99" t="e">
        <f t="shared" si="18"/>
        <v>#VALUE!</v>
      </c>
      <c r="I16" s="100" t="e">
        <f t="shared" si="18"/>
        <v>#DIV/0!</v>
      </c>
      <c r="J16" s="99" t="e">
        <f t="shared" si="18"/>
        <v>#DIV/0!</v>
      </c>
      <c r="K16" s="99" t="e">
        <f t="shared" si="18"/>
        <v>#DIV/0!</v>
      </c>
      <c r="L16" s="99" t="e">
        <f t="shared" si="18"/>
        <v>#DIV/0!</v>
      </c>
      <c r="M16" s="99" t="e">
        <f t="shared" si="18"/>
        <v>#DIV/0!</v>
      </c>
      <c r="N16" s="100" t="e">
        <f t="shared" si="18"/>
        <v>#DIV/0!</v>
      </c>
      <c r="O16" s="99" t="e">
        <f t="shared" si="18"/>
        <v>#DIV/0!</v>
      </c>
      <c r="P16" s="99" t="e">
        <f t="shared" si="18"/>
        <v>#DIV/0!</v>
      </c>
      <c r="Q16" s="99" t="e">
        <f t="shared" si="18"/>
        <v>#DIV/0!</v>
      </c>
      <c r="R16" s="99" t="e">
        <f t="shared" si="18"/>
        <v>#DIV/0!</v>
      </c>
      <c r="S16" s="100" t="e">
        <f t="shared" si="18"/>
        <v>#DIV/0!</v>
      </c>
      <c r="T16" s="99" t="e">
        <f t="shared" si="18"/>
        <v>#DIV/0!</v>
      </c>
      <c r="U16" s="99" t="e">
        <f t="shared" si="18"/>
        <v>#DIV/0!</v>
      </c>
      <c r="V16" s="99" t="e">
        <f t="shared" si="18"/>
        <v>#DIV/0!</v>
      </c>
      <c r="W16" s="99" t="e">
        <f t="shared" si="18"/>
        <v>#DIV/0!</v>
      </c>
      <c r="X16" s="100" t="e">
        <f t="shared" si="18"/>
        <v>#DIV/0!</v>
      </c>
      <c r="Y16" s="99" t="e">
        <f t="shared" si="18"/>
        <v>#DIV/0!</v>
      </c>
      <c r="Z16" s="99">
        <f t="shared" ref="Z16:BE16" si="19">Z15/U9-1</f>
        <v>-0.41689008042895437</v>
      </c>
      <c r="AA16" s="99">
        <f t="shared" si="19"/>
        <v>-0.2781818181818182</v>
      </c>
      <c r="AB16" s="99">
        <f t="shared" si="19"/>
        <v>-0.29701230228470998</v>
      </c>
      <c r="AC16" s="100">
        <f t="shared" si="19"/>
        <v>-0.23124999999999996</v>
      </c>
      <c r="AD16" s="99">
        <f t="shared" si="19"/>
        <v>0.19086460032626418</v>
      </c>
      <c r="AE16" s="99">
        <f t="shared" si="19"/>
        <v>5.5172413793103559E-2</v>
      </c>
      <c r="AF16" s="99">
        <f t="shared" si="19"/>
        <v>-7.0528967254408048E-2</v>
      </c>
      <c r="AG16" s="99">
        <f t="shared" si="19"/>
        <v>0.27249999999999996</v>
      </c>
      <c r="AH16" s="100">
        <f t="shared" si="19"/>
        <v>0.12032520325203255</v>
      </c>
      <c r="AI16" s="99">
        <f t="shared" si="19"/>
        <v>-0.40273972602739727</v>
      </c>
      <c r="AJ16" s="99">
        <f t="shared" si="19"/>
        <v>0.59912854030501084</v>
      </c>
      <c r="AK16" s="99">
        <f t="shared" si="19"/>
        <v>1.8021680216802167</v>
      </c>
      <c r="AL16" s="99">
        <f t="shared" si="19"/>
        <v>0.59921414538310414</v>
      </c>
      <c r="AM16" s="100">
        <f t="shared" si="19"/>
        <v>0.46008708272859211</v>
      </c>
      <c r="AN16" s="99">
        <f t="shared" si="19"/>
        <v>3.5252293577981648</v>
      </c>
      <c r="AO16" s="99">
        <f t="shared" si="19"/>
        <v>0.40326975476839233</v>
      </c>
      <c r="AP16" s="99">
        <f t="shared" si="19"/>
        <v>-2.3210831721469982E-2</v>
      </c>
      <c r="AQ16" s="99">
        <f t="shared" si="19"/>
        <v>-0.23955773955773951</v>
      </c>
      <c r="AR16" s="100">
        <f t="shared" si="19"/>
        <v>0.53479125248508952</v>
      </c>
      <c r="AS16" s="99">
        <f t="shared" si="19"/>
        <v>-0.39381652306132797</v>
      </c>
      <c r="AT16" s="99">
        <f t="shared" si="19"/>
        <v>7.9611650485436947E-2</v>
      </c>
      <c r="AU16" s="236">
        <f t="shared" si="19"/>
        <v>0.42376237623762369</v>
      </c>
      <c r="AV16" s="99">
        <f t="shared" si="19"/>
        <v>1.7722132471728593</v>
      </c>
      <c r="AW16" s="100">
        <f t="shared" si="19"/>
        <v>0.17918825561312612</v>
      </c>
      <c r="AX16" s="99">
        <f t="shared" si="19"/>
        <v>0.37876254180602009</v>
      </c>
      <c r="AY16" s="99">
        <f t="shared" si="19"/>
        <v>0.57643884892086339</v>
      </c>
      <c r="AZ16" s="99">
        <f t="shared" si="19"/>
        <v>0.12586926286509037</v>
      </c>
      <c r="BA16" s="99">
        <f t="shared" si="19"/>
        <v>0.6509324009324009</v>
      </c>
      <c r="BB16" s="100">
        <f t="shared" si="19"/>
        <v>0.43793482240937376</v>
      </c>
      <c r="BC16" s="99">
        <f t="shared" si="19"/>
        <v>0.26561552456033954</v>
      </c>
      <c r="BD16" s="99">
        <f t="shared" si="19"/>
        <v>0.37421563034797489</v>
      </c>
      <c r="BE16" s="99">
        <f t="shared" si="19"/>
        <v>0.79122915379864112</v>
      </c>
      <c r="BF16" s="99">
        <f t="shared" ref="BF16:BV16" si="20">BF15/BA9-1</f>
        <v>-0.18460995411224845</v>
      </c>
      <c r="BG16" s="100">
        <f t="shared" si="20"/>
        <v>0.23580341227400048</v>
      </c>
      <c r="BH16" s="99">
        <f t="shared" si="20"/>
        <v>0.33301389554384286</v>
      </c>
      <c r="BI16" s="99">
        <f t="shared" si="20"/>
        <v>0.11747613117476141</v>
      </c>
      <c r="BJ16" s="99">
        <f t="shared" si="20"/>
        <v>-0.33448275862068966</v>
      </c>
      <c r="BK16" s="99">
        <f t="shared" si="20"/>
        <v>-0.89870129870129867</v>
      </c>
      <c r="BL16" s="100">
        <f t="shared" si="20"/>
        <v>-0.21306408407170818</v>
      </c>
      <c r="BM16" s="99">
        <f t="shared" si="20"/>
        <v>1.4378145219267058E-3</v>
      </c>
      <c r="BN16" s="99">
        <f t="shared" si="20"/>
        <v>-0.13001485884101038</v>
      </c>
      <c r="BO16" s="99">
        <f t="shared" si="20"/>
        <v>0.10829015544041454</v>
      </c>
      <c r="BP16" s="99">
        <f t="shared" si="20"/>
        <v>7.9743589743589745</v>
      </c>
      <c r="BQ16" s="100">
        <f t="shared" si="20"/>
        <v>0.22636815920398012</v>
      </c>
      <c r="BR16" s="99">
        <f t="shared" si="20"/>
        <v>-0.21033740129217515</v>
      </c>
      <c r="BS16" s="99">
        <f t="shared" si="20"/>
        <v>-6.0631938514090544E-2</v>
      </c>
      <c r="BT16" s="99">
        <f t="shared" si="20"/>
        <v>-0.32912575970079472</v>
      </c>
      <c r="BU16" s="99">
        <f t="shared" si="20"/>
        <v>0.23747790218031817</v>
      </c>
      <c r="BV16" s="100">
        <f t="shared" si="20"/>
        <v>-0.1147925033467202</v>
      </c>
      <c r="BW16" s="484">
        <v>-0.05</v>
      </c>
      <c r="BX16" s="484">
        <v>-0.05</v>
      </c>
      <c r="BY16" s="484">
        <v>-0.05</v>
      </c>
      <c r="BZ16" s="484">
        <v>-0.05</v>
      </c>
      <c r="CA16" s="100">
        <f>CA15/BV9-1</f>
        <v>-5.0000000000000044E-2</v>
      </c>
      <c r="CB16" s="484">
        <v>0</v>
      </c>
      <c r="CC16" s="484">
        <v>0</v>
      </c>
      <c r="CD16" s="484">
        <v>0</v>
      </c>
      <c r="CE16" s="484">
        <v>0</v>
      </c>
      <c r="CF16" s="100">
        <f>CF15/CA9-1</f>
        <v>0</v>
      </c>
      <c r="CI16" s="805" t="s">
        <v>666</v>
      </c>
      <c r="CJ16" s="805">
        <f>0.3*CJ14</f>
        <v>5.0999999999999996</v>
      </c>
      <c r="CK16" s="805">
        <f>0.3*CK14</f>
        <v>5.7</v>
      </c>
      <c r="CL16" s="805">
        <f>0.3*CL14</f>
        <v>6</v>
      </c>
      <c r="CM16" s="805">
        <f>0.3*CM14</f>
        <v>6.6</v>
      </c>
      <c r="CN16" s="805">
        <f>0.3*CN14</f>
        <v>23.4</v>
      </c>
    </row>
    <row r="17" spans="2:92" s="7" customFormat="1" ht="12.75">
      <c r="B17" s="11"/>
      <c r="C17" s="12" t="s">
        <v>360</v>
      </c>
      <c r="D17" s="9"/>
      <c r="I17" s="9"/>
      <c r="N17" s="9"/>
      <c r="S17" s="9"/>
      <c r="X17" s="9"/>
      <c r="Y17" s="22">
        <f>Y4-Y11</f>
        <v>461.29800000000068</v>
      </c>
      <c r="Z17" s="22">
        <f>Z97-Z77-Z61-Z33</f>
        <v>506.14200000000528</v>
      </c>
      <c r="AA17" s="22">
        <f>AA97-AA77-AA61-AA33</f>
        <v>1012.7519999999895</v>
      </c>
      <c r="AB17" s="7">
        <f>400+333</f>
        <v>733</v>
      </c>
      <c r="AC17" s="23">
        <f>SUM(Y17:AB17)</f>
        <v>2713.1919999999955</v>
      </c>
      <c r="AD17" s="7">
        <v>0</v>
      </c>
      <c r="AE17" s="7">
        <v>0</v>
      </c>
      <c r="AH17" s="23">
        <f>SUM(AD17:AG17)</f>
        <v>0</v>
      </c>
      <c r="AI17" s="7">
        <v>0</v>
      </c>
      <c r="AJ17" s="7">
        <v>0</v>
      </c>
      <c r="AK17" s="7">
        <v>0</v>
      </c>
      <c r="AL17" s="7">
        <v>0</v>
      </c>
      <c r="AM17" s="23">
        <f>SUM(AI17:AL17)</f>
        <v>0</v>
      </c>
      <c r="AN17" s="7">
        <v>0</v>
      </c>
      <c r="AO17" s="7">
        <v>0</v>
      </c>
      <c r="AP17" s="7">
        <v>0</v>
      </c>
      <c r="AQ17" s="22">
        <v>1531.7</v>
      </c>
      <c r="AR17" s="23">
        <f>SUM(AN17:AQ17)</f>
        <v>1531.7</v>
      </c>
      <c r="AS17" s="12">
        <v>3508</v>
      </c>
      <c r="AT17" s="12">
        <v>3040</v>
      </c>
      <c r="AU17" s="60">
        <v>3781</v>
      </c>
      <c r="AV17" s="837">
        <v>0</v>
      </c>
      <c r="AW17" s="23">
        <f>SUM(AS17:AV17)</f>
        <v>10329</v>
      </c>
      <c r="AX17" s="12"/>
      <c r="AY17" s="12"/>
      <c r="AZ17" s="12"/>
      <c r="BA17" s="35"/>
      <c r="BB17" s="23">
        <f>SUM(AX17:BA17)</f>
        <v>0</v>
      </c>
      <c r="BC17" s="12"/>
      <c r="BD17" s="12"/>
      <c r="BE17" s="12"/>
      <c r="BF17" s="35"/>
      <c r="BG17" s="23">
        <f>SUM(BC17:BF17)</f>
        <v>0</v>
      </c>
      <c r="BH17" s="12"/>
      <c r="BI17" s="12">
        <v>0</v>
      </c>
      <c r="BJ17" s="12"/>
      <c r="BK17" s="35"/>
      <c r="BL17" s="23">
        <f>SUM(BH17:BK17)</f>
        <v>0</v>
      </c>
      <c r="BM17" s="12"/>
      <c r="BN17" s="12"/>
      <c r="BO17" s="12"/>
      <c r="BP17" s="35"/>
      <c r="BQ17" s="23">
        <f>SUM(BM17:BP17)</f>
        <v>0</v>
      </c>
      <c r="BR17" s="12"/>
      <c r="BS17" s="12"/>
      <c r="BT17" s="12"/>
      <c r="BU17" s="35"/>
      <c r="BV17" s="23">
        <f>SUM(BR17:BU17)</f>
        <v>0</v>
      </c>
      <c r="BW17" s="12"/>
      <c r="BX17" s="12"/>
      <c r="BY17" s="12"/>
      <c r="BZ17" s="35"/>
      <c r="CA17" s="23">
        <f>SUM(BW17:BZ17)</f>
        <v>0</v>
      </c>
      <c r="CB17" s="12"/>
      <c r="CC17" s="12"/>
      <c r="CD17" s="12"/>
      <c r="CE17" s="35"/>
      <c r="CF17" s="23">
        <f>SUM(CB17:CE17)</f>
        <v>0</v>
      </c>
      <c r="CI17" s="807" t="s">
        <v>464</v>
      </c>
      <c r="CJ17" s="7">
        <f>0.1*CJ14</f>
        <v>1.7000000000000002</v>
      </c>
      <c r="CK17" s="7">
        <f>0.1*CK14</f>
        <v>1.9000000000000001</v>
      </c>
      <c r="CL17" s="7">
        <f>0.1*CL14</f>
        <v>2</v>
      </c>
      <c r="CM17" s="7">
        <f>0.1*CM14</f>
        <v>2.2000000000000002</v>
      </c>
      <c r="CN17" s="7">
        <f>0.1*CN14</f>
        <v>7.8000000000000007</v>
      </c>
    </row>
    <row r="18" spans="2:92" s="97" customFormat="1" ht="12.75">
      <c r="B18" s="98"/>
      <c r="C18" s="99" t="s">
        <v>21</v>
      </c>
      <c r="D18" s="100"/>
      <c r="E18" s="99"/>
      <c r="F18" s="99"/>
      <c r="G18" s="99"/>
      <c r="H18" s="99"/>
      <c r="I18" s="100"/>
      <c r="J18" s="99"/>
      <c r="K18" s="99"/>
      <c r="L18" s="99"/>
      <c r="M18" s="99"/>
      <c r="N18" s="100"/>
      <c r="O18" s="99"/>
      <c r="P18" s="99"/>
      <c r="Q18" s="99"/>
      <c r="R18" s="99"/>
      <c r="S18" s="100"/>
      <c r="T18" s="99"/>
      <c r="U18" s="99"/>
      <c r="V18" s="99"/>
      <c r="W18" s="99"/>
      <c r="X18" s="100"/>
      <c r="Y18" s="99">
        <v>0.05</v>
      </c>
      <c r="Z18" s="99">
        <f>Z17/U4</f>
        <v>6.0922243620607282E-2</v>
      </c>
      <c r="AA18" s="99">
        <f>AA17/V4</f>
        <v>0.13271550255536491</v>
      </c>
      <c r="AB18" s="99">
        <f>AB17/W4</f>
        <v>7.4544899827112779E-2</v>
      </c>
      <c r="AC18" s="100"/>
      <c r="AD18" s="99">
        <f>AD17/Y4</f>
        <v>0</v>
      </c>
      <c r="AE18" s="99">
        <f>AE17/Z4</f>
        <v>0</v>
      </c>
      <c r="AF18" s="99">
        <f>AF17/AA4</f>
        <v>0</v>
      </c>
      <c r="AG18" s="99">
        <f>AG17/AB4</f>
        <v>0</v>
      </c>
      <c r="AH18" s="100"/>
      <c r="AI18" s="99">
        <f>AI17/AD4</f>
        <v>0</v>
      </c>
      <c r="AJ18" s="99">
        <f>AJ17/AE4</f>
        <v>0</v>
      </c>
      <c r="AK18" s="99">
        <f>AK17/AF4</f>
        <v>0</v>
      </c>
      <c r="AL18" s="99">
        <f>AL17/AG4</f>
        <v>0</v>
      </c>
      <c r="AM18" s="100"/>
      <c r="AN18" s="99">
        <f>AN17/AI4</f>
        <v>0</v>
      </c>
      <c r="AO18" s="99">
        <f>AO17/AJ4</f>
        <v>0</v>
      </c>
      <c r="AP18" s="99">
        <f>AP17/AK4</f>
        <v>0</v>
      </c>
      <c r="AQ18" s="99">
        <v>0</v>
      </c>
      <c r="AR18" s="100"/>
      <c r="AS18" s="99">
        <v>0</v>
      </c>
      <c r="AT18" s="99">
        <f>AT17/AO4</f>
        <v>0.20841903194844372</v>
      </c>
      <c r="AU18" s="236">
        <f>AU17/AP4</f>
        <v>0.24098151688973868</v>
      </c>
      <c r="AV18" s="99">
        <f>AV17/AQ4</f>
        <v>0</v>
      </c>
      <c r="AW18" s="100"/>
      <c r="AX18" s="99">
        <v>0</v>
      </c>
      <c r="AY18" s="99">
        <f>AY17/AT4</f>
        <v>0</v>
      </c>
      <c r="AZ18" s="99">
        <f>AZ17/AU4</f>
        <v>0</v>
      </c>
      <c r="BA18" s="99">
        <f>BA17/AV4</f>
        <v>0</v>
      </c>
      <c r="BB18" s="100"/>
      <c r="BC18" s="99">
        <v>0</v>
      </c>
      <c r="BD18" s="99">
        <f>BD17/AY4</f>
        <v>0</v>
      </c>
      <c r="BE18" s="99">
        <f>BE17/AZ4</f>
        <v>0</v>
      </c>
      <c r="BF18" s="99">
        <f>BF17/BA4</f>
        <v>0</v>
      </c>
      <c r="BG18" s="100"/>
      <c r="BH18" s="99">
        <v>0</v>
      </c>
      <c r="BI18" s="99">
        <f>BI17/BD4</f>
        <v>0</v>
      </c>
      <c r="BJ18" s="99">
        <f>BJ17/BE4</f>
        <v>0</v>
      </c>
      <c r="BK18" s="99">
        <f>BK17/BF4</f>
        <v>0</v>
      </c>
      <c r="BL18" s="100"/>
      <c r="BM18" s="99">
        <v>0</v>
      </c>
      <c r="BN18" s="99">
        <f>BN17/BI4</f>
        <v>0</v>
      </c>
      <c r="BO18" s="99">
        <f>BO17/BJ4</f>
        <v>0</v>
      </c>
      <c r="BP18" s="99">
        <f>BP17/BK4</f>
        <v>0</v>
      </c>
      <c r="BQ18" s="100"/>
      <c r="BR18" s="99">
        <v>0</v>
      </c>
      <c r="BS18" s="99">
        <f>BS17/BN4</f>
        <v>0</v>
      </c>
      <c r="BT18" s="99">
        <f>BT17/BO4</f>
        <v>0</v>
      </c>
      <c r="BU18" s="99">
        <f>BU17/BP4</f>
        <v>0</v>
      </c>
      <c r="BV18" s="100"/>
      <c r="BW18" s="99">
        <v>0</v>
      </c>
      <c r="BX18" s="99">
        <f>BX17/BS4</f>
        <v>0</v>
      </c>
      <c r="BY18" s="99">
        <f>BY17/BT4</f>
        <v>0</v>
      </c>
      <c r="BZ18" s="99">
        <f>BZ17/BU4</f>
        <v>0</v>
      </c>
      <c r="CA18" s="100"/>
      <c r="CB18" s="99">
        <v>0</v>
      </c>
      <c r="CC18" s="99">
        <f>CC17/BX4</f>
        <v>0</v>
      </c>
      <c r="CD18" s="99">
        <f>CD17/BY4</f>
        <v>0</v>
      </c>
      <c r="CE18" s="99">
        <f>CE17/BZ4</f>
        <v>0</v>
      </c>
      <c r="CF18" s="100"/>
      <c r="CI18" s="805" t="s">
        <v>667</v>
      </c>
      <c r="CJ18" s="805">
        <f>0.43*CJ14</f>
        <v>7.31</v>
      </c>
      <c r="CK18" s="805">
        <f>0.43*CK14</f>
        <v>8.17</v>
      </c>
      <c r="CL18" s="805">
        <f>0.43*CL14</f>
        <v>8.6</v>
      </c>
      <c r="CM18" s="805">
        <f>0.43*CM14</f>
        <v>9.4599999999999991</v>
      </c>
      <c r="CN18" s="805">
        <f>0.43*CN14</f>
        <v>33.54</v>
      </c>
    </row>
    <row r="19" spans="2:92" s="181" customFormat="1" ht="12.75">
      <c r="B19" s="98"/>
      <c r="C19" s="99" t="s">
        <v>356</v>
      </c>
      <c r="D19" s="808"/>
      <c r="I19" s="808"/>
      <c r="J19" s="99">
        <f t="shared" ref="J19:AC19" si="21">J4/E4-1</f>
        <v>0.28521926156052091</v>
      </c>
      <c r="K19" s="99">
        <f t="shared" si="21"/>
        <v>-0.16740865182696341</v>
      </c>
      <c r="L19" s="99">
        <f t="shared" si="21"/>
        <v>-0.10596201195919808</v>
      </c>
      <c r="M19" s="99">
        <f t="shared" si="21"/>
        <v>0.14750101584721653</v>
      </c>
      <c r="N19" s="100">
        <f t="shared" si="21"/>
        <v>1.5449505905037464E-2</v>
      </c>
      <c r="O19" s="99">
        <f t="shared" si="21"/>
        <v>-0.21448493863889917</v>
      </c>
      <c r="P19" s="99">
        <f t="shared" si="21"/>
        <v>-0.11874495560936238</v>
      </c>
      <c r="Q19" s="99">
        <f t="shared" si="21"/>
        <v>-8.9210189829841635E-2</v>
      </c>
      <c r="R19" s="99">
        <f t="shared" si="21"/>
        <v>-0.25026558073654392</v>
      </c>
      <c r="S19" s="100">
        <f t="shared" si="21"/>
        <v>-0.17132277895136594</v>
      </c>
      <c r="T19" s="99">
        <f t="shared" si="21"/>
        <v>-0.19256716771215532</v>
      </c>
      <c r="U19" s="99">
        <f t="shared" si="21"/>
        <v>-4.8883800801373778E-2</v>
      </c>
      <c r="V19" s="99">
        <f t="shared" si="21"/>
        <v>-0.17591792656587468</v>
      </c>
      <c r="W19" s="99">
        <f t="shared" si="21"/>
        <v>0.16105797614830553</v>
      </c>
      <c r="X19" s="100">
        <f t="shared" si="21"/>
        <v>-6.6422249591842619E-2</v>
      </c>
      <c r="Y19" s="99">
        <f t="shared" si="21"/>
        <v>0.10861917326297266</v>
      </c>
      <c r="Z19" s="99">
        <f t="shared" si="21"/>
        <v>1.3721714010592301E-2</v>
      </c>
      <c r="AA19" s="99">
        <f t="shared" si="21"/>
        <v>0.17586161708819281</v>
      </c>
      <c r="AB19" s="99">
        <f t="shared" si="21"/>
        <v>-8.7765686972439694E-2</v>
      </c>
      <c r="AC19" s="100">
        <f t="shared" si="21"/>
        <v>4.0927778118672098E-2</v>
      </c>
      <c r="AD19" s="99">
        <f t="shared" ref="AD19:BI19" si="22">AD4/Y4-1</f>
        <v>0.16752611397593542</v>
      </c>
      <c r="AE19" s="99">
        <f t="shared" si="22"/>
        <v>0.19805271906910482</v>
      </c>
      <c r="AF19" s="99">
        <f t="shared" si="22"/>
        <v>0.16961997102418369</v>
      </c>
      <c r="AG19" s="99">
        <f t="shared" si="22"/>
        <v>0.2738015607580826</v>
      </c>
      <c r="AH19" s="100">
        <f t="shared" si="22"/>
        <v>0.20375501061070511</v>
      </c>
      <c r="AI19" s="99">
        <f t="shared" si="22"/>
        <v>0.27202718006795013</v>
      </c>
      <c r="AJ19" s="99">
        <f t="shared" si="22"/>
        <v>0.19752229930624376</v>
      </c>
      <c r="AK19" s="99">
        <f t="shared" si="22"/>
        <v>0.26021915197713197</v>
      </c>
      <c r="AL19" s="99">
        <f t="shared" si="22"/>
        <v>9.609662173989153E-2</v>
      </c>
      <c r="AM19" s="100">
        <f t="shared" si="22"/>
        <v>0.20136627408731411</v>
      </c>
      <c r="AN19" s="99">
        <f t="shared" si="22"/>
        <v>0.27314814814814814</v>
      </c>
      <c r="AO19" s="99">
        <f t="shared" si="22"/>
        <v>0.20715054208391948</v>
      </c>
      <c r="AP19" s="99">
        <f t="shared" si="22"/>
        <v>0.1862997126871313</v>
      </c>
      <c r="AQ19" s="99">
        <f t="shared" si="22"/>
        <v>0.15234749281379756</v>
      </c>
      <c r="AR19" s="100">
        <f t="shared" si="22"/>
        <v>0.20264954651992251</v>
      </c>
      <c r="AS19" s="99">
        <f t="shared" si="22"/>
        <v>0.17832167832167833</v>
      </c>
      <c r="AT19" s="99">
        <f t="shared" si="22"/>
        <v>0.20327711504182089</v>
      </c>
      <c r="AU19" s="236">
        <f t="shared" si="22"/>
        <v>0.27023581899298921</v>
      </c>
      <c r="AV19" s="99">
        <f t="shared" si="22"/>
        <v>0.38407705099778267</v>
      </c>
      <c r="AW19" s="100">
        <f t="shared" si="22"/>
        <v>0.25925298264642072</v>
      </c>
      <c r="AX19" s="99">
        <f t="shared" si="22"/>
        <v>8.1483679525222508E-2</v>
      </c>
      <c r="AY19" s="99">
        <f t="shared" si="22"/>
        <v>-2.5297703834539331E-2</v>
      </c>
      <c r="AZ19" s="99">
        <f t="shared" si="22"/>
        <v>-4.4154540893125427E-3</v>
      </c>
      <c r="BA19" s="99">
        <f t="shared" si="22"/>
        <v>2.7384230287859745E-2</v>
      </c>
      <c r="BB19" s="100">
        <f t="shared" si="22"/>
        <v>1.867951444028737E-2</v>
      </c>
      <c r="BC19" s="99">
        <f t="shared" si="22"/>
        <v>0.24984909180705706</v>
      </c>
      <c r="BD19" s="99">
        <f t="shared" si="22"/>
        <v>0.30940550651779963</v>
      </c>
      <c r="BE19" s="99">
        <f t="shared" si="22"/>
        <v>0.13113597419614953</v>
      </c>
      <c r="BF19" s="99">
        <f t="shared" si="22"/>
        <v>0.2582107007114316</v>
      </c>
      <c r="BG19" s="100">
        <f t="shared" si="22"/>
        <v>0.23445715644568921</v>
      </c>
      <c r="BH19" s="99">
        <f t="shared" si="22"/>
        <v>-4.3159466104671584E-2</v>
      </c>
      <c r="BI19" s="99">
        <f t="shared" si="22"/>
        <v>-7.7008928571428603E-2</v>
      </c>
      <c r="BJ19" s="99">
        <f t="shared" ref="BJ19:CF19" si="23">BJ4/BE4-1</f>
        <v>0.13076991623596501</v>
      </c>
      <c r="BK19" s="99">
        <f t="shared" si="23"/>
        <v>0.25316602765191121</v>
      </c>
      <c r="BL19" s="100">
        <f t="shared" si="23"/>
        <v>7.2387923930608666E-2</v>
      </c>
      <c r="BM19" s="99">
        <f t="shared" si="23"/>
        <v>-0.14022851374294498</v>
      </c>
      <c r="BN19" s="99">
        <f t="shared" si="23"/>
        <v>-0.17654171704957677</v>
      </c>
      <c r="BO19" s="99">
        <f t="shared" si="23"/>
        <v>-0.2144292525316206</v>
      </c>
      <c r="BP19" s="99">
        <f t="shared" si="23"/>
        <v>-0.46025712343160885</v>
      </c>
      <c r="BQ19" s="100">
        <f t="shared" si="23"/>
        <v>-0.26985679357317505</v>
      </c>
      <c r="BR19" s="99">
        <f t="shared" si="23"/>
        <v>-0.20302076106100231</v>
      </c>
      <c r="BS19" s="99">
        <f t="shared" si="23"/>
        <v>3.4008810572687231E-2</v>
      </c>
      <c r="BT19" s="99">
        <f t="shared" si="23"/>
        <v>0.13723228168731505</v>
      </c>
      <c r="BU19" s="99">
        <f t="shared" si="23"/>
        <v>0.10174634984254216</v>
      </c>
      <c r="BV19" s="100">
        <f t="shared" si="23"/>
        <v>1.7604286261002633E-2</v>
      </c>
      <c r="BW19" s="99">
        <f t="shared" si="23"/>
        <v>-4.1262974619969195E-2</v>
      </c>
      <c r="BX19" s="99">
        <f t="shared" si="23"/>
        <v>-4.1036696205407841E-2</v>
      </c>
      <c r="BY19" s="99">
        <f t="shared" si="23"/>
        <v>-0.3778481012658228</v>
      </c>
      <c r="BZ19" s="99">
        <f t="shared" si="23"/>
        <v>-0.19060648581228556</v>
      </c>
      <c r="CA19" s="100">
        <f t="shared" si="23"/>
        <v>-0.18230792994143896</v>
      </c>
      <c r="CB19" s="99">
        <f t="shared" si="23"/>
        <v>-8.7485349400215906E-2</v>
      </c>
      <c r="CC19" s="99">
        <f t="shared" si="23"/>
        <v>-8.9729936575879354E-2</v>
      </c>
      <c r="CD19" s="99">
        <f t="shared" si="23"/>
        <v>7.226856561546291E-2</v>
      </c>
      <c r="CE19" s="99">
        <f t="shared" si="23"/>
        <v>-0.13897466025869465</v>
      </c>
      <c r="CF19" s="100">
        <f t="shared" si="23"/>
        <v>-6.4263936827937296E-2</v>
      </c>
      <c r="CI19" s="7"/>
      <c r="CJ19" s="7">
        <f>SUM(CJ15:CJ18)</f>
        <v>17</v>
      </c>
      <c r="CK19" s="7">
        <f>SUM(CK15:CK18)</f>
        <v>19</v>
      </c>
      <c r="CL19" s="7">
        <f>SUM(CL15:CL18)</f>
        <v>20</v>
      </c>
      <c r="CM19" s="7">
        <f>SUM(CM15:CM18)</f>
        <v>22</v>
      </c>
      <c r="CN19" s="7"/>
    </row>
    <row r="20" spans="2:92" s="181" customFormat="1" ht="12.75">
      <c r="B20" s="98"/>
      <c r="C20" s="99" t="s">
        <v>357</v>
      </c>
      <c r="D20" s="808"/>
      <c r="F20" s="99">
        <f>F4/E4-1</f>
        <v>0.42251165013741199</v>
      </c>
      <c r="G20" s="99">
        <f>G4/F4-1</f>
        <v>-4.4771104577908449E-2</v>
      </c>
      <c r="H20" s="99">
        <f>H4/G4-1</f>
        <v>-0.13436510728104112</v>
      </c>
      <c r="I20" s="808"/>
      <c r="J20" s="99">
        <f>J4/H4-1</f>
        <v>9.2645266151970773E-2</v>
      </c>
      <c r="K20" s="99">
        <f>K4/J4-1</f>
        <v>-7.8467831907772401E-2</v>
      </c>
      <c r="L20" s="99">
        <f>L4/K4-1</f>
        <v>2.5726392251816055E-2</v>
      </c>
      <c r="M20" s="99">
        <f>M4/L4-1</f>
        <v>0.11104553949050855</v>
      </c>
      <c r="N20" s="808"/>
      <c r="O20" s="99">
        <f>O4/M4-1</f>
        <v>-0.25203611898016998</v>
      </c>
      <c r="P20" s="99">
        <f>P4/O4-1</f>
        <v>3.3850159782222722E-2</v>
      </c>
      <c r="Q20" s="99">
        <f>Q4/P4-1</f>
        <v>6.0103033772180847E-2</v>
      </c>
      <c r="R20" s="99">
        <f>R4/Q4-1</f>
        <v>-8.5421166306695495E-2</v>
      </c>
      <c r="S20" s="808"/>
      <c r="T20" s="99">
        <f>T4/R4-1</f>
        <v>-0.19447396386822524</v>
      </c>
      <c r="U20" s="99">
        <f>U4/T4-1</f>
        <v>0.21782468484315443</v>
      </c>
      <c r="V20" s="99">
        <f>V4/U4-1</f>
        <v>-8.1487722676937935E-2</v>
      </c>
      <c r="W20" s="99">
        <f>W4/V4-1</f>
        <v>0.28855982177958328</v>
      </c>
      <c r="X20" s="808"/>
      <c r="Y20" s="99">
        <f>Y4/W4-1</f>
        <v>-0.23085528322993998</v>
      </c>
      <c r="Z20" s="99">
        <f>Z4/Y4-1</f>
        <v>0.11357926748644709</v>
      </c>
      <c r="AA20" s="99">
        <f>AA4/Z4-1</f>
        <v>6.5423889812395997E-2</v>
      </c>
      <c r="AB20" s="99">
        <f>AB4/AA4-1</f>
        <v>-3.3433634236046395E-4</v>
      </c>
      <c r="AC20" s="808"/>
      <c r="AD20" s="99">
        <f>AD4/AB4-1</f>
        <v>-1.5607580824972156E-2</v>
      </c>
      <c r="AE20" s="99">
        <f>AE4/AD4-1</f>
        <v>0.14269535673839195</v>
      </c>
      <c r="AF20" s="99">
        <f>AF4/AE4-1</f>
        <v>4.0138751238850245E-2</v>
      </c>
      <c r="AG20" s="99">
        <f>AG4/AF4-1</f>
        <v>8.870890900428785E-2</v>
      </c>
      <c r="AH20" s="808"/>
      <c r="AI20" s="99">
        <f>AI4/AG4-1</f>
        <v>-1.6978820234552772E-2</v>
      </c>
      <c r="AJ20" s="99">
        <f>AJ4/AI4-1</f>
        <v>7.5765669515669432E-2</v>
      </c>
      <c r="AK20" s="99">
        <f>AK4/AJ4-1</f>
        <v>9.4595712985185765E-2</v>
      </c>
      <c r="AL20" s="99">
        <f>AL4/AK4-1</f>
        <v>-5.3077272039921408E-2</v>
      </c>
      <c r="AM20" s="808"/>
      <c r="AN20" s="99">
        <f>AN4/AL4-1</f>
        <v>0.14180772916001283</v>
      </c>
      <c r="AO20" s="99">
        <f>AO4/AN4-1</f>
        <v>2.0000000000000018E-2</v>
      </c>
      <c r="AP20" s="99">
        <f>AP4/AO4-1</f>
        <v>7.5689016865487346E-2</v>
      </c>
      <c r="AQ20" s="99">
        <f>AQ4/AP4-1</f>
        <v>-8.0178457616316146E-2</v>
      </c>
      <c r="AR20" s="808"/>
      <c r="AS20" s="99">
        <f>AS4/AQ4-1</f>
        <v>0.16754434589800438</v>
      </c>
      <c r="AT20" s="99">
        <f>AT4/AS4-1</f>
        <v>4.1602373887240418E-2</v>
      </c>
      <c r="AU20" s="236">
        <f>AU4/AT4-1</f>
        <v>0.13554783203236287</v>
      </c>
      <c r="AV20" s="99">
        <f>AV4/AU4-1</f>
        <v>2.2579026593074758E-3</v>
      </c>
      <c r="AW20" s="808"/>
      <c r="AX20" s="99">
        <f>AX4/AV4-1</f>
        <v>-8.7709637046307853E-2</v>
      </c>
      <c r="AY20" s="99">
        <f>AY4/AX4-1</f>
        <v>-6.1241288481589162E-2</v>
      </c>
      <c r="AZ20" s="99">
        <f>AZ4/AY4-1</f>
        <v>0.15987607412170446</v>
      </c>
      <c r="BA20" s="99">
        <f>BA4/AZ4-1</f>
        <v>3.4270738836810866E-2</v>
      </c>
      <c r="BB20" s="808"/>
      <c r="BC20" s="99">
        <f>BC4/BA4-1</f>
        <v>0.10983334957606461</v>
      </c>
      <c r="BD20" s="99">
        <f>BD4/BC4-1</f>
        <v>-1.6508605549701461E-2</v>
      </c>
      <c r="BE20" s="99">
        <f>BE4/BD4-1</f>
        <v>1.9642857142856407E-3</v>
      </c>
      <c r="BF20" s="99">
        <f>BF4/BE4-1</f>
        <v>0.15046337551238631</v>
      </c>
      <c r="BG20" s="808"/>
      <c r="BH20" s="99">
        <f>BH4/BF4-1</f>
        <v>-0.1559970566593083</v>
      </c>
      <c r="BI20" s="99">
        <f>BI4/BH4-1</f>
        <v>-5.1300876428210906E-2</v>
      </c>
      <c r="BJ20" s="99">
        <f>BJ4/BI4-1</f>
        <v>0.22752116082224916</v>
      </c>
      <c r="BK20" s="99">
        <f>BK4/BJ4-1</f>
        <v>0.2749911344024587</v>
      </c>
      <c r="BL20" s="808"/>
      <c r="BM20" s="99">
        <f>BM4/BK4-1</f>
        <v>-0.42094690648371347</v>
      </c>
      <c r="BN20" s="99">
        <f>BN4/BM4-1</f>
        <v>-9.1370016544804367E-2</v>
      </c>
      <c r="BO20" s="99">
        <f>BO4/BN4-1</f>
        <v>0.17104258443465481</v>
      </c>
      <c r="BP20" s="99">
        <f>BP4/BO4-1</f>
        <v>-0.12399057029643379</v>
      </c>
      <c r="BQ20" s="808"/>
      <c r="BR20" s="99">
        <f>BR4/BP4-1</f>
        <v>-0.14497566561694819</v>
      </c>
      <c r="BS20" s="99">
        <f>BS4/BR4-1</f>
        <v>0.17886559967856419</v>
      </c>
      <c r="BT20" s="99">
        <f>BT4/BS4-1</f>
        <v>0.2879459213815041</v>
      </c>
      <c r="BU20" s="99">
        <f>BU4/BT4-1</f>
        <v>-0.15132536497155202</v>
      </c>
      <c r="BV20" s="808"/>
      <c r="BW20" s="99">
        <f>BW4/BU4-1</f>
        <v>-0.25595987943041265</v>
      </c>
      <c r="BX20" s="99">
        <f>BX4/BW4-1</f>
        <v>0.17914383221972474</v>
      </c>
      <c r="BY20" s="99">
        <f>BY4/BX4-1</f>
        <v>-0.1644122384206701</v>
      </c>
      <c r="BZ20" s="99">
        <f>BZ4/BY4-1</f>
        <v>0.10409008900436345</v>
      </c>
      <c r="CA20" s="808"/>
      <c r="CB20" s="99">
        <f>CB4/BZ4-1</f>
        <v>-0.16116512085576606</v>
      </c>
      <c r="CC20" s="99">
        <f>CC4/CB4-1</f>
        <v>0.1762433953639182</v>
      </c>
      <c r="CD20" s="99">
        <f>CD4/CC4-1</f>
        <v>-1.5704759987208772E-2</v>
      </c>
      <c r="CE20" s="99">
        <f>CE4/CD4-1</f>
        <v>-0.11342216448886167</v>
      </c>
      <c r="CF20" s="808"/>
      <c r="CI20" s="7"/>
      <c r="CJ20" s="7" t="s">
        <v>572</v>
      </c>
      <c r="CK20" s="7"/>
      <c r="CL20" s="7"/>
      <c r="CM20" s="7"/>
      <c r="CN20" s="7"/>
    </row>
    <row r="21" spans="2:92" s="181" customFormat="1" ht="12.75">
      <c r="B21" s="98"/>
      <c r="C21" s="99"/>
      <c r="D21" s="808"/>
      <c r="F21" s="99"/>
      <c r="G21" s="99"/>
      <c r="H21" s="99"/>
      <c r="I21" s="808"/>
      <c r="J21" s="99"/>
      <c r="K21" s="99"/>
      <c r="L21" s="99"/>
      <c r="M21" s="99"/>
      <c r="N21" s="808"/>
      <c r="O21" s="99"/>
      <c r="P21" s="99"/>
      <c r="Q21" s="99"/>
      <c r="R21" s="99"/>
      <c r="S21" s="808"/>
      <c r="T21" s="99"/>
      <c r="U21" s="99"/>
      <c r="V21" s="99"/>
      <c r="W21" s="99"/>
      <c r="X21" s="808"/>
      <c r="Y21" s="99"/>
      <c r="Z21" s="99"/>
      <c r="AA21" s="99"/>
      <c r="AB21" s="99"/>
      <c r="AC21" s="808"/>
      <c r="AD21" s="99"/>
      <c r="AE21" s="99"/>
      <c r="AF21" s="99"/>
      <c r="AG21" s="99"/>
      <c r="AH21" s="808"/>
      <c r="AI21" s="99"/>
      <c r="AJ21" s="99"/>
      <c r="AK21" s="99"/>
      <c r="AL21" s="99"/>
      <c r="AM21" s="808"/>
      <c r="AN21" s="99"/>
      <c r="AO21" s="99"/>
      <c r="AP21" s="99"/>
      <c r="AQ21" s="99"/>
      <c r="AR21" s="808"/>
      <c r="AS21" s="99"/>
      <c r="AT21" s="99"/>
      <c r="AU21" s="236"/>
      <c r="AV21" s="99"/>
      <c r="AW21" s="808"/>
      <c r="AX21" s="99"/>
      <c r="AY21" s="99"/>
      <c r="AZ21" s="99"/>
      <c r="BA21" s="99"/>
      <c r="BB21" s="808"/>
      <c r="BC21" s="99"/>
      <c r="BD21" s="99"/>
      <c r="BE21" s="99"/>
      <c r="BF21" s="99"/>
      <c r="BG21" s="808"/>
      <c r="BH21" s="99"/>
      <c r="BI21" s="99"/>
      <c r="BJ21" s="99"/>
      <c r="BK21" s="99"/>
      <c r="BL21" s="808"/>
      <c r="BM21" s="99"/>
      <c r="BN21" s="99"/>
      <c r="BO21" s="99"/>
      <c r="BP21" s="99"/>
      <c r="BQ21" s="808"/>
      <c r="BR21" s="99"/>
      <c r="BS21" s="99"/>
      <c r="BT21" s="1008"/>
      <c r="BU21" s="1008"/>
      <c r="BV21" s="808"/>
      <c r="BW21" s="99"/>
      <c r="BX21" s="99"/>
      <c r="BY21" s="99"/>
      <c r="BZ21" s="99"/>
      <c r="CA21" s="808"/>
      <c r="CB21" s="273"/>
      <c r="CC21" s="99"/>
      <c r="CD21" s="99"/>
      <c r="CE21" s="99"/>
      <c r="CF21" s="808"/>
      <c r="CI21" s="7"/>
      <c r="CJ21" s="7"/>
      <c r="CK21" s="7"/>
      <c r="CL21" s="7"/>
      <c r="CM21" s="7"/>
      <c r="CN21" s="7"/>
    </row>
    <row r="22" spans="2:92" s="7" customFormat="1" ht="13.15">
      <c r="B22" s="984" t="s">
        <v>49</v>
      </c>
      <c r="C22" s="170"/>
      <c r="D22" s="833">
        <f>'Income Statement'!D8</f>
        <v>10406</v>
      </c>
      <c r="E22" s="168">
        <f>'Income Statement'!E8</f>
        <v>3265</v>
      </c>
      <c r="F22" s="168">
        <f>'Income Statement'!F8</f>
        <v>3712</v>
      </c>
      <c r="G22" s="168">
        <f>'Income Statement'!G8</f>
        <v>3526</v>
      </c>
      <c r="H22" s="168">
        <f>'Income Statement'!H8</f>
        <v>3871</v>
      </c>
      <c r="I22" s="833">
        <f>'Income Statement'!I8</f>
        <v>14374</v>
      </c>
      <c r="J22" s="168">
        <f>'Income Statement'!J8</f>
        <v>3976</v>
      </c>
      <c r="K22" s="168">
        <f>'Income Statement'!K8</f>
        <v>4160</v>
      </c>
      <c r="L22" s="168">
        <f>'Income Statement'!L8</f>
        <v>4558</v>
      </c>
      <c r="M22" s="168">
        <f>'Income Statement'!M8</f>
        <v>4487</v>
      </c>
      <c r="N22" s="833">
        <f>'Income Statement'!N8</f>
        <v>17181</v>
      </c>
      <c r="O22" s="168">
        <f>'Income Statement'!O8</f>
        <v>5253</v>
      </c>
      <c r="P22" s="168">
        <f>'Income Statement'!P8</f>
        <v>5807</v>
      </c>
      <c r="Q22" s="168">
        <f>'Income Statement'!Q8</f>
        <v>6020</v>
      </c>
      <c r="R22" s="168">
        <f>'Income Statement'!R8</f>
        <v>6218</v>
      </c>
      <c r="S22" s="833">
        <f>'Income Statement'!S8</f>
        <v>23298</v>
      </c>
      <c r="T22" s="168">
        <f>'Income Statement'!T8</f>
        <v>6964</v>
      </c>
      <c r="U22" s="168">
        <f>'Income Statement'!U8</f>
        <v>7277</v>
      </c>
      <c r="V22" s="168">
        <f>'Income Statement'!V8</f>
        <v>7989</v>
      </c>
      <c r="W22" s="168">
        <f>'Income Statement'!W8</f>
        <v>8930</v>
      </c>
      <c r="X22" s="833">
        <f>'Income Statement'!X8</f>
        <v>31160</v>
      </c>
      <c r="Y22" s="168">
        <f>'Income Statement'!Y8</f>
        <v>9968</v>
      </c>
      <c r="Z22" s="168">
        <f>'Income Statement'!Z8</f>
        <v>10553</v>
      </c>
      <c r="AA22" s="168">
        <f>'Income Statement'!AA8</f>
        <v>11335</v>
      </c>
      <c r="AB22" s="168">
        <f>'Income Statement'!AB8</f>
        <v>12762</v>
      </c>
      <c r="AC22" s="835">
        <f>SUM(Y22:AB22)</f>
        <v>44618</v>
      </c>
      <c r="AD22" s="168">
        <f>'Income Statement'!AD8</f>
        <v>13473</v>
      </c>
      <c r="AE22" s="168">
        <f>'Income Statement'!AE8</f>
        <v>13863</v>
      </c>
      <c r="AF22" s="168">
        <f>'Income Statement'!AF8</f>
        <v>15214</v>
      </c>
      <c r="AG22" s="168">
        <f>'Income Statement'!AG8</f>
        <v>19314</v>
      </c>
      <c r="AH22" s="835">
        <f>SUM(AD22:AG22)</f>
        <v>61864</v>
      </c>
      <c r="AI22" s="168">
        <f>'Income Statement'!AI8</f>
        <v>20507</v>
      </c>
      <c r="AJ22" s="168">
        <f>'Income Statement'!AJ8</f>
        <v>20934</v>
      </c>
      <c r="AK22" s="168">
        <f>'Income Statement'!AK8</f>
        <v>22694</v>
      </c>
      <c r="AL22" s="168">
        <f>'Income Statement'!AL8</f>
        <v>23713</v>
      </c>
      <c r="AM22" s="835">
        <f>SUM(AI22:AL22)</f>
        <v>87848</v>
      </c>
      <c r="AN22" s="168">
        <f>'Income Statement'!AN8</f>
        <v>25288</v>
      </c>
      <c r="AO22" s="168">
        <f>'Income Statement'!AO8</f>
        <v>26949</v>
      </c>
      <c r="AP22" s="168">
        <f>'Income Statement'!AP8</f>
        <v>29036</v>
      </c>
      <c r="AQ22" s="168">
        <f>'Income Statement'!AQ8</f>
        <v>30660</v>
      </c>
      <c r="AR22" s="835">
        <f>SUM(AN22:AQ22)</f>
        <v>111933</v>
      </c>
      <c r="AS22" s="834">
        <f>AS23+AS25</f>
        <v>34089</v>
      </c>
      <c r="AT22" s="834">
        <f>AT23+AT25</f>
        <v>33968</v>
      </c>
      <c r="AU22" s="834">
        <f>AU23+AU25</f>
        <v>36869</v>
      </c>
      <c r="AV22" s="834">
        <f>AV23+AV25</f>
        <v>37778</v>
      </c>
      <c r="AW22" s="835">
        <f>SUM(AS22:AV22)</f>
        <v>142704</v>
      </c>
      <c r="AX22" s="834">
        <f>AX23+AX25</f>
        <v>40102</v>
      </c>
      <c r="AY22" s="834">
        <f>AY23+AY25</f>
        <v>40947</v>
      </c>
      <c r="AZ22" s="834">
        <f>AZ23+AZ25</f>
        <v>44840</v>
      </c>
      <c r="BA22" s="834">
        <f>BA23+BA25</f>
        <v>47621</v>
      </c>
      <c r="BB22" s="835">
        <f>SUM(AX22:BA22)</f>
        <v>173510</v>
      </c>
      <c r="BC22" s="834">
        <f>BC23+BC25</f>
        <v>49028</v>
      </c>
      <c r="BD22" s="834">
        <f>BD23+BD25</f>
        <v>53009</v>
      </c>
      <c r="BE22" s="834">
        <f>BE23+BE25</f>
        <v>58699</v>
      </c>
      <c r="BF22" s="834">
        <f>BF23+BF25</f>
        <v>59811</v>
      </c>
      <c r="BG22" s="835">
        <f>SUM(BC22:BF22)</f>
        <v>220547</v>
      </c>
      <c r="BH22" s="834">
        <f>BH23+BH25</f>
        <v>67275</v>
      </c>
      <c r="BI22" s="834">
        <f>BI23+BI25</f>
        <v>73475</v>
      </c>
      <c r="BJ22" s="834">
        <f>BJ23+BJ25</f>
        <v>75272</v>
      </c>
      <c r="BK22" s="834">
        <f>BK23+BK25</f>
        <v>80330</v>
      </c>
      <c r="BL22" s="835">
        <f>SUM(BH22:BK22)</f>
        <v>296352</v>
      </c>
      <c r="BM22" s="834">
        <f>BM23+BM25</f>
        <v>81723</v>
      </c>
      <c r="BN22" s="834">
        <f>BN23+BN25</f>
        <v>85638</v>
      </c>
      <c r="BO22" s="834">
        <f>BO23+BO25</f>
        <v>89290</v>
      </c>
      <c r="BP22" s="834">
        <f>BP23+BP25</f>
        <v>93997</v>
      </c>
      <c r="BQ22" s="835">
        <f>SUM(BM22:BP22)</f>
        <v>350648</v>
      </c>
      <c r="BR22" s="834">
        <f>BR23+BR25</f>
        <v>102479</v>
      </c>
      <c r="BS22" s="834">
        <f>BS23+BS25</f>
        <v>200786</v>
      </c>
      <c r="BT22" s="834">
        <f>BT23+BT25</f>
        <v>253693</v>
      </c>
      <c r="BU22" s="834">
        <f>BU23+BU25</f>
        <v>230155</v>
      </c>
      <c r="BV22" s="835">
        <f>SUM(BR22:BU22)</f>
        <v>787113</v>
      </c>
      <c r="BW22" s="834">
        <v>245443</v>
      </c>
      <c r="BX22" s="834">
        <f>BX23+BX25</f>
        <v>250024.99999999997</v>
      </c>
      <c r="BY22" s="834">
        <f t="shared" ref="BY22:CF22" si="24">BY23+BY25</f>
        <v>253832.50999999998</v>
      </c>
      <c r="BZ22" s="834">
        <f t="shared" si="24"/>
        <v>263864.25</v>
      </c>
      <c r="CA22" s="835">
        <f t="shared" si="24"/>
        <v>1018851.91</v>
      </c>
      <c r="CB22" s="834">
        <f t="shared" si="24"/>
        <v>270542.81100000005</v>
      </c>
      <c r="CC22" s="834">
        <f t="shared" si="24"/>
        <v>269893.42800000001</v>
      </c>
      <c r="CD22" s="834">
        <f t="shared" si="24"/>
        <v>274067.4216</v>
      </c>
      <c r="CE22" s="834">
        <f t="shared" si="24"/>
        <v>285494.22600000002</v>
      </c>
      <c r="CF22" s="835">
        <f t="shared" si="24"/>
        <v>1099997.8866000001</v>
      </c>
      <c r="CI22" s="7">
        <v>1</v>
      </c>
      <c r="CJ22" s="7">
        <f>CJ15*0.33</f>
        <v>0.9537000000000001</v>
      </c>
    </row>
    <row r="23" spans="2:92" s="1005" customFormat="1" ht="12.75">
      <c r="B23" s="999"/>
      <c r="C23" s="1000" t="s">
        <v>784</v>
      </c>
      <c r="D23" s="1001"/>
      <c r="E23" s="1000"/>
      <c r="F23" s="1000"/>
      <c r="G23" s="1000"/>
      <c r="H23" s="1000"/>
      <c r="I23" s="1001"/>
      <c r="J23" s="1000">
        <v>3895</v>
      </c>
      <c r="K23" s="1000">
        <v>4086</v>
      </c>
      <c r="L23" s="1000">
        <v>4485</v>
      </c>
      <c r="M23" s="1000">
        <f>N23-L23-K23-J23</f>
        <v>4404</v>
      </c>
      <c r="N23" s="1001">
        <v>16870</v>
      </c>
      <c r="O23" s="1000">
        <v>5174</v>
      </c>
      <c r="P23" s="1000">
        <v>5723</v>
      </c>
      <c r="Q23" s="1000">
        <v>5943</v>
      </c>
      <c r="R23" s="1000">
        <f>S23-Q23-P23-O23</f>
        <v>6135</v>
      </c>
      <c r="S23" s="1001">
        <v>22975</v>
      </c>
      <c r="T23" s="1000">
        <v>6837</v>
      </c>
      <c r="U23" s="1000">
        <v>7089</v>
      </c>
      <c r="V23" s="1000">
        <v>7800</v>
      </c>
      <c r="W23" s="1000">
        <f>X23-V23-U23-T23</f>
        <v>8674</v>
      </c>
      <c r="X23" s="1001">
        <v>30400</v>
      </c>
      <c r="Y23" s="1000">
        <v>9712</v>
      </c>
      <c r="Z23" s="1000">
        <v>10297</v>
      </c>
      <c r="AA23" s="1000">
        <v>10960</v>
      </c>
      <c r="AB23" s="1000">
        <f>+AB29+AB33</f>
        <v>12314.35</v>
      </c>
      <c r="AC23" s="1003">
        <f>SUM(Y23:AB23)</f>
        <v>43283.35</v>
      </c>
      <c r="AD23" s="1002">
        <f>+AD29+AD33</f>
        <v>12901</v>
      </c>
      <c r="AE23" s="1002">
        <f>+AE29+AE33</f>
        <v>13089</v>
      </c>
      <c r="AF23" s="1002">
        <f>+AF29+AF33</f>
        <v>14925</v>
      </c>
      <c r="AG23" s="1002">
        <f>+AG29+AG33</f>
        <v>18155</v>
      </c>
      <c r="AH23" s="1003">
        <f>SUM(AD23:AG23)</f>
        <v>59070</v>
      </c>
      <c r="AI23" s="1002">
        <f>39846-AJ23</f>
        <v>19722</v>
      </c>
      <c r="AJ23" s="1002">
        <v>20124</v>
      </c>
      <c r="AK23" s="1002">
        <f>+AK29+AK33</f>
        <v>21725</v>
      </c>
      <c r="AL23" s="1002">
        <f>+AM23-AK23-AJ23-AI23</f>
        <v>22751</v>
      </c>
      <c r="AM23" s="1003">
        <v>84322</v>
      </c>
      <c r="AN23" s="1002">
        <v>24309</v>
      </c>
      <c r="AO23" s="1002">
        <v>25733</v>
      </c>
      <c r="AP23" s="1002">
        <v>27772</v>
      </c>
      <c r="AQ23" s="1002">
        <f>AR23-AP23-AO23-AN23</f>
        <v>29276</v>
      </c>
      <c r="AR23" s="1003">
        <v>107090</v>
      </c>
      <c r="AS23" s="1002">
        <v>31985</v>
      </c>
      <c r="AT23" s="1002">
        <v>32316</v>
      </c>
      <c r="AU23" s="1002">
        <v>35169</v>
      </c>
      <c r="AV23" s="1002">
        <f>AW23-AU23-AT23-AS23</f>
        <v>36046</v>
      </c>
      <c r="AW23" s="1003">
        <v>135516</v>
      </c>
      <c r="AX23" s="1002">
        <v>38313</v>
      </c>
      <c r="AY23" s="1002">
        <v>39051</v>
      </c>
      <c r="AZ23" s="1002">
        <v>42826</v>
      </c>
      <c r="BA23" s="1002">
        <f>165651-AZ23-AY23-AX23</f>
        <v>45461</v>
      </c>
      <c r="BB23" s="1003">
        <f>SUM(AX23:BA23)</f>
        <v>165651</v>
      </c>
      <c r="BC23" s="1002">
        <f>+BC29+BC33</f>
        <v>46683</v>
      </c>
      <c r="BD23" s="1002">
        <f>+BD29+BD33</f>
        <v>50637</v>
      </c>
      <c r="BE23" s="1002">
        <f>+BE29+BE33</f>
        <v>56220</v>
      </c>
      <c r="BF23" s="1002">
        <f>+BF29+BF33</f>
        <v>57200</v>
      </c>
      <c r="BG23" s="1003">
        <f>SUM(BC23:BF23)</f>
        <v>210740</v>
      </c>
      <c r="BH23" s="1002">
        <f>+BH29+BH33</f>
        <v>64642</v>
      </c>
      <c r="BI23" s="1002">
        <f>+BI29+BI33</f>
        <v>70867</v>
      </c>
      <c r="BJ23" s="1002">
        <f>+BJ29+BJ33</f>
        <v>72398</v>
      </c>
      <c r="BK23" s="1002">
        <f>+BK29+BK33</f>
        <v>77185</v>
      </c>
      <c r="BL23" s="1003">
        <f>SUM(BH23:BK23)</f>
        <v>285092</v>
      </c>
      <c r="BM23" s="1002">
        <v>76644</v>
      </c>
      <c r="BN23" s="1002">
        <v>79128</v>
      </c>
      <c r="BO23" s="1002">
        <v>82972</v>
      </c>
      <c r="BP23" s="1002">
        <f>326284-BO23-BN23-BM23</f>
        <v>87540</v>
      </c>
      <c r="BQ23" s="1003">
        <f>SUM(BM23:BP23)</f>
        <v>326284</v>
      </c>
      <c r="BR23" s="1002">
        <v>94831</v>
      </c>
      <c r="BS23" s="1002">
        <f>199558-7870+1228</f>
        <v>192916</v>
      </c>
      <c r="BT23" s="1002">
        <f>252942-8311+751</f>
        <v>245382</v>
      </c>
      <c r="BU23" s="1002">
        <f>BV23-BT23-BS23-BR23</f>
        <v>220735</v>
      </c>
      <c r="BV23" s="1003">
        <v>753864</v>
      </c>
      <c r="BW23" s="1002">
        <f>+BW29+BW33</f>
        <v>242630.15000000002</v>
      </c>
      <c r="BX23" s="1002">
        <f>+BX29+BX33</f>
        <v>241424.99999999997</v>
      </c>
      <c r="BY23" s="1002">
        <f>+BY29+BY33</f>
        <v>245132.50999999998</v>
      </c>
      <c r="BZ23" s="1002">
        <f>+BZ29+BZ33</f>
        <v>255064.25</v>
      </c>
      <c r="CA23" s="1003">
        <f>SUM(BW23:BZ23)</f>
        <v>984251.91</v>
      </c>
      <c r="CB23" s="1002">
        <f>+CB29+CB33</f>
        <v>267542.81100000005</v>
      </c>
      <c r="CC23" s="1002">
        <f>+CC29+CC33</f>
        <v>266893.42800000001</v>
      </c>
      <c r="CD23" s="1002">
        <f>+CD29+CD33</f>
        <v>271067.4216</v>
      </c>
      <c r="CE23" s="1002">
        <f>+CE29+CE33</f>
        <v>282494.22600000002</v>
      </c>
      <c r="CF23" s="1003">
        <f>SUM(CB23:CE23)</f>
        <v>1087997.8866000001</v>
      </c>
      <c r="CG23" s="1006"/>
      <c r="CI23" s="1005">
        <v>1.68</v>
      </c>
      <c r="CJ23" s="1005">
        <f>CJ16*0.33</f>
        <v>1.6830000000000001</v>
      </c>
    </row>
    <row r="24" spans="2:92" s="97" customFormat="1" ht="12.75">
      <c r="B24" s="98"/>
      <c r="C24" s="99" t="s">
        <v>21</v>
      </c>
      <c r="D24" s="100" t="e">
        <f>D23/#REF!-1</f>
        <v>#REF!</v>
      </c>
      <c r="E24" s="99" t="e">
        <f>E23/#REF!-1</f>
        <v>#REF!</v>
      </c>
      <c r="F24" s="99" t="e">
        <f t="shared" ref="F24:AK24" si="25">F23/A23-1</f>
        <v>#DIV/0!</v>
      </c>
      <c r="G24" s="99" t="e">
        <f t="shared" si="25"/>
        <v>#DIV/0!</v>
      </c>
      <c r="H24" s="99" t="e">
        <f t="shared" si="25"/>
        <v>#VALUE!</v>
      </c>
      <c r="I24" s="100" t="e">
        <f t="shared" si="25"/>
        <v>#DIV/0!</v>
      </c>
      <c r="J24" s="99" t="e">
        <f t="shared" si="25"/>
        <v>#DIV/0!</v>
      </c>
      <c r="K24" s="99" t="e">
        <f t="shared" si="25"/>
        <v>#DIV/0!</v>
      </c>
      <c r="L24" s="99" t="e">
        <f t="shared" si="25"/>
        <v>#DIV/0!</v>
      </c>
      <c r="M24" s="99" t="e">
        <f t="shared" si="25"/>
        <v>#DIV/0!</v>
      </c>
      <c r="N24" s="100" t="e">
        <f t="shared" si="25"/>
        <v>#DIV/0!</v>
      </c>
      <c r="O24" s="99">
        <f t="shared" si="25"/>
        <v>0.32836970474967897</v>
      </c>
      <c r="P24" s="99">
        <f t="shared" si="25"/>
        <v>0.40063631913852182</v>
      </c>
      <c r="Q24" s="99">
        <f t="shared" si="25"/>
        <v>0.3250836120401337</v>
      </c>
      <c r="R24" s="99">
        <f t="shared" si="25"/>
        <v>0.39305177111716616</v>
      </c>
      <c r="S24" s="100">
        <f t="shared" si="25"/>
        <v>0.36188500296384118</v>
      </c>
      <c r="T24" s="99">
        <f t="shared" si="25"/>
        <v>0.32141476613838416</v>
      </c>
      <c r="U24" s="99">
        <f t="shared" si="25"/>
        <v>0.23868600384413763</v>
      </c>
      <c r="V24" s="99">
        <f t="shared" si="25"/>
        <v>0.31246845027763759</v>
      </c>
      <c r="W24" s="99">
        <f t="shared" si="25"/>
        <v>0.41385493072534629</v>
      </c>
      <c r="X24" s="100">
        <f t="shared" si="25"/>
        <v>0.32317736670293806</v>
      </c>
      <c r="Y24" s="99">
        <f t="shared" si="25"/>
        <v>0.42050606991370487</v>
      </c>
      <c r="Z24" s="99">
        <f t="shared" si="25"/>
        <v>0.4525320919734801</v>
      </c>
      <c r="AA24" s="99">
        <f t="shared" si="25"/>
        <v>0.40512820512820502</v>
      </c>
      <c r="AB24" s="99">
        <f t="shared" si="25"/>
        <v>0.41968526631311964</v>
      </c>
      <c r="AC24" s="100">
        <f t="shared" si="25"/>
        <v>0.42379440789473688</v>
      </c>
      <c r="AD24" s="99">
        <f t="shared" si="25"/>
        <v>0.32835667215815478</v>
      </c>
      <c r="AE24" s="99">
        <f t="shared" si="25"/>
        <v>0.27114693600077699</v>
      </c>
      <c r="AF24" s="99">
        <f t="shared" si="25"/>
        <v>0.3617700729927007</v>
      </c>
      <c r="AG24" s="99">
        <f t="shared" si="25"/>
        <v>0.47429624787341584</v>
      </c>
      <c r="AH24" s="100">
        <f t="shared" si="25"/>
        <v>0.36472800742086742</v>
      </c>
      <c r="AI24" s="99">
        <f t="shared" si="25"/>
        <v>0.52871870397643583</v>
      </c>
      <c r="AJ24" s="99">
        <f t="shared" si="25"/>
        <v>0.53747421498968606</v>
      </c>
      <c r="AK24" s="99">
        <f t="shared" si="25"/>
        <v>0.45561139028475717</v>
      </c>
      <c r="AL24" s="99">
        <f t="shared" ref="AL24:BQ24" si="26">AL23/AG23-1</f>
        <v>0.25315340126686858</v>
      </c>
      <c r="AM24" s="100">
        <f t="shared" si="26"/>
        <v>0.42749280514643639</v>
      </c>
      <c r="AN24" s="99">
        <f t="shared" si="26"/>
        <v>0.23258290234256163</v>
      </c>
      <c r="AO24" s="99">
        <f t="shared" si="26"/>
        <v>0.27872192407076124</v>
      </c>
      <c r="AP24" s="99">
        <f t="shared" si="26"/>
        <v>0.27834292289988483</v>
      </c>
      <c r="AQ24" s="99">
        <f t="shared" si="26"/>
        <v>0.28680058019427723</v>
      </c>
      <c r="AR24" s="100">
        <f t="shared" si="26"/>
        <v>0.27001257085932506</v>
      </c>
      <c r="AS24" s="99">
        <f t="shared" si="26"/>
        <v>0.31576782261713765</v>
      </c>
      <c r="AT24" s="99">
        <f t="shared" si="26"/>
        <v>0.25581937589865156</v>
      </c>
      <c r="AU24" s="99">
        <f t="shared" si="26"/>
        <v>0.26634740025925385</v>
      </c>
      <c r="AV24" s="99">
        <f t="shared" si="26"/>
        <v>0.23124743817461413</v>
      </c>
      <c r="AW24" s="100">
        <f t="shared" si="26"/>
        <v>0.26544028387337759</v>
      </c>
      <c r="AX24" s="99">
        <f t="shared" si="26"/>
        <v>0.19784273878380487</v>
      </c>
      <c r="AY24" s="99">
        <f t="shared" si="26"/>
        <v>0.2084106943928703</v>
      </c>
      <c r="AZ24" s="99">
        <f t="shared" si="26"/>
        <v>0.21772015126958411</v>
      </c>
      <c r="BA24" s="99">
        <f t="shared" si="26"/>
        <v>0.26119402985074625</v>
      </c>
      <c r="BB24" s="100">
        <f t="shared" si="26"/>
        <v>0.22237226600549009</v>
      </c>
      <c r="BC24" s="99">
        <f t="shared" si="26"/>
        <v>0.21846370683579996</v>
      </c>
      <c r="BD24" s="99">
        <f t="shared" si="26"/>
        <v>0.2966889452254744</v>
      </c>
      <c r="BE24" s="99">
        <f t="shared" si="26"/>
        <v>0.31275393452575528</v>
      </c>
      <c r="BF24" s="99">
        <f t="shared" si="26"/>
        <v>0.25822133257077495</v>
      </c>
      <c r="BG24" s="100">
        <f t="shared" si="26"/>
        <v>0.27219274257324133</v>
      </c>
      <c r="BH24" s="99">
        <f t="shared" si="26"/>
        <v>0.38470106891159528</v>
      </c>
      <c r="BI24" s="99">
        <f t="shared" si="26"/>
        <v>0.39951023954815645</v>
      </c>
      <c r="BJ24" s="99">
        <f t="shared" si="26"/>
        <v>0.28776236214870154</v>
      </c>
      <c r="BK24" s="99">
        <f t="shared" si="26"/>
        <v>0.34938811188811192</v>
      </c>
      <c r="BL24" s="100">
        <f t="shared" si="26"/>
        <v>0.35281389389769391</v>
      </c>
      <c r="BM24" s="99">
        <f t="shared" si="26"/>
        <v>0.18566876024875478</v>
      </c>
      <c r="BN24" s="99">
        <f t="shared" si="26"/>
        <v>0.11657047709088864</v>
      </c>
      <c r="BO24" s="99">
        <f t="shared" si="26"/>
        <v>0.14605375839111567</v>
      </c>
      <c r="BP24" s="99">
        <f t="shared" si="26"/>
        <v>0.13415819135842466</v>
      </c>
      <c r="BQ24" s="100">
        <f t="shared" si="26"/>
        <v>0.14448669201520903</v>
      </c>
      <c r="BR24" s="99">
        <f t="shared" ref="BR24:CF24" si="27">BR23/BM23-1</f>
        <v>0.237291894995042</v>
      </c>
      <c r="BS24" s="99">
        <f t="shared" si="27"/>
        <v>1.4380244666868869</v>
      </c>
      <c r="BT24" s="99">
        <f t="shared" si="27"/>
        <v>1.957407318131418</v>
      </c>
      <c r="BU24" s="99">
        <f t="shared" si="27"/>
        <v>1.5215330134795524</v>
      </c>
      <c r="BV24" s="100">
        <f t="shared" si="27"/>
        <v>1.3104534699832047</v>
      </c>
      <c r="BW24" s="99">
        <f t="shared" si="27"/>
        <v>1.5585531102698487</v>
      </c>
      <c r="BX24" s="99">
        <f t="shared" si="27"/>
        <v>0.25145140890335682</v>
      </c>
      <c r="BY24" s="99">
        <f t="shared" si="27"/>
        <v>-1.0167412442640966E-3</v>
      </c>
      <c r="BZ24" s="99">
        <f t="shared" si="27"/>
        <v>0.1555224590572406</v>
      </c>
      <c r="CA24" s="100">
        <f t="shared" si="27"/>
        <v>0.30560938047180919</v>
      </c>
      <c r="CB24" s="99">
        <f t="shared" si="27"/>
        <v>0.10267751555196258</v>
      </c>
      <c r="CC24" s="99">
        <f t="shared" si="27"/>
        <v>0.1054920907114012</v>
      </c>
      <c r="CD24" s="99">
        <f t="shared" si="27"/>
        <v>0.10579955959329923</v>
      </c>
      <c r="CE24" s="99">
        <f t="shared" si="27"/>
        <v>0.10754143710849329</v>
      </c>
      <c r="CF24" s="100">
        <f t="shared" si="27"/>
        <v>0.10540591849092795</v>
      </c>
      <c r="CI24" s="805">
        <v>0.28000000000000003</v>
      </c>
      <c r="CJ24" s="809">
        <f>CJ17*0.33</f>
        <v>0.56100000000000005</v>
      </c>
      <c r="CK24" s="76"/>
      <c r="CL24" s="76"/>
      <c r="CM24" s="76"/>
      <c r="CN24" s="76"/>
    </row>
    <row r="25" spans="2:92" s="1005" customFormat="1" ht="12.75">
      <c r="B25" s="999"/>
      <c r="C25" s="1000" t="s">
        <v>785</v>
      </c>
      <c r="D25" s="1001"/>
      <c r="E25" s="1000"/>
      <c r="F25" s="1000"/>
      <c r="G25" s="1000"/>
      <c r="H25" s="1000"/>
      <c r="I25" s="1001"/>
      <c r="J25" s="1000">
        <v>81</v>
      </c>
      <c r="K25" s="1000">
        <v>74</v>
      </c>
      <c r="L25" s="1000">
        <v>73</v>
      </c>
      <c r="M25" s="1000">
        <f>N25-L25-K25-J25</f>
        <v>83</v>
      </c>
      <c r="N25" s="1001">
        <v>311</v>
      </c>
      <c r="O25" s="1000">
        <v>79</v>
      </c>
      <c r="P25" s="1000">
        <v>84</v>
      </c>
      <c r="Q25" s="1000">
        <v>77</v>
      </c>
      <c r="R25" s="1000">
        <f>S25-Q25-P25-O25</f>
        <v>83</v>
      </c>
      <c r="S25" s="1001">
        <v>323</v>
      </c>
      <c r="T25" s="1000">
        <v>127</v>
      </c>
      <c r="U25" s="1000">
        <v>188</v>
      </c>
      <c r="V25" s="1000">
        <v>189</v>
      </c>
      <c r="W25" s="1000">
        <f>X25-V25-U25-T25</f>
        <v>256</v>
      </c>
      <c r="X25" s="1001">
        <v>760</v>
      </c>
      <c r="Y25" s="1000">
        <v>256</v>
      </c>
      <c r="Z25" s="1000">
        <v>256</v>
      </c>
      <c r="AA25" s="1000">
        <v>375</v>
      </c>
      <c r="AB25" s="1000">
        <f>AB31</f>
        <v>250</v>
      </c>
      <c r="AC25" s="1003">
        <f>SUM(Y25:AB25)</f>
        <v>1137</v>
      </c>
      <c r="AD25" s="1000">
        <f>AD31</f>
        <v>572</v>
      </c>
      <c r="AE25" s="1000">
        <f>AE31</f>
        <v>774</v>
      </c>
      <c r="AF25" s="1000">
        <f>AF31</f>
        <v>677</v>
      </c>
      <c r="AG25" s="1000">
        <f>AH25-AF25-AE25-AD25</f>
        <v>771</v>
      </c>
      <c r="AH25" s="1003">
        <v>2794</v>
      </c>
      <c r="AI25" s="1007">
        <f>1595-AJ25</f>
        <v>785</v>
      </c>
      <c r="AJ25" s="1007">
        <v>810</v>
      </c>
      <c r="AK25" s="1007">
        <f>AK31</f>
        <v>969</v>
      </c>
      <c r="AL25" s="1002">
        <f>+AM25-AK25-AJ25-AI25</f>
        <v>962</v>
      </c>
      <c r="AM25" s="1003">
        <v>3526</v>
      </c>
      <c r="AN25" s="1007">
        <v>979</v>
      </c>
      <c r="AO25" s="1007">
        <v>1216</v>
      </c>
      <c r="AP25" s="1007">
        <v>1264</v>
      </c>
      <c r="AQ25" s="1007">
        <f>AR25-AP25-AO25-AN25</f>
        <v>1384</v>
      </c>
      <c r="AR25" s="1003">
        <v>4843</v>
      </c>
      <c r="AS25" s="1007">
        <v>2104</v>
      </c>
      <c r="AT25" s="1007">
        <v>1652</v>
      </c>
      <c r="AU25" s="1007">
        <v>1700</v>
      </c>
      <c r="AV25" s="1007">
        <f>AW25-AU25-AT25-AS25</f>
        <v>1732</v>
      </c>
      <c r="AW25" s="1003">
        <v>7188</v>
      </c>
      <c r="AX25" s="1007">
        <v>1789</v>
      </c>
      <c r="AY25" s="1007">
        <v>1896</v>
      </c>
      <c r="AZ25" s="1000">
        <v>2014</v>
      </c>
      <c r="BA25" s="1000">
        <f>7859-AZ25-AY25-AX25</f>
        <v>2160</v>
      </c>
      <c r="BB25" s="1003">
        <f>SUM(AX25:BA25)</f>
        <v>7859</v>
      </c>
      <c r="BC25" s="1000">
        <f>BC31</f>
        <v>2345</v>
      </c>
      <c r="BD25" s="1000">
        <f>BD31</f>
        <v>2372</v>
      </c>
      <c r="BE25" s="1000">
        <f>BE31</f>
        <v>2479</v>
      </c>
      <c r="BF25" s="1000">
        <f>BF31</f>
        <v>2611</v>
      </c>
      <c r="BG25" s="1003">
        <f>SUM(BC25:BF25)</f>
        <v>9807</v>
      </c>
      <c r="BH25" s="1000">
        <f>BH31</f>
        <v>2633</v>
      </c>
      <c r="BI25" s="1000">
        <f>BI31</f>
        <v>2608</v>
      </c>
      <c r="BJ25" s="1000">
        <f>BJ31</f>
        <v>2874</v>
      </c>
      <c r="BK25" s="1000">
        <f>BK31</f>
        <v>3145</v>
      </c>
      <c r="BL25" s="1003">
        <f>SUM(BH25:BK25)</f>
        <v>11260</v>
      </c>
      <c r="BM25" s="1000">
        <v>5079</v>
      </c>
      <c r="BN25" s="1000">
        <v>6510</v>
      </c>
      <c r="BO25" s="1000">
        <v>6318</v>
      </c>
      <c r="BP25" s="1000">
        <f>24364-BO25-BN25-BM25</f>
        <v>6457</v>
      </c>
      <c r="BQ25" s="1003">
        <f>SUM(BM25:BP25)</f>
        <v>24364</v>
      </c>
      <c r="BR25" s="1000">
        <v>7648</v>
      </c>
      <c r="BS25" s="1000">
        <v>7870</v>
      </c>
      <c r="BT25" s="1000">
        <v>8311</v>
      </c>
      <c r="BU25" s="1000">
        <f>BV25-BT25-BS25-BR25</f>
        <v>9420</v>
      </c>
      <c r="BV25" s="1003">
        <v>33249</v>
      </c>
      <c r="BW25" s="1000">
        <f>BW31</f>
        <v>8500</v>
      </c>
      <c r="BX25" s="1000">
        <f>BX31</f>
        <v>8600</v>
      </c>
      <c r="BY25" s="1000">
        <f>BY31</f>
        <v>8700</v>
      </c>
      <c r="BZ25" s="1000">
        <f>BZ31</f>
        <v>8800</v>
      </c>
      <c r="CA25" s="1003">
        <f>SUM(BW25:BZ25)</f>
        <v>34600</v>
      </c>
      <c r="CB25" s="1000">
        <f>CB31</f>
        <v>3000</v>
      </c>
      <c r="CC25" s="1000">
        <f>CC31</f>
        <v>3000</v>
      </c>
      <c r="CD25" s="1000">
        <f>CD31</f>
        <v>3000</v>
      </c>
      <c r="CE25" s="1000">
        <f>CE31</f>
        <v>3000</v>
      </c>
      <c r="CF25" s="1003">
        <f>SUM(CB25:CE25)</f>
        <v>12000</v>
      </c>
      <c r="CI25" s="1005">
        <v>1.2</v>
      </c>
      <c r="CJ25" s="1005">
        <f>CJ18*0.33</f>
        <v>2.4123000000000001</v>
      </c>
    </row>
    <row r="26" spans="2:92" s="97" customFormat="1" ht="12.75">
      <c r="B26" s="98"/>
      <c r="C26" s="99" t="s">
        <v>21</v>
      </c>
      <c r="D26" s="100" t="e">
        <f>D25/#REF!-1</f>
        <v>#REF!</v>
      </c>
      <c r="E26" s="99" t="e">
        <f>E25/#REF!-1</f>
        <v>#REF!</v>
      </c>
      <c r="F26" s="99" t="e">
        <f t="shared" ref="F26:AK26" si="28">F25/A25-1</f>
        <v>#DIV/0!</v>
      </c>
      <c r="G26" s="99" t="e">
        <f t="shared" si="28"/>
        <v>#DIV/0!</v>
      </c>
      <c r="H26" s="99" t="e">
        <f t="shared" si="28"/>
        <v>#VALUE!</v>
      </c>
      <c r="I26" s="100" t="e">
        <f t="shared" si="28"/>
        <v>#DIV/0!</v>
      </c>
      <c r="J26" s="99" t="e">
        <f t="shared" si="28"/>
        <v>#DIV/0!</v>
      </c>
      <c r="K26" s="99" t="e">
        <f t="shared" si="28"/>
        <v>#DIV/0!</v>
      </c>
      <c r="L26" s="99" t="e">
        <f t="shared" si="28"/>
        <v>#DIV/0!</v>
      </c>
      <c r="M26" s="99" t="e">
        <f t="shared" si="28"/>
        <v>#DIV/0!</v>
      </c>
      <c r="N26" s="100" t="e">
        <f t="shared" si="28"/>
        <v>#DIV/0!</v>
      </c>
      <c r="O26" s="99">
        <f t="shared" si="28"/>
        <v>-2.4691358024691357E-2</v>
      </c>
      <c r="P26" s="99">
        <f t="shared" si="28"/>
        <v>0.13513513513513509</v>
      </c>
      <c r="Q26" s="99">
        <f t="shared" si="28"/>
        <v>5.4794520547945202E-2</v>
      </c>
      <c r="R26" s="99">
        <f t="shared" si="28"/>
        <v>0</v>
      </c>
      <c r="S26" s="100">
        <f t="shared" si="28"/>
        <v>3.8585209003215493E-2</v>
      </c>
      <c r="T26" s="99">
        <f t="shared" si="28"/>
        <v>0.60759493670886067</v>
      </c>
      <c r="U26" s="99">
        <f t="shared" si="28"/>
        <v>1.2380952380952381</v>
      </c>
      <c r="V26" s="99">
        <f t="shared" si="28"/>
        <v>1.4545454545454546</v>
      </c>
      <c r="W26" s="99">
        <f t="shared" si="28"/>
        <v>2.0843373493975905</v>
      </c>
      <c r="X26" s="100">
        <f t="shared" si="28"/>
        <v>1.3529411764705883</v>
      </c>
      <c r="Y26" s="99">
        <f t="shared" si="28"/>
        <v>1.015748031496063</v>
      </c>
      <c r="Z26" s="99">
        <f t="shared" si="28"/>
        <v>0.36170212765957444</v>
      </c>
      <c r="AA26" s="236">
        <f t="shared" si="28"/>
        <v>0.98412698412698418</v>
      </c>
      <c r="AB26" s="99">
        <f t="shared" si="28"/>
        <v>-2.34375E-2</v>
      </c>
      <c r="AC26" s="100">
        <f t="shared" si="28"/>
        <v>0.4960526315789473</v>
      </c>
      <c r="AD26" s="99">
        <f t="shared" si="28"/>
        <v>1.234375</v>
      </c>
      <c r="AE26" s="99">
        <f t="shared" si="28"/>
        <v>2.0234375</v>
      </c>
      <c r="AF26" s="99">
        <f t="shared" si="28"/>
        <v>0.80533333333333323</v>
      </c>
      <c r="AG26" s="99">
        <f t="shared" si="28"/>
        <v>2.0840000000000001</v>
      </c>
      <c r="AH26" s="100">
        <f t="shared" si="28"/>
        <v>1.4573438874230429</v>
      </c>
      <c r="AI26" s="99">
        <f t="shared" si="28"/>
        <v>0.37237762237762229</v>
      </c>
      <c r="AJ26" s="99">
        <f t="shared" si="28"/>
        <v>4.6511627906976827E-2</v>
      </c>
      <c r="AK26" s="99">
        <f t="shared" si="28"/>
        <v>0.43131462333825699</v>
      </c>
      <c r="AL26" s="99">
        <f t="shared" ref="AL26:BQ26" si="29">AL25/AG25-1</f>
        <v>0.24773022049286642</v>
      </c>
      <c r="AM26" s="100">
        <f t="shared" si="29"/>
        <v>0.26198997852541162</v>
      </c>
      <c r="AN26" s="99">
        <f t="shared" si="29"/>
        <v>0.24713375796178338</v>
      </c>
      <c r="AO26" s="99">
        <f t="shared" si="29"/>
        <v>0.50123456790123466</v>
      </c>
      <c r="AP26" s="99">
        <f t="shared" si="29"/>
        <v>0.30443756449948411</v>
      </c>
      <c r="AQ26" s="99">
        <f t="shared" si="29"/>
        <v>0.43866943866943875</v>
      </c>
      <c r="AR26" s="100">
        <f t="shared" si="29"/>
        <v>0.37351106069200224</v>
      </c>
      <c r="AS26" s="99">
        <f t="shared" si="29"/>
        <v>1.1491317671092953</v>
      </c>
      <c r="AT26" s="99">
        <f t="shared" si="29"/>
        <v>0.35855263157894735</v>
      </c>
      <c r="AU26" s="99">
        <f t="shared" si="29"/>
        <v>0.34493670886075956</v>
      </c>
      <c r="AV26" s="99">
        <f t="shared" si="29"/>
        <v>0.25144508670520227</v>
      </c>
      <c r="AW26" s="100">
        <f t="shared" si="29"/>
        <v>0.48420400578154044</v>
      </c>
      <c r="AX26" s="99">
        <f t="shared" si="29"/>
        <v>-0.14971482889733845</v>
      </c>
      <c r="AY26" s="99">
        <f t="shared" si="29"/>
        <v>0.14769975786924938</v>
      </c>
      <c r="AZ26" s="99">
        <f t="shared" si="29"/>
        <v>0.18470588235294128</v>
      </c>
      <c r="BA26" s="99">
        <f t="shared" si="29"/>
        <v>0.24711316397228633</v>
      </c>
      <c r="BB26" s="100">
        <f t="shared" si="29"/>
        <v>9.3350027824151471E-2</v>
      </c>
      <c r="BC26" s="99">
        <f t="shared" si="29"/>
        <v>0.31078814980435987</v>
      </c>
      <c r="BD26" s="99">
        <f t="shared" si="29"/>
        <v>0.25105485232067504</v>
      </c>
      <c r="BE26" s="99">
        <f t="shared" si="29"/>
        <v>0.23088381330685204</v>
      </c>
      <c r="BF26" s="99">
        <f t="shared" si="29"/>
        <v>0.20879629629629637</v>
      </c>
      <c r="BG26" s="100">
        <f t="shared" si="29"/>
        <v>0.24786868558340758</v>
      </c>
      <c r="BH26" s="99">
        <f t="shared" si="29"/>
        <v>0.12281449893390195</v>
      </c>
      <c r="BI26" s="99">
        <f t="shared" si="29"/>
        <v>9.9494097807757198E-2</v>
      </c>
      <c r="BJ26" s="99">
        <f t="shared" si="29"/>
        <v>0.15933844292053245</v>
      </c>
      <c r="BK26" s="99">
        <f t="shared" si="29"/>
        <v>0.20451934124856375</v>
      </c>
      <c r="BL26" s="100">
        <f t="shared" si="29"/>
        <v>0.14815947792393191</v>
      </c>
      <c r="BM26" s="99">
        <f t="shared" si="29"/>
        <v>0.92897835169008736</v>
      </c>
      <c r="BN26" s="99">
        <f t="shared" si="29"/>
        <v>1.496165644171779</v>
      </c>
      <c r="BO26" s="99">
        <f t="shared" si="29"/>
        <v>1.1983298538622131</v>
      </c>
      <c r="BP26" s="99">
        <f t="shared" si="29"/>
        <v>1.0531001589825117</v>
      </c>
      <c r="BQ26" s="100">
        <f t="shared" si="29"/>
        <v>1.1637655417406751</v>
      </c>
      <c r="BR26" s="99">
        <f t="shared" ref="BR26:CF26" si="30">BR25/BM25-1</f>
        <v>0.50580822996652874</v>
      </c>
      <c r="BS26" s="99">
        <f t="shared" si="30"/>
        <v>0.20890937019969269</v>
      </c>
      <c r="BT26" s="99">
        <f t="shared" si="30"/>
        <v>0.31544792655903775</v>
      </c>
      <c r="BU26" s="99">
        <f t="shared" si="30"/>
        <v>0.45888183366888646</v>
      </c>
      <c r="BV26" s="100">
        <f t="shared" si="30"/>
        <v>0.36467739287473311</v>
      </c>
      <c r="BW26" s="99">
        <f t="shared" si="30"/>
        <v>0.11140167364016729</v>
      </c>
      <c r="BX26" s="99">
        <f t="shared" si="30"/>
        <v>9.2757306226175285E-2</v>
      </c>
      <c r="BY26" s="99">
        <f t="shared" si="30"/>
        <v>4.6805438575381997E-2</v>
      </c>
      <c r="BZ26" s="99">
        <f t="shared" si="30"/>
        <v>-6.5817409766454338E-2</v>
      </c>
      <c r="CA26" s="100">
        <f t="shared" si="30"/>
        <v>4.0632800986495798E-2</v>
      </c>
      <c r="CB26" s="99">
        <f t="shared" si="30"/>
        <v>-0.64705882352941169</v>
      </c>
      <c r="CC26" s="99">
        <f t="shared" si="30"/>
        <v>-0.65116279069767447</v>
      </c>
      <c r="CD26" s="99">
        <f t="shared" si="30"/>
        <v>-0.65517241379310343</v>
      </c>
      <c r="CE26" s="99">
        <f t="shared" si="30"/>
        <v>-0.65909090909090917</v>
      </c>
      <c r="CF26" s="100">
        <f t="shared" si="30"/>
        <v>-0.65317919075144504</v>
      </c>
      <c r="CI26" s="805"/>
      <c r="CJ26" s="805">
        <f>SUM(CJ22:CJ25)</f>
        <v>5.61</v>
      </c>
      <c r="CK26" s="76"/>
      <c r="CL26" s="76"/>
      <c r="CM26" s="76"/>
      <c r="CN26" s="76"/>
    </row>
    <row r="27" spans="2:92" s="7" customFormat="1" ht="12.75">
      <c r="B27" s="11"/>
      <c r="C27" s="12" t="s">
        <v>363</v>
      </c>
      <c r="D27" s="9"/>
      <c r="I27" s="9"/>
      <c r="N27" s="9"/>
      <c r="S27" s="9"/>
      <c r="X27" s="9"/>
      <c r="Y27" s="12">
        <f>T22*(1+Y28)</f>
        <v>9624.2480000000014</v>
      </c>
      <c r="Z27" s="12">
        <f>U22*(1+Z28)</f>
        <v>10267.847</v>
      </c>
      <c r="AA27" s="81">
        <f>V22*(1+AA28)</f>
        <v>11000.852999999999</v>
      </c>
      <c r="AB27" s="12">
        <f>W22*(1+AB28)</f>
        <v>12546.65</v>
      </c>
      <c r="AC27" s="23">
        <f>SUM(Y27:AB27)</f>
        <v>43439.597999999998</v>
      </c>
      <c r="AD27" s="22">
        <f>+AD29+AD31</f>
        <v>13473</v>
      </c>
      <c r="AE27" s="22">
        <f>+AE29+AE31</f>
        <v>13863</v>
      </c>
      <c r="AF27" s="22">
        <f>+AF29+AF31</f>
        <v>15602</v>
      </c>
      <c r="AG27" s="22">
        <f>+AG29+AG31</f>
        <v>18926</v>
      </c>
      <c r="AH27" s="23">
        <f>SUM(AD27:AG27)</f>
        <v>61864</v>
      </c>
      <c r="AI27" s="22">
        <f>+AI29+AI31</f>
        <v>20507</v>
      </c>
      <c r="AJ27" s="22">
        <f>+AJ29+AJ31</f>
        <v>20934</v>
      </c>
      <c r="AK27" s="22">
        <f>+AK29+AK31</f>
        <v>22694</v>
      </c>
      <c r="AL27" s="22">
        <f>+AL29+AL31</f>
        <v>23713</v>
      </c>
      <c r="AM27" s="23">
        <f>SUM(AI27:AL27)</f>
        <v>87848</v>
      </c>
      <c r="AN27" s="22">
        <f>+AN29+AN31</f>
        <v>25288</v>
      </c>
      <c r="AO27" s="22">
        <f>+AO29+AO31</f>
        <v>26949</v>
      </c>
      <c r="AP27" s="22">
        <f>+AP29+AP31</f>
        <v>29036</v>
      </c>
      <c r="AQ27" s="22">
        <f>+AQ29+AQ31</f>
        <v>30660</v>
      </c>
      <c r="AR27" s="23">
        <f>SUM(AN27:AQ27)</f>
        <v>111933</v>
      </c>
      <c r="AS27" s="22">
        <f>+AS29+AS31</f>
        <v>34089</v>
      </c>
      <c r="AT27" s="22">
        <f>+AT29+AT31</f>
        <v>33968</v>
      </c>
      <c r="AU27" s="22">
        <f>+AU29+AU31</f>
        <v>36869</v>
      </c>
      <c r="AV27" s="22">
        <f>+AV29+AV31</f>
        <v>37778</v>
      </c>
      <c r="AW27" s="23">
        <f>SUM(AS27:AV27)</f>
        <v>142704</v>
      </c>
      <c r="AX27" s="22">
        <f>+AX29+AX31</f>
        <v>40102</v>
      </c>
      <c r="AY27" s="22">
        <f>+AY29+AY31</f>
        <v>40947</v>
      </c>
      <c r="AZ27" s="22">
        <f>+AZ29+AZ31</f>
        <v>44840</v>
      </c>
      <c r="BA27" s="22">
        <f>+BA29+BA31</f>
        <v>47621</v>
      </c>
      <c r="BB27" s="23">
        <f>SUM(AX27:BA27)</f>
        <v>173510</v>
      </c>
      <c r="BC27" s="22">
        <f>+BC29+BC31</f>
        <v>49028</v>
      </c>
      <c r="BD27" s="22">
        <f>+BD29+BD31</f>
        <v>53009</v>
      </c>
      <c r="BE27" s="22">
        <f>+BE29+BE31</f>
        <v>58699</v>
      </c>
      <c r="BF27" s="22">
        <f>+BF29+BF31</f>
        <v>59811</v>
      </c>
      <c r="BG27" s="23">
        <f>SUM(BC27:BF27)</f>
        <v>220547</v>
      </c>
      <c r="BH27" s="22">
        <f>+BH29+BH31</f>
        <v>67275</v>
      </c>
      <c r="BI27" s="22">
        <f>+BI29+BI31</f>
        <v>73475</v>
      </c>
      <c r="BJ27" s="22">
        <f>+BJ29+BJ31</f>
        <v>75272</v>
      </c>
      <c r="BK27" s="22">
        <f>+BK29+BK31</f>
        <v>80330</v>
      </c>
      <c r="BL27" s="23">
        <f>SUM(BH27:BK27)</f>
        <v>296352</v>
      </c>
      <c r="BM27" s="22">
        <f>+BM29+BM31</f>
        <v>81723</v>
      </c>
      <c r="BN27" s="22">
        <f>+BN29+BN31</f>
        <v>81878</v>
      </c>
      <c r="BO27" s="22">
        <f>+BO29+BO31</f>
        <v>85577</v>
      </c>
      <c r="BP27" s="22">
        <f>+BP29+BP31</f>
        <v>94087</v>
      </c>
      <c r="BQ27" s="23">
        <f>SUM(BM27:BP27)</f>
        <v>343265</v>
      </c>
      <c r="BR27" s="22">
        <f>+BR29+BR31</f>
        <v>102479</v>
      </c>
      <c r="BS27" s="22">
        <f>+BS29+BS31</f>
        <v>105858</v>
      </c>
      <c r="BT27" s="22">
        <f>+BT29+BT31</f>
        <v>111347</v>
      </c>
      <c r="BU27" s="22">
        <f>+BU29+BU31</f>
        <v>121090</v>
      </c>
      <c r="BV27" s="23">
        <f>SUM(BR27:BU27)</f>
        <v>440774</v>
      </c>
      <c r="BW27" s="22">
        <f>+BW29+BW31</f>
        <v>251130.15000000002</v>
      </c>
      <c r="BX27" s="22">
        <f>+BX29+BX31</f>
        <v>250024.99999999997</v>
      </c>
      <c r="BY27" s="22">
        <f>+BY29+BY31</f>
        <v>253832.50999999998</v>
      </c>
      <c r="BZ27" s="22">
        <f>+BZ29+BZ31</f>
        <v>263864.25</v>
      </c>
      <c r="CA27" s="23">
        <f>SUM(BW27:BZ27)</f>
        <v>1018851.91</v>
      </c>
      <c r="CB27" s="22">
        <f>+CB29+CB31</f>
        <v>270542.81100000005</v>
      </c>
      <c r="CC27" s="22">
        <f>+CC29+CC31</f>
        <v>269893.42800000001</v>
      </c>
      <c r="CD27" s="22">
        <f>+CD29+CD31</f>
        <v>274067.4216</v>
      </c>
      <c r="CE27" s="22">
        <f>+CE29+CE31</f>
        <v>285494.22600000002</v>
      </c>
      <c r="CF27" s="23">
        <f>SUM(CB27:CE27)</f>
        <v>1099997.8866000001</v>
      </c>
    </row>
    <row r="28" spans="2:92" s="97" customFormat="1" ht="10.15">
      <c r="B28" s="98"/>
      <c r="C28" s="99" t="s">
        <v>21</v>
      </c>
      <c r="D28" s="100"/>
      <c r="E28" s="99"/>
      <c r="F28" s="99"/>
      <c r="G28" s="99"/>
      <c r="H28" s="99"/>
      <c r="I28" s="100"/>
      <c r="J28" s="99"/>
      <c r="K28" s="99"/>
      <c r="L28" s="99"/>
      <c r="M28" s="99"/>
      <c r="N28" s="100"/>
      <c r="O28" s="99"/>
      <c r="P28" s="99"/>
      <c r="Q28" s="99"/>
      <c r="R28" s="99"/>
      <c r="S28" s="100"/>
      <c r="T28" s="99"/>
      <c r="U28" s="99"/>
      <c r="V28" s="99"/>
      <c r="W28" s="99"/>
      <c r="X28" s="100"/>
      <c r="Y28" s="99">
        <v>0.38200000000000001</v>
      </c>
      <c r="Z28" s="99">
        <v>0.41099999999999998</v>
      </c>
      <c r="AA28" s="236">
        <v>0.377</v>
      </c>
      <c r="AB28" s="99">
        <v>0.40500000000000003</v>
      </c>
      <c r="AC28" s="100"/>
      <c r="AD28" s="99">
        <f>AD27/Y22-1</f>
        <v>0.3516252006420546</v>
      </c>
      <c r="AE28" s="99">
        <f>AE27/Z22-1</f>
        <v>0.31365488486686255</v>
      </c>
      <c r="AF28" s="99">
        <f>AF27/AA22-1</f>
        <v>0.37644464049404491</v>
      </c>
      <c r="AG28" s="99">
        <f>AG27/AB22-1</f>
        <v>0.48299639554928686</v>
      </c>
      <c r="AH28" s="100"/>
      <c r="AI28" s="99">
        <f>AI27/AD22-1</f>
        <v>0.52208119943590892</v>
      </c>
      <c r="AJ28" s="99">
        <f>AJ27/AE22-1</f>
        <v>0.51006275697900882</v>
      </c>
      <c r="AK28" s="99">
        <f>AK27/AF22-1</f>
        <v>0.49165242539765996</v>
      </c>
      <c r="AL28" s="99">
        <f>AL27/AG22-1</f>
        <v>0.2277622450036243</v>
      </c>
      <c r="AM28" s="100"/>
      <c r="AN28" s="99">
        <f>AN27/AI22-1</f>
        <v>0.23313990344760316</v>
      </c>
      <c r="AO28" s="99">
        <f>AO27/AJ22-1</f>
        <v>0.28733161364287763</v>
      </c>
      <c r="AP28" s="99">
        <f>AP27/AK22-1</f>
        <v>0.2794571252313387</v>
      </c>
      <c r="AQ28" s="99">
        <f>AQ27/AL22-1</f>
        <v>0.29296166659638168</v>
      </c>
      <c r="AR28" s="100"/>
      <c r="AS28" s="99">
        <f>AS27/AN22-1</f>
        <v>0.3480306864916165</v>
      </c>
      <c r="AT28" s="99">
        <f>AT27/AO22-1</f>
        <v>0.26045493339270465</v>
      </c>
      <c r="AU28" s="99">
        <f>AU27/AP22-1</f>
        <v>0.26976856316297004</v>
      </c>
      <c r="AV28" s="99">
        <f>AV27/AQ22-1</f>
        <v>0.23215916503587741</v>
      </c>
      <c r="AW28" s="100"/>
      <c r="AX28" s="99">
        <f>AX27/AS22-1</f>
        <v>0.17639121124116275</v>
      </c>
      <c r="AY28" s="99">
        <f>AY27/AT22-1</f>
        <v>0.20545807819123874</v>
      </c>
      <c r="AZ28" s="99">
        <f>AZ27/AU22-1</f>
        <v>0.21619788982614119</v>
      </c>
      <c r="BA28" s="99">
        <f>BA27/AV22-1</f>
        <v>0.26054846736195669</v>
      </c>
      <c r="BB28" s="100"/>
      <c r="BC28" s="99">
        <f>BC27/AX22-1</f>
        <v>0.22258241484215247</v>
      </c>
      <c r="BD28" s="99">
        <f>BD27/AY22-1</f>
        <v>0.2945759152074634</v>
      </c>
      <c r="BE28" s="99">
        <f>BE27/AZ22-1</f>
        <v>0.30907671721677077</v>
      </c>
      <c r="BF28" s="99">
        <f>BF27/BA22-1</f>
        <v>0.25597950484030152</v>
      </c>
      <c r="BG28" s="100"/>
      <c r="BH28" s="99">
        <f>BH27/BC22-1</f>
        <v>0.37217508362568319</v>
      </c>
      <c r="BI28" s="99">
        <f>BI27/BD22-1</f>
        <v>0.38608538172763107</v>
      </c>
      <c r="BJ28" s="99">
        <f>BJ27/BE22-1</f>
        <v>0.2823387110512956</v>
      </c>
      <c r="BK28" s="99">
        <f>BK27/BF22-1</f>
        <v>0.34306398488572332</v>
      </c>
      <c r="BL28" s="100"/>
      <c r="BM28" s="99">
        <f>BM27/BH22-1</f>
        <v>0.21476031215161639</v>
      </c>
      <c r="BN28" s="99">
        <f>BN27/BI22-1</f>
        <v>0.11436543041850977</v>
      </c>
      <c r="BO28" s="99">
        <f>BO27/BJ22-1</f>
        <v>0.13690349665214163</v>
      </c>
      <c r="BP28" s="99">
        <f>BP27/BK22-1</f>
        <v>0.17125606871654431</v>
      </c>
      <c r="BQ28" s="100"/>
      <c r="BR28" s="99">
        <f>BR27/BM22-1</f>
        <v>0.25397990773711188</v>
      </c>
      <c r="BS28" s="99">
        <f>BS27/BN22-1</f>
        <v>0.23611013802284031</v>
      </c>
      <c r="BT28" s="99">
        <f>BT27/BO22-1</f>
        <v>0.24702654272594926</v>
      </c>
      <c r="BU28" s="99">
        <f>BU27/BP22-1</f>
        <v>0.28823260316818611</v>
      </c>
      <c r="BV28" s="100"/>
      <c r="BW28" s="99">
        <f>BW27/BR22-1</f>
        <v>1.4505523082777936</v>
      </c>
      <c r="BX28" s="99">
        <f>BX27/BS22-1</f>
        <v>0.24523124122199746</v>
      </c>
      <c r="BY28" s="99">
        <f>BY27/BT22-1</f>
        <v>5.4991663151904291E-4</v>
      </c>
      <c r="BZ28" s="99">
        <f>BZ27/BU22-1</f>
        <v>0.1464632530251353</v>
      </c>
      <c r="CA28" s="100"/>
      <c r="CB28" s="99">
        <f>CB27/BW22-1</f>
        <v>0.10226329942186196</v>
      </c>
      <c r="CC28" s="99">
        <f>CC27/BX22-1</f>
        <v>7.9465765423457846E-2</v>
      </c>
      <c r="CD28" s="99">
        <f>CD27/BY22-1</f>
        <v>7.9717572819967053E-2</v>
      </c>
      <c r="CE28" s="99">
        <f>CE27/BZ22-1</f>
        <v>8.1973878613719187E-2</v>
      </c>
      <c r="CF28" s="100"/>
      <c r="CJ28" s="97">
        <v>0.5</v>
      </c>
      <c r="CK28" s="97">
        <v>0.35</v>
      </c>
      <c r="CL28" s="97">
        <v>0.25</v>
      </c>
      <c r="CM28" s="97">
        <v>0.1</v>
      </c>
    </row>
    <row r="29" spans="2:92" s="10" customFormat="1" ht="12.75">
      <c r="B29" s="11"/>
      <c r="C29" s="12" t="s">
        <v>786</v>
      </c>
      <c r="D29" s="13"/>
      <c r="E29" s="12"/>
      <c r="F29" s="12"/>
      <c r="G29" s="12"/>
      <c r="H29" s="12"/>
      <c r="I29" s="13"/>
      <c r="J29" s="12"/>
      <c r="K29" s="12"/>
      <c r="L29" s="12"/>
      <c r="M29" s="12"/>
      <c r="N29" s="13"/>
      <c r="O29" s="12"/>
      <c r="P29" s="12"/>
      <c r="Q29" s="12"/>
      <c r="R29" s="12"/>
      <c r="S29" s="13"/>
      <c r="T29" s="12"/>
      <c r="U29" s="12"/>
      <c r="V29" s="12"/>
      <c r="W29" s="12"/>
      <c r="X29" s="13"/>
      <c r="Y29" s="12">
        <f>Y27-Y31</f>
        <v>9368.2480000000014</v>
      </c>
      <c r="Z29" s="12">
        <f>Z27-Z31</f>
        <v>10011.847</v>
      </c>
      <c r="AA29" s="81">
        <f>AA23-AA31</f>
        <v>10585</v>
      </c>
      <c r="AB29" s="12">
        <v>12099</v>
      </c>
      <c r="AC29" s="23">
        <f>SUM(Y29:AB29)</f>
        <v>42064.095000000001</v>
      </c>
      <c r="AD29" s="12">
        <v>12901</v>
      </c>
      <c r="AE29" s="12">
        <v>13089</v>
      </c>
      <c r="AF29" s="12">
        <v>14925</v>
      </c>
      <c r="AG29" s="12">
        <f>AH29-AF29-AE29-AD29</f>
        <v>18155</v>
      </c>
      <c r="AH29" s="23">
        <v>59070</v>
      </c>
      <c r="AI29" s="12">
        <f>AI23</f>
        <v>19722</v>
      </c>
      <c r="AJ29" s="12">
        <f>AJ23</f>
        <v>20124</v>
      </c>
      <c r="AK29" s="12">
        <v>21725</v>
      </c>
      <c r="AL29" s="12">
        <f>+AL23</f>
        <v>22751</v>
      </c>
      <c r="AM29" s="23">
        <f>SUM(AI29:AL29)</f>
        <v>84322</v>
      </c>
      <c r="AN29" s="12">
        <f>AN23</f>
        <v>24309</v>
      </c>
      <c r="AO29" s="12">
        <f>AO23</f>
        <v>25733</v>
      </c>
      <c r="AP29" s="12">
        <f>AP23</f>
        <v>27772</v>
      </c>
      <c r="AQ29" s="12">
        <f>AQ23</f>
        <v>29276</v>
      </c>
      <c r="AR29" s="23">
        <f>SUM(AN29:AQ29)</f>
        <v>107090</v>
      </c>
      <c r="AS29" s="12">
        <f>AS23</f>
        <v>31985</v>
      </c>
      <c r="AT29" s="81">
        <f>AT23</f>
        <v>32316</v>
      </c>
      <c r="AU29" s="81">
        <f>AU23</f>
        <v>35169</v>
      </c>
      <c r="AV29" s="81">
        <f>AV23</f>
        <v>36046</v>
      </c>
      <c r="AW29" s="23">
        <f>SUM(AS29:AV29)</f>
        <v>135516</v>
      </c>
      <c r="AX29" s="81">
        <f>AX23</f>
        <v>38313</v>
      </c>
      <c r="AY29" s="81">
        <f>AY23</f>
        <v>39051</v>
      </c>
      <c r="AZ29" s="12">
        <f>AZ23</f>
        <v>42826</v>
      </c>
      <c r="BA29" s="12">
        <f>BA23</f>
        <v>45461</v>
      </c>
      <c r="BB29" s="23">
        <f>SUM(AX29:BA29)</f>
        <v>165651</v>
      </c>
      <c r="BC29" s="12">
        <v>46683</v>
      </c>
      <c r="BD29" s="12">
        <v>50637</v>
      </c>
      <c r="BE29" s="12">
        <v>56220</v>
      </c>
      <c r="BF29" s="12">
        <f>210740-BE29-BD29-BC29</f>
        <v>57200</v>
      </c>
      <c r="BG29" s="23">
        <f>SUM(BC29:BF29)</f>
        <v>210740</v>
      </c>
      <c r="BH29" s="12">
        <v>64642</v>
      </c>
      <c r="BI29" s="12">
        <v>70867</v>
      </c>
      <c r="BJ29" s="12">
        <v>72398</v>
      </c>
      <c r="BK29" s="12">
        <f>285092-BJ29-BI29-BH29</f>
        <v>77185</v>
      </c>
      <c r="BL29" s="23">
        <f>SUM(BH29:BK29)</f>
        <v>285092</v>
      </c>
      <c r="BM29" s="12">
        <v>76644</v>
      </c>
      <c r="BN29" s="12">
        <v>79128</v>
      </c>
      <c r="BO29" s="12">
        <v>82972</v>
      </c>
      <c r="BP29" s="12">
        <v>87540</v>
      </c>
      <c r="BQ29" s="23">
        <f>SUM(BM29:BP29)</f>
        <v>326284</v>
      </c>
      <c r="BR29" s="12">
        <v>94831</v>
      </c>
      <c r="BS29" s="12">
        <f>199558-7870-93700</f>
        <v>97988</v>
      </c>
      <c r="BT29" s="12">
        <f>+BT23-BT46</f>
        <v>103036</v>
      </c>
      <c r="BU29" s="12">
        <f>+BU23-BU46</f>
        <v>111670</v>
      </c>
      <c r="BV29" s="23">
        <f>SUM(BR29:BU29)</f>
        <v>407525</v>
      </c>
      <c r="BW29" s="12">
        <f>+BW35+BW44</f>
        <v>242630.15000000002</v>
      </c>
      <c r="BX29" s="12">
        <f>+BX35+BX44</f>
        <v>241424.99999999997</v>
      </c>
      <c r="BY29" s="12">
        <f>+BY35+BY44</f>
        <v>245132.50999999998</v>
      </c>
      <c r="BZ29" s="12">
        <f>+BZ35+BZ44</f>
        <v>255064.25</v>
      </c>
      <c r="CA29" s="23">
        <f>SUM(BW29:BZ29)</f>
        <v>984251.91</v>
      </c>
      <c r="CB29" s="12">
        <f>+CB35+CB44</f>
        <v>267542.81100000005</v>
      </c>
      <c r="CC29" s="12">
        <f>+CC35+CC44</f>
        <v>266893.42800000001</v>
      </c>
      <c r="CD29" s="12">
        <f>+CD35+CD44</f>
        <v>271067.4216</v>
      </c>
      <c r="CE29" s="12">
        <f>+CE35+CE44</f>
        <v>282494.22600000002</v>
      </c>
      <c r="CF29" s="23">
        <f>SUM(CB29:CE29)</f>
        <v>1087997.8866000001</v>
      </c>
    </row>
    <row r="30" spans="2:92" s="97" customFormat="1" ht="10.15">
      <c r="B30" s="98"/>
      <c r="C30" s="99" t="s">
        <v>21</v>
      </c>
      <c r="D30" s="100" t="e">
        <f>D29/#REF!-1</f>
        <v>#REF!</v>
      </c>
      <c r="E30" s="99" t="e">
        <f>E29/#REF!-1</f>
        <v>#REF!</v>
      </c>
      <c r="F30" s="99" t="e">
        <f t="shared" ref="F30:X30" si="31">F29/A29-1</f>
        <v>#DIV/0!</v>
      </c>
      <c r="G30" s="99" t="e">
        <f t="shared" si="31"/>
        <v>#DIV/0!</v>
      </c>
      <c r="H30" s="99" t="e">
        <f t="shared" si="31"/>
        <v>#VALUE!</v>
      </c>
      <c r="I30" s="100" t="e">
        <f t="shared" si="31"/>
        <v>#DIV/0!</v>
      </c>
      <c r="J30" s="99" t="e">
        <f t="shared" si="31"/>
        <v>#DIV/0!</v>
      </c>
      <c r="K30" s="99" t="e">
        <f t="shared" si="31"/>
        <v>#DIV/0!</v>
      </c>
      <c r="L30" s="99" t="e">
        <f t="shared" si="31"/>
        <v>#DIV/0!</v>
      </c>
      <c r="M30" s="99" t="e">
        <f t="shared" si="31"/>
        <v>#DIV/0!</v>
      </c>
      <c r="N30" s="100" t="e">
        <f t="shared" si="31"/>
        <v>#DIV/0!</v>
      </c>
      <c r="O30" s="99" t="e">
        <f t="shared" si="31"/>
        <v>#DIV/0!</v>
      </c>
      <c r="P30" s="99" t="e">
        <f t="shared" si="31"/>
        <v>#DIV/0!</v>
      </c>
      <c r="Q30" s="99" t="e">
        <f t="shared" si="31"/>
        <v>#DIV/0!</v>
      </c>
      <c r="R30" s="99" t="e">
        <f t="shared" si="31"/>
        <v>#DIV/0!</v>
      </c>
      <c r="S30" s="100" t="e">
        <f t="shared" si="31"/>
        <v>#DIV/0!</v>
      </c>
      <c r="T30" s="99" t="e">
        <f t="shared" si="31"/>
        <v>#DIV/0!</v>
      </c>
      <c r="U30" s="99" t="e">
        <f t="shared" si="31"/>
        <v>#DIV/0!</v>
      </c>
      <c r="V30" s="99" t="e">
        <f t="shared" si="31"/>
        <v>#DIV/0!</v>
      </c>
      <c r="W30" s="99" t="e">
        <f t="shared" si="31"/>
        <v>#DIV/0!</v>
      </c>
      <c r="X30" s="100" t="e">
        <f t="shared" si="31"/>
        <v>#DIV/0!</v>
      </c>
      <c r="Y30" s="99">
        <f>Y29/T23-1</f>
        <v>0.37022787772414834</v>
      </c>
      <c r="Z30" s="99">
        <f>Z29/U23-1</f>
        <v>0.41230737762730985</v>
      </c>
      <c r="AA30" s="236">
        <v>0.42</v>
      </c>
      <c r="AB30" s="99">
        <f t="shared" ref="AB30:AQ30" si="32">AB29/W23-1</f>
        <v>0.39485819691030666</v>
      </c>
      <c r="AC30" s="100">
        <f t="shared" si="32"/>
        <v>0.38368733552631573</v>
      </c>
      <c r="AD30" s="99">
        <f t="shared" si="32"/>
        <v>0.32835667215815478</v>
      </c>
      <c r="AE30" s="99">
        <f t="shared" si="32"/>
        <v>0.27114693600077699</v>
      </c>
      <c r="AF30" s="99">
        <f t="shared" si="32"/>
        <v>0.3617700729927007</v>
      </c>
      <c r="AG30" s="99">
        <f t="shared" si="32"/>
        <v>0.47429624787341584</v>
      </c>
      <c r="AH30" s="100">
        <f t="shared" si="32"/>
        <v>0.36472800742086742</v>
      </c>
      <c r="AI30" s="99">
        <f t="shared" si="32"/>
        <v>0.52871870397643583</v>
      </c>
      <c r="AJ30" s="99">
        <f t="shared" si="32"/>
        <v>0.53747421498968606</v>
      </c>
      <c r="AK30" s="99">
        <f t="shared" si="32"/>
        <v>0.45561139028475717</v>
      </c>
      <c r="AL30" s="99">
        <f t="shared" si="32"/>
        <v>0.25315340126686858</v>
      </c>
      <c r="AM30" s="100">
        <f>AM29/AH23-1</f>
        <v>0.42749280514643639</v>
      </c>
      <c r="AN30" s="99">
        <f t="shared" si="32"/>
        <v>0.23258290234256163</v>
      </c>
      <c r="AO30" s="99">
        <f t="shared" si="32"/>
        <v>0.27872192407076124</v>
      </c>
      <c r="AP30" s="99">
        <f t="shared" si="32"/>
        <v>0.27834292289988483</v>
      </c>
      <c r="AQ30" s="99">
        <f t="shared" si="32"/>
        <v>0.28680058019427723</v>
      </c>
      <c r="AR30" s="100">
        <f t="shared" ref="AR30:BA30" si="33">AR29/AM23-1</f>
        <v>0.27001257085932506</v>
      </c>
      <c r="AS30" s="98">
        <f t="shared" si="33"/>
        <v>0.31576782261713765</v>
      </c>
      <c r="AT30" s="99">
        <f t="shared" si="33"/>
        <v>0.25581937589865156</v>
      </c>
      <c r="AU30" s="99">
        <f t="shared" si="33"/>
        <v>0.26634740025925385</v>
      </c>
      <c r="AV30" s="99">
        <f t="shared" si="33"/>
        <v>0.23124743817461413</v>
      </c>
      <c r="AW30" s="100">
        <f t="shared" si="33"/>
        <v>0.26544028387337759</v>
      </c>
      <c r="AX30" s="98">
        <f t="shared" si="33"/>
        <v>0.19784273878380487</v>
      </c>
      <c r="AY30" s="236">
        <f t="shared" si="33"/>
        <v>0.2084106943928703</v>
      </c>
      <c r="AZ30" s="99">
        <f t="shared" si="33"/>
        <v>0.21772015126958411</v>
      </c>
      <c r="BA30" s="99">
        <f t="shared" si="33"/>
        <v>0.26119402985074625</v>
      </c>
      <c r="BB30" s="100">
        <f>BB29/AW23-1</f>
        <v>0.22237226600549009</v>
      </c>
      <c r="BC30" s="99">
        <v>0.25</v>
      </c>
      <c r="BD30" s="99">
        <v>0.25</v>
      </c>
      <c r="BE30" s="99">
        <v>0.22</v>
      </c>
      <c r="BF30" s="99">
        <v>0.13142999999999999</v>
      </c>
      <c r="BG30" s="100">
        <f>BG29/BB23-1</f>
        <v>0.27219274257324133</v>
      </c>
      <c r="BH30" s="99">
        <f>BH29/BC29-1</f>
        <v>0.38470106891159528</v>
      </c>
      <c r="BI30" s="99">
        <f>BI29/BD29-1</f>
        <v>0.39951023954815645</v>
      </c>
      <c r="BJ30" s="99">
        <f>BJ29/BE29-1</f>
        <v>0.28776236214870154</v>
      </c>
      <c r="BK30" s="99">
        <f>BK29/BF29-1</f>
        <v>0.34938811188811192</v>
      </c>
      <c r="BL30" s="100">
        <f>BL29/BG23-1</f>
        <v>0.35281389389769391</v>
      </c>
      <c r="BM30" s="99">
        <f>BM29/BH29-1</f>
        <v>0.18566876024875478</v>
      </c>
      <c r="BN30" s="99">
        <f>BN29/BI29-1</f>
        <v>0.11657047709088864</v>
      </c>
      <c r="BO30" s="99">
        <f>BO29/BJ29-1</f>
        <v>0.14605375839111567</v>
      </c>
      <c r="BP30" s="99">
        <f>BP29/BK29-1</f>
        <v>0.13415819135842466</v>
      </c>
      <c r="BQ30" s="100">
        <f>BQ29/BL23-1</f>
        <v>0.14448669201520903</v>
      </c>
      <c r="BR30" s="99">
        <f>BR29/BM29-1</f>
        <v>0.237291894995042</v>
      </c>
      <c r="BS30" s="99">
        <f>BS29/BN29-1</f>
        <v>0.23834799312506316</v>
      </c>
      <c r="BT30" s="99">
        <f>BT29/BO29-1</f>
        <v>0.24181651641517621</v>
      </c>
      <c r="BU30" s="99">
        <f>BU29/BP29-1</f>
        <v>0.27564541923692021</v>
      </c>
      <c r="BV30" s="100">
        <f>BV29/BQ23-1</f>
        <v>0.24898861114856996</v>
      </c>
      <c r="BW30" s="484">
        <v>0.17</v>
      </c>
      <c r="BX30" s="484">
        <v>0.17</v>
      </c>
      <c r="BY30" s="484">
        <v>0.17</v>
      </c>
      <c r="BZ30" s="484">
        <v>0.17</v>
      </c>
      <c r="CA30" s="100">
        <f>CA29/BV29-1</f>
        <v>1.4151939390221457</v>
      </c>
      <c r="CB30" s="484">
        <v>0.14000000000000001</v>
      </c>
      <c r="CC30" s="484">
        <v>0.14000000000000001</v>
      </c>
      <c r="CD30" s="484">
        <v>0.14000000000000001</v>
      </c>
      <c r="CE30" s="484">
        <v>0.14000000000000001</v>
      </c>
      <c r="CF30" s="100">
        <f>CF29/CA29-1</f>
        <v>0.10540591849092795</v>
      </c>
      <c r="CJ30" s="810">
        <v>1.48</v>
      </c>
      <c r="CK30" s="810">
        <v>5</v>
      </c>
      <c r="CL30" s="810">
        <v>2.4</v>
      </c>
      <c r="CM30" s="810">
        <v>1.3</v>
      </c>
    </row>
    <row r="31" spans="2:92" s="10" customFormat="1" ht="12.75">
      <c r="B31" s="11"/>
      <c r="C31" s="12" t="s">
        <v>787</v>
      </c>
      <c r="D31" s="13"/>
      <c r="E31" s="12"/>
      <c r="F31" s="12"/>
      <c r="G31" s="12"/>
      <c r="H31" s="12"/>
      <c r="I31" s="13"/>
      <c r="J31" s="12"/>
      <c r="K31" s="12"/>
      <c r="L31" s="12"/>
      <c r="M31" s="12"/>
      <c r="N31" s="13"/>
      <c r="O31" s="12"/>
      <c r="P31" s="12"/>
      <c r="Q31" s="12"/>
      <c r="R31" s="12"/>
      <c r="S31" s="13"/>
      <c r="T31" s="12"/>
      <c r="U31" s="12"/>
      <c r="V31" s="12"/>
      <c r="W31" s="12"/>
      <c r="X31" s="13"/>
      <c r="Y31" s="12">
        <v>256</v>
      </c>
      <c r="Z31" s="12">
        <v>256</v>
      </c>
      <c r="AA31" s="81">
        <v>375</v>
      </c>
      <c r="AB31" s="12">
        <v>250</v>
      </c>
      <c r="AC31" s="23">
        <f>SUM(Y31:AB31)</f>
        <v>1137</v>
      </c>
      <c r="AD31" s="12">
        <v>572</v>
      </c>
      <c r="AE31" s="12">
        <v>774</v>
      </c>
      <c r="AF31" s="12">
        <v>677</v>
      </c>
      <c r="AG31" s="12">
        <v>771</v>
      </c>
      <c r="AH31" s="23">
        <f>SUM(AD31:AG31)</f>
        <v>2794</v>
      </c>
      <c r="AI31" s="81">
        <f>AI25</f>
        <v>785</v>
      </c>
      <c r="AJ31" s="81">
        <f>AJ25</f>
        <v>810</v>
      </c>
      <c r="AK31" s="81">
        <v>969</v>
      </c>
      <c r="AL31" s="12">
        <f>+AL25</f>
        <v>962</v>
      </c>
      <c r="AM31" s="23">
        <f>SUM(AI31:AL31)</f>
        <v>3526</v>
      </c>
      <c r="AN31" s="12">
        <f>AN25</f>
        <v>979</v>
      </c>
      <c r="AO31" s="12">
        <f>AO25</f>
        <v>1216</v>
      </c>
      <c r="AP31" s="81">
        <f>AP25</f>
        <v>1264</v>
      </c>
      <c r="AQ31" s="81">
        <f>AQ25</f>
        <v>1384</v>
      </c>
      <c r="AR31" s="23">
        <f>SUM(AN31:AQ31)</f>
        <v>4843</v>
      </c>
      <c r="AS31" s="12">
        <f>AS25</f>
        <v>2104</v>
      </c>
      <c r="AT31" s="81">
        <f>AT25</f>
        <v>1652</v>
      </c>
      <c r="AU31" s="81">
        <f>AU25</f>
        <v>1700</v>
      </c>
      <c r="AV31" s="81">
        <f>AV25</f>
        <v>1732</v>
      </c>
      <c r="AW31" s="23">
        <f>SUM(AS31:AV31)</f>
        <v>7188</v>
      </c>
      <c r="AX31" s="81">
        <f>AX25</f>
        <v>1789</v>
      </c>
      <c r="AY31" s="81">
        <f>AY25</f>
        <v>1896</v>
      </c>
      <c r="AZ31" s="12">
        <f>AZ25</f>
        <v>2014</v>
      </c>
      <c r="BA31" s="12">
        <f>BA25</f>
        <v>2160</v>
      </c>
      <c r="BB31" s="23">
        <f>SUM(AX31:BA31)</f>
        <v>7859</v>
      </c>
      <c r="BC31" s="12">
        <v>2345</v>
      </c>
      <c r="BD31" s="12">
        <v>2372</v>
      </c>
      <c r="BE31" s="12">
        <v>2479</v>
      </c>
      <c r="BF31" s="12">
        <f>9807-BE31-BD31-BC31</f>
        <v>2611</v>
      </c>
      <c r="BG31" s="23">
        <f>SUM(BC31:BF31)</f>
        <v>9807</v>
      </c>
      <c r="BH31" s="12">
        <v>2633</v>
      </c>
      <c r="BI31" s="81">
        <v>2608</v>
      </c>
      <c r="BJ31" s="12">
        <v>2874</v>
      </c>
      <c r="BK31" s="12">
        <f>11260-BJ31-BI31-BH31</f>
        <v>3145</v>
      </c>
      <c r="BL31" s="23">
        <f>SUM(BH31:BK31)</f>
        <v>11260</v>
      </c>
      <c r="BM31" s="12">
        <v>5079</v>
      </c>
      <c r="BN31" s="12">
        <v>2750</v>
      </c>
      <c r="BO31" s="12">
        <v>2605</v>
      </c>
      <c r="BP31" s="12">
        <v>6547</v>
      </c>
      <c r="BQ31" s="23">
        <f>SUM(BM31:BP31)</f>
        <v>16981</v>
      </c>
      <c r="BR31" s="12">
        <v>7648</v>
      </c>
      <c r="BS31" s="12">
        <v>7870</v>
      </c>
      <c r="BT31" s="12">
        <v>8311</v>
      </c>
      <c r="BU31" s="81">
        <f>BU25</f>
        <v>9420</v>
      </c>
      <c r="BV31" s="23">
        <f>SUM(BR31:BU31)</f>
        <v>33249</v>
      </c>
      <c r="BW31" s="81">
        <v>8500</v>
      </c>
      <c r="BX31" s="81">
        <v>8600</v>
      </c>
      <c r="BY31" s="81">
        <v>8700</v>
      </c>
      <c r="BZ31" s="81">
        <v>8800</v>
      </c>
      <c r="CA31" s="23">
        <f>SUM(BW31:BZ31)</f>
        <v>34600</v>
      </c>
      <c r="CB31" s="81">
        <v>3000</v>
      </c>
      <c r="CC31" s="81">
        <v>3000</v>
      </c>
      <c r="CD31" s="81">
        <v>3000</v>
      </c>
      <c r="CE31" s="81">
        <v>3000</v>
      </c>
      <c r="CF31" s="23">
        <f>SUM(CB31:CE31)</f>
        <v>12000</v>
      </c>
    </row>
    <row r="32" spans="2:92" s="97" customFormat="1" ht="10.15">
      <c r="B32" s="98"/>
      <c r="C32" s="99" t="s">
        <v>21</v>
      </c>
      <c r="D32" s="100" t="e">
        <f>D31/#REF!-1</f>
        <v>#REF!</v>
      </c>
      <c r="E32" s="99" t="e">
        <f>E31/#REF!-1</f>
        <v>#REF!</v>
      </c>
      <c r="F32" s="99" t="e">
        <f t="shared" ref="F32:Z32" si="34">F31/A31-1</f>
        <v>#DIV/0!</v>
      </c>
      <c r="G32" s="99" t="e">
        <f t="shared" si="34"/>
        <v>#DIV/0!</v>
      </c>
      <c r="H32" s="99" t="e">
        <f t="shared" si="34"/>
        <v>#VALUE!</v>
      </c>
      <c r="I32" s="100" t="e">
        <f t="shared" si="34"/>
        <v>#DIV/0!</v>
      </c>
      <c r="J32" s="99" t="e">
        <f t="shared" si="34"/>
        <v>#DIV/0!</v>
      </c>
      <c r="K32" s="99" t="e">
        <f t="shared" si="34"/>
        <v>#DIV/0!</v>
      </c>
      <c r="L32" s="99" t="e">
        <f t="shared" si="34"/>
        <v>#DIV/0!</v>
      </c>
      <c r="M32" s="99" t="e">
        <f t="shared" si="34"/>
        <v>#DIV/0!</v>
      </c>
      <c r="N32" s="100" t="e">
        <f t="shared" si="34"/>
        <v>#DIV/0!</v>
      </c>
      <c r="O32" s="99" t="e">
        <f t="shared" si="34"/>
        <v>#DIV/0!</v>
      </c>
      <c r="P32" s="99" t="e">
        <f t="shared" si="34"/>
        <v>#DIV/0!</v>
      </c>
      <c r="Q32" s="99" t="e">
        <f t="shared" si="34"/>
        <v>#DIV/0!</v>
      </c>
      <c r="R32" s="99" t="e">
        <f t="shared" si="34"/>
        <v>#DIV/0!</v>
      </c>
      <c r="S32" s="100" t="e">
        <f t="shared" si="34"/>
        <v>#DIV/0!</v>
      </c>
      <c r="T32" s="99" t="e">
        <f t="shared" si="34"/>
        <v>#DIV/0!</v>
      </c>
      <c r="U32" s="99" t="e">
        <f t="shared" si="34"/>
        <v>#DIV/0!</v>
      </c>
      <c r="V32" s="99" t="e">
        <f t="shared" si="34"/>
        <v>#DIV/0!</v>
      </c>
      <c r="W32" s="99" t="e">
        <f t="shared" si="34"/>
        <v>#DIV/0!</v>
      </c>
      <c r="X32" s="100" t="e">
        <f t="shared" si="34"/>
        <v>#DIV/0!</v>
      </c>
      <c r="Y32" s="99" t="e">
        <f t="shared" si="34"/>
        <v>#DIV/0!</v>
      </c>
      <c r="Z32" s="99" t="e">
        <f t="shared" si="34"/>
        <v>#DIV/0!</v>
      </c>
      <c r="AA32" s="236"/>
      <c r="AB32" s="99"/>
      <c r="AC32" s="100"/>
      <c r="AD32" s="99"/>
      <c r="AE32" s="99"/>
      <c r="AF32" s="99"/>
      <c r="AG32" s="99"/>
      <c r="AH32" s="100"/>
      <c r="AI32" s="99"/>
      <c r="AJ32" s="99"/>
      <c r="AK32" s="99"/>
      <c r="AL32" s="99"/>
      <c r="AM32" s="100"/>
      <c r="AN32" s="99"/>
      <c r="AO32" s="99"/>
      <c r="AP32" s="99"/>
      <c r="AQ32" s="99"/>
      <c r="AR32" s="100"/>
      <c r="AS32" s="99"/>
      <c r="AT32" s="99"/>
      <c r="AU32" s="99"/>
      <c r="AV32" s="99"/>
      <c r="AW32" s="100"/>
      <c r="AX32" s="99"/>
      <c r="AY32" s="236"/>
      <c r="AZ32" s="99"/>
      <c r="BA32" s="99"/>
      <c r="BB32" s="100"/>
      <c r="BC32" s="99"/>
      <c r="BD32" s="99"/>
      <c r="BE32" s="99"/>
      <c r="BF32" s="99"/>
      <c r="BG32" s="100"/>
      <c r="BH32" s="99"/>
      <c r="BI32" s="99"/>
      <c r="BJ32" s="99"/>
      <c r="BK32" s="99"/>
      <c r="BL32" s="100"/>
      <c r="BM32" s="99"/>
      <c r="BN32" s="99"/>
      <c r="BO32" s="99"/>
      <c r="BP32" s="99"/>
      <c r="BQ32" s="100"/>
      <c r="BR32" s="99"/>
      <c r="BS32" s="99"/>
      <c r="BT32" s="99"/>
      <c r="BU32" s="99"/>
      <c r="BV32" s="100"/>
      <c r="BW32" s="99"/>
      <c r="BX32" s="99"/>
      <c r="BY32" s="99"/>
      <c r="BZ32" s="99"/>
      <c r="CA32" s="100"/>
      <c r="CB32" s="99"/>
      <c r="CC32" s="99"/>
      <c r="CD32" s="99"/>
      <c r="CE32" s="99"/>
      <c r="CF32" s="100"/>
    </row>
    <row r="33" spans="2:91" s="7" customFormat="1" ht="12.75">
      <c r="B33" s="11"/>
      <c r="C33" s="12" t="s">
        <v>355</v>
      </c>
      <c r="D33" s="9"/>
      <c r="I33" s="9"/>
      <c r="N33" s="9"/>
      <c r="S33" s="9"/>
      <c r="X33" s="9"/>
      <c r="Y33" s="22">
        <f>Y22-Y27</f>
        <v>343.75199999999859</v>
      </c>
      <c r="Z33" s="22">
        <f>Z22-Z27</f>
        <v>285.15300000000025</v>
      </c>
      <c r="AA33" s="81">
        <f>AA22-AA27</f>
        <v>334.14700000000084</v>
      </c>
      <c r="AB33" s="12">
        <f>AB22-AB27</f>
        <v>215.35000000000036</v>
      </c>
      <c r="AC33" s="23">
        <f>SUM(Y33:AB33)</f>
        <v>1178.402</v>
      </c>
      <c r="AD33" s="7">
        <v>0</v>
      </c>
      <c r="AE33" s="7">
        <v>0</v>
      </c>
      <c r="AF33" s="7">
        <v>0</v>
      </c>
      <c r="AG33" s="7">
        <v>0</v>
      </c>
      <c r="AH33" s="23">
        <f>SUM(AD33:AG33)</f>
        <v>0</v>
      </c>
      <c r="AI33" s="7">
        <v>0</v>
      </c>
      <c r="AJ33" s="7">
        <v>0</v>
      </c>
      <c r="AK33" s="7">
        <v>0</v>
      </c>
      <c r="AL33" s="7">
        <v>0</v>
      </c>
      <c r="AM33" s="23">
        <f>SUM(AI33:AL33)</f>
        <v>0</v>
      </c>
      <c r="AN33" s="7">
        <v>0</v>
      </c>
      <c r="AO33" s="7">
        <v>0</v>
      </c>
      <c r="AP33" s="7">
        <v>0</v>
      </c>
      <c r="AQ33" s="22">
        <f>AQ23-AQ29</f>
        <v>0</v>
      </c>
      <c r="AR33" s="23">
        <f>SUM(AN33:AQ33)</f>
        <v>0</v>
      </c>
      <c r="AS33" s="12">
        <v>1011</v>
      </c>
      <c r="AT33" s="12">
        <v>1017</v>
      </c>
      <c r="AU33" s="35">
        <v>1058</v>
      </c>
      <c r="AV33" s="837"/>
      <c r="AW33" s="23">
        <f>SUM(AS33:AV33)</f>
        <v>3086</v>
      </c>
      <c r="AX33" s="12"/>
      <c r="AY33" s="12"/>
      <c r="AZ33" s="12"/>
      <c r="BA33" s="35"/>
      <c r="BB33" s="23">
        <f>SUM(AX33:BA33)</f>
        <v>0</v>
      </c>
      <c r="BC33" s="12"/>
      <c r="BD33" s="12"/>
      <c r="BE33" s="12"/>
      <c r="BF33" s="35"/>
      <c r="BG33" s="23">
        <f>SUM(BC33:BF33)</f>
        <v>0</v>
      </c>
      <c r="BH33" s="12"/>
      <c r="BI33" s="12"/>
      <c r="BJ33" s="12"/>
      <c r="BK33" s="35"/>
      <c r="BL33" s="23">
        <f>SUM(BH33:BK33)</f>
        <v>0</v>
      </c>
      <c r="BM33" s="12"/>
      <c r="BN33" s="12"/>
      <c r="BO33" s="12"/>
      <c r="BP33" s="35"/>
      <c r="BQ33" s="23">
        <f>SUM(BM33:BP33)</f>
        <v>0</v>
      </c>
      <c r="BR33" s="12"/>
      <c r="BS33" s="12">
        <f>93700+1228</f>
        <v>94928</v>
      </c>
      <c r="BT33" s="12">
        <v>144200</v>
      </c>
      <c r="BU33" s="35">
        <v>117000</v>
      </c>
      <c r="BV33" s="23">
        <f>SUM(BR33:BU33)</f>
        <v>356128</v>
      </c>
      <c r="BW33" s="12"/>
      <c r="BX33" s="12"/>
      <c r="BY33" s="12"/>
      <c r="BZ33" s="35"/>
      <c r="CA33" s="23">
        <f>SUM(BW33:BZ33)</f>
        <v>0</v>
      </c>
      <c r="CB33" s="12"/>
      <c r="CC33" s="12"/>
      <c r="CD33" s="12"/>
      <c r="CE33" s="35"/>
      <c r="CF33" s="23">
        <f>SUM(CB33:CE33)</f>
        <v>0</v>
      </c>
    </row>
    <row r="34" spans="2:91" s="97" customFormat="1" ht="10.15">
      <c r="B34" s="98"/>
      <c r="C34" s="99" t="s">
        <v>21</v>
      </c>
      <c r="D34" s="100"/>
      <c r="E34" s="99"/>
      <c r="F34" s="99"/>
      <c r="G34" s="99"/>
      <c r="H34" s="99"/>
      <c r="I34" s="100"/>
      <c r="J34" s="99"/>
      <c r="K34" s="99"/>
      <c r="L34" s="99"/>
      <c r="M34" s="99"/>
      <c r="N34" s="100"/>
      <c r="O34" s="99"/>
      <c r="P34" s="99"/>
      <c r="Q34" s="99"/>
      <c r="R34" s="99"/>
      <c r="S34" s="100"/>
      <c r="T34" s="99"/>
      <c r="U34" s="99"/>
      <c r="V34" s="99"/>
      <c r="W34" s="99"/>
      <c r="X34" s="100"/>
      <c r="Y34" s="99">
        <v>4.9000000000000002E-2</v>
      </c>
      <c r="Z34" s="99">
        <v>3.9E-2</v>
      </c>
      <c r="AA34" s="236"/>
      <c r="AB34" s="99"/>
      <c r="AC34" s="100"/>
      <c r="AD34" s="99"/>
      <c r="AE34" s="99"/>
      <c r="AF34" s="99"/>
      <c r="AG34" s="99"/>
      <c r="AH34" s="100"/>
      <c r="AI34" s="99"/>
      <c r="AJ34" s="99"/>
      <c r="AK34" s="99"/>
      <c r="AL34" s="99"/>
      <c r="AM34" s="100"/>
      <c r="AN34" s="99"/>
      <c r="AO34" s="99"/>
      <c r="AP34" s="99"/>
      <c r="AQ34" s="99">
        <f>AQ24-AQ28</f>
        <v>-6.1610864021044431E-3</v>
      </c>
      <c r="AR34" s="100"/>
      <c r="AS34" s="99"/>
      <c r="AT34" s="99"/>
      <c r="AU34" s="99"/>
      <c r="AV34" s="99"/>
      <c r="AW34" s="100"/>
      <c r="AX34" s="99"/>
      <c r="AY34" s="99"/>
      <c r="AZ34" s="99"/>
      <c r="BA34" s="99"/>
      <c r="BB34" s="100"/>
      <c r="BC34" s="99"/>
      <c r="BD34" s="99"/>
      <c r="BE34" s="99"/>
      <c r="BF34" s="99"/>
      <c r="BG34" s="100"/>
      <c r="BH34" s="99"/>
      <c r="BI34" s="99"/>
      <c r="BJ34" s="99"/>
      <c r="BK34" s="99"/>
      <c r="BL34" s="100"/>
      <c r="BM34" s="99"/>
      <c r="BN34" s="99"/>
      <c r="BO34" s="99"/>
      <c r="BP34" s="99"/>
      <c r="BQ34" s="100"/>
      <c r="BR34" s="99"/>
      <c r="BS34" s="99"/>
      <c r="BT34" s="99"/>
      <c r="BU34" s="99"/>
      <c r="BV34" s="100"/>
      <c r="BW34" s="99"/>
      <c r="BX34" s="99"/>
      <c r="BY34" s="99"/>
      <c r="BZ34" s="99"/>
      <c r="CA34" s="100"/>
      <c r="CB34" s="99"/>
      <c r="CC34" s="99"/>
      <c r="CD34" s="99"/>
      <c r="CE34" s="99"/>
      <c r="CF34" s="100"/>
    </row>
    <row r="35" spans="2:91" s="10" customFormat="1" ht="12.75">
      <c r="B35" s="11"/>
      <c r="C35" s="12" t="s">
        <v>797</v>
      </c>
      <c r="D35" s="13"/>
      <c r="E35" s="12"/>
      <c r="F35" s="12"/>
      <c r="G35" s="12"/>
      <c r="H35" s="12"/>
      <c r="I35" s="13"/>
      <c r="J35" s="12"/>
      <c r="K35" s="12"/>
      <c r="L35" s="12"/>
      <c r="M35" s="12"/>
      <c r="N35" s="13"/>
      <c r="O35" s="12"/>
      <c r="P35" s="12"/>
      <c r="Q35" s="12"/>
      <c r="R35" s="12"/>
      <c r="S35" s="13"/>
      <c r="T35" s="12"/>
      <c r="U35" s="12"/>
      <c r="V35" s="12"/>
      <c r="W35" s="12"/>
      <c r="X35" s="13"/>
      <c r="Y35" s="12"/>
      <c r="Z35" s="12"/>
      <c r="AA35" s="81"/>
      <c r="AB35" s="12"/>
      <c r="AC35" s="13"/>
      <c r="AD35" s="12"/>
      <c r="AE35" s="12"/>
      <c r="AF35" s="12"/>
      <c r="AG35" s="12"/>
      <c r="AH35" s="13"/>
      <c r="AI35" s="12"/>
      <c r="AJ35" s="12"/>
      <c r="AK35" s="12"/>
      <c r="AL35" s="12"/>
      <c r="AM35" s="13"/>
      <c r="AN35" s="12"/>
      <c r="AO35" s="12"/>
      <c r="AP35" s="12"/>
      <c r="AQ35" s="12"/>
      <c r="AR35" s="13"/>
      <c r="AS35" s="12"/>
      <c r="AT35" s="12"/>
      <c r="AU35" s="12"/>
      <c r="AV35" s="12"/>
      <c r="AW35" s="13"/>
      <c r="AX35" s="12"/>
      <c r="AY35" s="12"/>
      <c r="AZ35" s="12"/>
      <c r="BA35" s="12"/>
      <c r="BB35" s="13">
        <f>+BB23-BB44</f>
        <v>106185</v>
      </c>
      <c r="BC35" s="12">
        <f t="shared" ref="BC35:BV35" si="35">+BC23-BC44</f>
        <v>46683</v>
      </c>
      <c r="BD35" s="12">
        <f t="shared" si="35"/>
        <v>50637</v>
      </c>
      <c r="BE35" s="12">
        <f t="shared" si="35"/>
        <v>56220</v>
      </c>
      <c r="BF35" s="12">
        <f t="shared" si="35"/>
        <v>57200</v>
      </c>
      <c r="BG35" s="13">
        <f t="shared" si="35"/>
        <v>142302</v>
      </c>
      <c r="BH35" s="12">
        <f t="shared" si="35"/>
        <v>64642</v>
      </c>
      <c r="BI35" s="12">
        <f t="shared" si="35"/>
        <v>70867</v>
      </c>
      <c r="BJ35" s="12">
        <f t="shared" si="35"/>
        <v>72398</v>
      </c>
      <c r="BK35" s="12">
        <f t="shared" si="35"/>
        <v>77185</v>
      </c>
      <c r="BL35" s="13">
        <f t="shared" si="35"/>
        <v>201804</v>
      </c>
      <c r="BM35" s="12">
        <f t="shared" si="35"/>
        <v>54667</v>
      </c>
      <c r="BN35" s="12">
        <f t="shared" si="35"/>
        <v>57874</v>
      </c>
      <c r="BO35" s="12">
        <f t="shared" si="35"/>
        <v>59804</v>
      </c>
      <c r="BP35" s="12">
        <f t="shared" si="35"/>
        <v>62952</v>
      </c>
      <c r="BQ35" s="13">
        <f t="shared" si="35"/>
        <v>235297</v>
      </c>
      <c r="BR35" s="12">
        <f t="shared" si="35"/>
        <v>67929</v>
      </c>
      <c r="BS35" s="12">
        <f t="shared" si="35"/>
        <v>73267</v>
      </c>
      <c r="BT35" s="12">
        <f t="shared" si="35"/>
        <v>74229</v>
      </c>
      <c r="BU35" s="12">
        <f t="shared" si="35"/>
        <v>83629</v>
      </c>
      <c r="BV35" s="13">
        <f t="shared" si="35"/>
        <v>299054</v>
      </c>
      <c r="BW35" s="12">
        <f>+BR35*(1+BW36)</f>
        <v>91704.150000000009</v>
      </c>
      <c r="BX35" s="12">
        <f>+BS35*(1+BX36)</f>
        <v>102573.79999999999</v>
      </c>
      <c r="BY35" s="12">
        <f>+BT35*(1+BY36)</f>
        <v>105405.18</v>
      </c>
      <c r="BZ35" s="12">
        <f>+BU35*(1+BZ36)</f>
        <v>117080.59999999999</v>
      </c>
      <c r="CA35" s="23">
        <f>SUM(BW35:BZ35)</f>
        <v>416763.73</v>
      </c>
      <c r="CB35" s="12">
        <f>+BW35*(1+CB36)</f>
        <v>104542.73100000001</v>
      </c>
      <c r="CC35" s="12">
        <f>+BX35*(1+CC36)</f>
        <v>116934.132</v>
      </c>
      <c r="CD35" s="12">
        <f>+BY35*(1+CD36)</f>
        <v>120161.90520000001</v>
      </c>
      <c r="CE35" s="12">
        <f>+BZ35*(1+CE36)</f>
        <v>133471.88399999999</v>
      </c>
      <c r="CF35" s="23">
        <f>SUM(CB35:CE35)</f>
        <v>475110.65220000001</v>
      </c>
    </row>
    <row r="36" spans="2:91" s="97" customFormat="1" ht="10.15">
      <c r="B36" s="98"/>
      <c r="C36" s="99" t="s">
        <v>21</v>
      </c>
      <c r="D36" s="100" t="e">
        <f>D35/#REF!-1</f>
        <v>#REF!</v>
      </c>
      <c r="E36" s="99" t="e">
        <f>E35/#REF!-1</f>
        <v>#REF!</v>
      </c>
      <c r="F36" s="99" t="e">
        <f t="shared" ref="F36:X36" si="36">F35/A35-1</f>
        <v>#DIV/0!</v>
      </c>
      <c r="G36" s="99" t="e">
        <f t="shared" si="36"/>
        <v>#DIV/0!</v>
      </c>
      <c r="H36" s="99" t="e">
        <f t="shared" si="36"/>
        <v>#VALUE!</v>
      </c>
      <c r="I36" s="100" t="e">
        <f t="shared" si="36"/>
        <v>#DIV/0!</v>
      </c>
      <c r="J36" s="99" t="e">
        <f t="shared" si="36"/>
        <v>#DIV/0!</v>
      </c>
      <c r="K36" s="99" t="e">
        <f t="shared" si="36"/>
        <v>#DIV/0!</v>
      </c>
      <c r="L36" s="99" t="e">
        <f t="shared" si="36"/>
        <v>#DIV/0!</v>
      </c>
      <c r="M36" s="99" t="e">
        <f t="shared" si="36"/>
        <v>#DIV/0!</v>
      </c>
      <c r="N36" s="100" t="e">
        <f t="shared" si="36"/>
        <v>#DIV/0!</v>
      </c>
      <c r="O36" s="99" t="e">
        <f t="shared" si="36"/>
        <v>#DIV/0!</v>
      </c>
      <c r="P36" s="99" t="e">
        <f t="shared" si="36"/>
        <v>#DIV/0!</v>
      </c>
      <c r="Q36" s="99" t="e">
        <f t="shared" si="36"/>
        <v>#DIV/0!</v>
      </c>
      <c r="R36" s="99" t="e">
        <f t="shared" si="36"/>
        <v>#DIV/0!</v>
      </c>
      <c r="S36" s="100" t="e">
        <f t="shared" si="36"/>
        <v>#DIV/0!</v>
      </c>
      <c r="T36" s="99" t="e">
        <f t="shared" si="36"/>
        <v>#DIV/0!</v>
      </c>
      <c r="U36" s="99" t="e">
        <f t="shared" si="36"/>
        <v>#DIV/0!</v>
      </c>
      <c r="V36" s="99" t="e">
        <f t="shared" si="36"/>
        <v>#DIV/0!</v>
      </c>
      <c r="W36" s="99" t="e">
        <f t="shared" si="36"/>
        <v>#DIV/0!</v>
      </c>
      <c r="X36" s="100" t="e">
        <f t="shared" si="36"/>
        <v>#DIV/0!</v>
      </c>
      <c r="Y36" s="99" t="e">
        <f>Y35/T29-1</f>
        <v>#DIV/0!</v>
      </c>
      <c r="Z36" s="99" t="e">
        <f>Z35/U29-1</f>
        <v>#DIV/0!</v>
      </c>
      <c r="AA36" s="236">
        <v>0.42</v>
      </c>
      <c r="AB36" s="99" t="e">
        <f t="shared" ref="AB36:BB36" si="37">AB35/W29-1</f>
        <v>#DIV/0!</v>
      </c>
      <c r="AC36" s="100" t="e">
        <f t="shared" si="37"/>
        <v>#DIV/0!</v>
      </c>
      <c r="AD36" s="99">
        <f t="shared" si="37"/>
        <v>-1</v>
      </c>
      <c r="AE36" s="99">
        <f t="shared" si="37"/>
        <v>-1</v>
      </c>
      <c r="AF36" s="99">
        <f t="shared" si="37"/>
        <v>-1</v>
      </c>
      <c r="AG36" s="99">
        <f t="shared" si="37"/>
        <v>-1</v>
      </c>
      <c r="AH36" s="100">
        <f t="shared" si="37"/>
        <v>-1</v>
      </c>
      <c r="AI36" s="99">
        <f t="shared" si="37"/>
        <v>-1</v>
      </c>
      <c r="AJ36" s="99">
        <f t="shared" si="37"/>
        <v>-1</v>
      </c>
      <c r="AK36" s="99">
        <f t="shared" si="37"/>
        <v>-1</v>
      </c>
      <c r="AL36" s="99">
        <f t="shared" si="37"/>
        <v>-1</v>
      </c>
      <c r="AM36" s="100">
        <f t="shared" si="37"/>
        <v>-1</v>
      </c>
      <c r="AN36" s="99">
        <f t="shared" si="37"/>
        <v>-1</v>
      </c>
      <c r="AO36" s="99">
        <f t="shared" si="37"/>
        <v>-1</v>
      </c>
      <c r="AP36" s="99">
        <f t="shared" si="37"/>
        <v>-1</v>
      </c>
      <c r="AQ36" s="99">
        <f t="shared" si="37"/>
        <v>-1</v>
      </c>
      <c r="AR36" s="100">
        <f t="shared" si="37"/>
        <v>-1</v>
      </c>
      <c r="AS36" s="98">
        <f t="shared" si="37"/>
        <v>-1</v>
      </c>
      <c r="AT36" s="99">
        <f t="shared" si="37"/>
        <v>-1</v>
      </c>
      <c r="AU36" s="99">
        <f t="shared" si="37"/>
        <v>-1</v>
      </c>
      <c r="AV36" s="99">
        <f t="shared" si="37"/>
        <v>-1</v>
      </c>
      <c r="AW36" s="100">
        <f t="shared" si="37"/>
        <v>-1</v>
      </c>
      <c r="AX36" s="98">
        <f t="shared" si="37"/>
        <v>-1</v>
      </c>
      <c r="AY36" s="236">
        <f t="shared" si="37"/>
        <v>-1</v>
      </c>
      <c r="AZ36" s="99">
        <f t="shared" si="37"/>
        <v>-1</v>
      </c>
      <c r="BA36" s="99">
        <f t="shared" si="37"/>
        <v>-1</v>
      </c>
      <c r="BB36" s="100">
        <f t="shared" si="37"/>
        <v>-0.21643938723102807</v>
      </c>
      <c r="BC36" s="99">
        <v>0.25</v>
      </c>
      <c r="BD36" s="99">
        <v>0.25</v>
      </c>
      <c r="BE36" s="99">
        <v>0.22</v>
      </c>
      <c r="BF36" s="99">
        <v>0.13142999999999999</v>
      </c>
      <c r="BG36" s="100">
        <f>BG35/BB29-1</f>
        <v>-0.14095296738323337</v>
      </c>
      <c r="BH36" s="99">
        <f>BH35/BC35-1</f>
        <v>0.38470106891159528</v>
      </c>
      <c r="BI36" s="99">
        <f>BI35/BD35-1</f>
        <v>0.39951023954815645</v>
      </c>
      <c r="BJ36" s="99">
        <f>BJ35/BE35-1</f>
        <v>0.28776236214870154</v>
      </c>
      <c r="BK36" s="99">
        <f>BK35/BF35-1</f>
        <v>0.34938811188811192</v>
      </c>
      <c r="BL36" s="100">
        <f>BL35/BG29-1</f>
        <v>-4.2402960994590511E-2</v>
      </c>
      <c r="BM36" s="99">
        <f>BM35/BH35-1</f>
        <v>-0.15431143838371342</v>
      </c>
      <c r="BN36" s="99">
        <f>BN35/BI35-1</f>
        <v>-0.18334344617381859</v>
      </c>
      <c r="BO36" s="99">
        <f>BO35/BJ35-1</f>
        <v>-0.17395508163208928</v>
      </c>
      <c r="BP36" s="99">
        <f>BP35/BK35-1</f>
        <v>-0.18440111420612815</v>
      </c>
      <c r="BQ36" s="100">
        <f>BQ35/BL29-1</f>
        <v>-0.17466291583067917</v>
      </c>
      <c r="BR36" s="99">
        <f>BR35/BM35-1</f>
        <v>0.24259608173120895</v>
      </c>
      <c r="BS36" s="99">
        <f>BS35/BN35-1</f>
        <v>0.26597435808826075</v>
      </c>
      <c r="BT36" s="99">
        <f>BT35/BO35-1</f>
        <v>0.24120460169888291</v>
      </c>
      <c r="BU36" s="99">
        <f>BU35/BP35-1</f>
        <v>0.32845660185538184</v>
      </c>
      <c r="BV36" s="100">
        <f>BV35/BQ29-1</f>
        <v>-8.3454904316485057E-2</v>
      </c>
      <c r="BW36" s="484">
        <v>0.35</v>
      </c>
      <c r="BX36" s="484">
        <v>0.4</v>
      </c>
      <c r="BY36" s="484">
        <v>0.42</v>
      </c>
      <c r="BZ36" s="484">
        <v>0.4</v>
      </c>
      <c r="CA36" s="100">
        <f>CA35/BV35-1</f>
        <v>0.39360694055254219</v>
      </c>
      <c r="CB36" s="484">
        <v>0.14000000000000001</v>
      </c>
      <c r="CC36" s="484">
        <v>0.14000000000000001</v>
      </c>
      <c r="CD36" s="484">
        <v>0.14000000000000001</v>
      </c>
      <c r="CE36" s="484">
        <v>0.14000000000000001</v>
      </c>
      <c r="CF36" s="100">
        <f>CF35/CA35-1</f>
        <v>0.14000000000000012</v>
      </c>
      <c r="CJ36" s="810">
        <v>1.48</v>
      </c>
      <c r="CK36" s="810">
        <v>5</v>
      </c>
      <c r="CL36" s="810">
        <v>2.4</v>
      </c>
      <c r="CM36" s="810">
        <v>1.3</v>
      </c>
    </row>
    <row r="37" spans="2:91" s="97" customFormat="1" ht="10.15">
      <c r="B37" s="98"/>
      <c r="C37" s="99"/>
      <c r="D37" s="100"/>
      <c r="E37" s="99"/>
      <c r="F37" s="99"/>
      <c r="G37" s="99"/>
      <c r="H37" s="99"/>
      <c r="I37" s="100"/>
      <c r="J37" s="99"/>
      <c r="K37" s="99"/>
      <c r="L37" s="99"/>
      <c r="M37" s="99"/>
      <c r="N37" s="100"/>
      <c r="O37" s="99"/>
      <c r="P37" s="99"/>
      <c r="Q37" s="99"/>
      <c r="R37" s="99"/>
      <c r="S37" s="100"/>
      <c r="T37" s="99"/>
      <c r="U37" s="99"/>
      <c r="V37" s="99"/>
      <c r="W37" s="99"/>
      <c r="X37" s="100"/>
      <c r="Y37" s="99"/>
      <c r="Z37" s="99"/>
      <c r="AA37" s="236"/>
      <c r="AB37" s="99"/>
      <c r="AC37" s="100"/>
      <c r="AD37" s="99"/>
      <c r="AE37" s="99"/>
      <c r="AF37" s="99"/>
      <c r="AG37" s="99"/>
      <c r="AH37" s="100"/>
      <c r="AI37" s="99"/>
      <c r="AJ37" s="99"/>
      <c r="AK37" s="99"/>
      <c r="AL37" s="99"/>
      <c r="AM37" s="100"/>
      <c r="AN37" s="99"/>
      <c r="AO37" s="99"/>
      <c r="AP37" s="99"/>
      <c r="AQ37" s="99"/>
      <c r="AR37" s="100"/>
      <c r="AS37" s="99"/>
      <c r="AT37" s="99"/>
      <c r="AU37" s="99"/>
      <c r="AV37" s="99"/>
      <c r="AW37" s="100"/>
      <c r="AX37" s="99"/>
      <c r="AY37" s="99"/>
      <c r="AZ37" s="99"/>
      <c r="BA37" s="99"/>
      <c r="BB37" s="100"/>
      <c r="BC37" s="99"/>
      <c r="BD37" s="99"/>
      <c r="BE37" s="99"/>
      <c r="BF37" s="99"/>
      <c r="BG37" s="100"/>
      <c r="BH37" s="99"/>
      <c r="BI37" s="99"/>
      <c r="BJ37" s="99"/>
      <c r="BK37" s="99"/>
      <c r="BL37" s="100"/>
      <c r="BM37" s="99"/>
      <c r="BN37" s="99"/>
      <c r="BO37" s="99"/>
      <c r="BP37" s="99"/>
      <c r="BQ37" s="100"/>
      <c r="BR37" s="99"/>
      <c r="BS37" s="99"/>
      <c r="BT37" s="99"/>
      <c r="BU37" s="99"/>
      <c r="BV37" s="100"/>
      <c r="BW37" s="99"/>
      <c r="BX37" s="99"/>
      <c r="BY37" s="99"/>
      <c r="BZ37" s="99"/>
      <c r="CA37" s="100"/>
      <c r="CB37" s="99"/>
      <c r="CC37" s="99"/>
      <c r="CD37" s="99"/>
      <c r="CE37" s="99"/>
      <c r="CF37" s="100"/>
    </row>
    <row r="38" spans="2:91" s="181" customFormat="1" ht="10.15">
      <c r="B38" s="98"/>
      <c r="C38" s="99" t="s">
        <v>356</v>
      </c>
      <c r="D38" s="808"/>
      <c r="I38" s="808"/>
      <c r="J38" s="99">
        <f t="shared" ref="J38:AC38" si="38">J22/E22-1</f>
        <v>0.21776416539050536</v>
      </c>
      <c r="K38" s="99">
        <f t="shared" si="38"/>
        <v>0.1206896551724137</v>
      </c>
      <c r="L38" s="99">
        <f t="shared" si="38"/>
        <v>0.29268292682926833</v>
      </c>
      <c r="M38" s="99">
        <f t="shared" si="38"/>
        <v>0.15913200723327314</v>
      </c>
      <c r="N38" s="100">
        <f t="shared" si="38"/>
        <v>0.195283150132183</v>
      </c>
      <c r="O38" s="99">
        <f t="shared" si="38"/>
        <v>0.32117706237424537</v>
      </c>
      <c r="P38" s="99">
        <f t="shared" si="38"/>
        <v>0.39591346153846163</v>
      </c>
      <c r="Q38" s="99">
        <f t="shared" si="38"/>
        <v>0.320754716981132</v>
      </c>
      <c r="R38" s="99">
        <f t="shared" si="38"/>
        <v>0.38578114553153564</v>
      </c>
      <c r="S38" s="100">
        <f t="shared" si="38"/>
        <v>0.35603282696001393</v>
      </c>
      <c r="T38" s="99">
        <f t="shared" si="38"/>
        <v>0.32571863696935077</v>
      </c>
      <c r="U38" s="99">
        <f t="shared" si="38"/>
        <v>0.25314275873945236</v>
      </c>
      <c r="V38" s="99">
        <f t="shared" si="38"/>
        <v>0.32707641196013282</v>
      </c>
      <c r="W38" s="99">
        <f t="shared" si="38"/>
        <v>0.43615310389192663</v>
      </c>
      <c r="X38" s="100">
        <f t="shared" si="38"/>
        <v>0.33745385870031752</v>
      </c>
      <c r="Y38" s="99">
        <f t="shared" si="38"/>
        <v>0.43136128661688677</v>
      </c>
      <c r="Z38" s="99">
        <f t="shared" si="38"/>
        <v>0.45018551600934442</v>
      </c>
      <c r="AA38" s="236">
        <f t="shared" si="38"/>
        <v>0.41882588559268985</v>
      </c>
      <c r="AB38" s="99">
        <f t="shared" si="38"/>
        <v>0.4291153415453528</v>
      </c>
      <c r="AC38" s="100">
        <f t="shared" si="38"/>
        <v>0.43189987163029531</v>
      </c>
      <c r="AD38" s="99">
        <f t="shared" ref="AD38:BI38" si="39">AD22/Y22-1</f>
        <v>0.3516252006420546</v>
      </c>
      <c r="AE38" s="99">
        <f t="shared" si="39"/>
        <v>0.31365488486686255</v>
      </c>
      <c r="AF38" s="99">
        <f t="shared" si="39"/>
        <v>0.34221438023820028</v>
      </c>
      <c r="AG38" s="99">
        <f t="shared" si="39"/>
        <v>0.51339915373765876</v>
      </c>
      <c r="AH38" s="100">
        <f t="shared" si="39"/>
        <v>0.38652561746380387</v>
      </c>
      <c r="AI38" s="99">
        <f t="shared" si="39"/>
        <v>0.52208119943590892</v>
      </c>
      <c r="AJ38" s="99">
        <f t="shared" si="39"/>
        <v>0.51006275697900882</v>
      </c>
      <c r="AK38" s="99">
        <f t="shared" si="39"/>
        <v>0.49165242539765996</v>
      </c>
      <c r="AL38" s="99">
        <f t="shared" si="39"/>
        <v>0.2277622450036243</v>
      </c>
      <c r="AM38" s="100">
        <f t="shared" si="39"/>
        <v>0.42001810422863062</v>
      </c>
      <c r="AN38" s="99">
        <f t="shared" si="39"/>
        <v>0.23313990344760316</v>
      </c>
      <c r="AO38" s="99">
        <f t="shared" si="39"/>
        <v>0.28733161364287763</v>
      </c>
      <c r="AP38" s="99">
        <f t="shared" si="39"/>
        <v>0.2794571252313387</v>
      </c>
      <c r="AQ38" s="99">
        <f t="shared" si="39"/>
        <v>0.29296166659638168</v>
      </c>
      <c r="AR38" s="100">
        <f t="shared" si="39"/>
        <v>0.27416674255532292</v>
      </c>
      <c r="AS38" s="99">
        <f t="shared" si="39"/>
        <v>0.3480306864916165</v>
      </c>
      <c r="AT38" s="99">
        <f t="shared" si="39"/>
        <v>0.26045493339270465</v>
      </c>
      <c r="AU38" s="99">
        <f t="shared" si="39"/>
        <v>0.26976856316297004</v>
      </c>
      <c r="AV38" s="99">
        <f t="shared" si="39"/>
        <v>0.23215916503587741</v>
      </c>
      <c r="AW38" s="100">
        <f t="shared" si="39"/>
        <v>0.27490552384015432</v>
      </c>
      <c r="AX38" s="99">
        <f t="shared" si="39"/>
        <v>0.17639121124116275</v>
      </c>
      <c r="AY38" s="99">
        <f t="shared" si="39"/>
        <v>0.20545807819123874</v>
      </c>
      <c r="AZ38" s="99">
        <f t="shared" si="39"/>
        <v>0.21619788982614119</v>
      </c>
      <c r="BA38" s="99">
        <f t="shared" si="39"/>
        <v>0.26054846736195669</v>
      </c>
      <c r="BB38" s="100">
        <f t="shared" si="39"/>
        <v>0.21587341630227597</v>
      </c>
      <c r="BC38" s="99">
        <f t="shared" si="39"/>
        <v>0.22258241484215247</v>
      </c>
      <c r="BD38" s="99">
        <f t="shared" si="39"/>
        <v>0.2945759152074634</v>
      </c>
      <c r="BE38" s="99">
        <f t="shared" si="39"/>
        <v>0.30907671721677077</v>
      </c>
      <c r="BF38" s="99">
        <f t="shared" si="39"/>
        <v>0.25597950484030152</v>
      </c>
      <c r="BG38" s="100">
        <f t="shared" si="39"/>
        <v>0.27109100340038039</v>
      </c>
      <c r="BH38" s="99">
        <f t="shared" si="39"/>
        <v>0.37217508362568319</v>
      </c>
      <c r="BI38" s="99">
        <f t="shared" si="39"/>
        <v>0.38608538172763107</v>
      </c>
      <c r="BJ38" s="99">
        <f t="shared" ref="BJ38:CF38" si="40">BJ22/BE22-1</f>
        <v>0.2823387110512956</v>
      </c>
      <c r="BK38" s="99">
        <f t="shared" si="40"/>
        <v>0.34306398488572332</v>
      </c>
      <c r="BL38" s="100">
        <f t="shared" si="40"/>
        <v>0.34371358485946302</v>
      </c>
      <c r="BM38" s="99">
        <f t="shared" si="40"/>
        <v>0.21476031215161639</v>
      </c>
      <c r="BN38" s="99">
        <f t="shared" si="40"/>
        <v>0.16553929908132026</v>
      </c>
      <c r="BO38" s="99">
        <f t="shared" si="40"/>
        <v>0.18623126793495581</v>
      </c>
      <c r="BP38" s="99">
        <f t="shared" si="40"/>
        <v>0.17013569027760478</v>
      </c>
      <c r="BQ38" s="100">
        <f t="shared" si="40"/>
        <v>0.18321455566353517</v>
      </c>
      <c r="BR38" s="99">
        <f t="shared" si="40"/>
        <v>0.25397990773711188</v>
      </c>
      <c r="BS38" s="99">
        <f t="shared" si="40"/>
        <v>1.3445900184497535</v>
      </c>
      <c r="BT38" s="99">
        <f t="shared" si="40"/>
        <v>1.8412252211893829</v>
      </c>
      <c r="BU38" s="99">
        <f t="shared" si="40"/>
        <v>1.4485355915614329</v>
      </c>
      <c r="BV38" s="100">
        <f t="shared" si="40"/>
        <v>1.2447383130660947</v>
      </c>
      <c r="BW38" s="99">
        <f t="shared" si="40"/>
        <v>1.3950565481708446</v>
      </c>
      <c r="BX38" s="99">
        <f t="shared" si="40"/>
        <v>0.24523124122199746</v>
      </c>
      <c r="BY38" s="99">
        <f t="shared" si="40"/>
        <v>5.4991663151904291E-4</v>
      </c>
      <c r="BZ38" s="99">
        <f t="shared" si="40"/>
        <v>0.1464632530251353</v>
      </c>
      <c r="CA38" s="100">
        <f t="shared" si="40"/>
        <v>0.29441631633577403</v>
      </c>
      <c r="CB38" s="99">
        <f t="shared" si="40"/>
        <v>0.10226329942186196</v>
      </c>
      <c r="CC38" s="99">
        <f t="shared" si="40"/>
        <v>7.9465765423457846E-2</v>
      </c>
      <c r="CD38" s="99">
        <f t="shared" si="40"/>
        <v>7.9717572819967053E-2</v>
      </c>
      <c r="CE38" s="99">
        <f t="shared" si="40"/>
        <v>8.1973878613719187E-2</v>
      </c>
      <c r="CF38" s="100">
        <f t="shared" si="40"/>
        <v>7.9644525179326742E-2</v>
      </c>
    </row>
    <row r="39" spans="2:91" s="181" customFormat="1" ht="10.15">
      <c r="B39" s="98"/>
      <c r="C39" s="99" t="s">
        <v>357</v>
      </c>
      <c r="D39" s="808"/>
      <c r="F39" s="99">
        <f>F22/E22-1</f>
        <v>0.13690658499234298</v>
      </c>
      <c r="G39" s="99">
        <f>G22/F22-1</f>
        <v>-5.0107758620689613E-2</v>
      </c>
      <c r="H39" s="99">
        <f>H22/G22-1</f>
        <v>9.7844583096993842E-2</v>
      </c>
      <c r="I39" s="808"/>
      <c r="J39" s="99">
        <f>J22/H22-1</f>
        <v>2.7124773960216952E-2</v>
      </c>
      <c r="K39" s="99">
        <f>K22/J22-1</f>
        <v>4.6277665995975825E-2</v>
      </c>
      <c r="L39" s="99">
        <f>L22/K22-1</f>
        <v>9.5673076923076916E-2</v>
      </c>
      <c r="M39" s="99">
        <f>M22/L22-1</f>
        <v>-1.557700745941204E-2</v>
      </c>
      <c r="N39" s="808"/>
      <c r="O39" s="99">
        <f>O22/M22-1</f>
        <v>0.1707154000445732</v>
      </c>
      <c r="P39" s="99">
        <f>P22/O22-1</f>
        <v>0.10546354464115737</v>
      </c>
      <c r="Q39" s="99">
        <f>Q22/P22-1</f>
        <v>3.6679869123471764E-2</v>
      </c>
      <c r="R39" s="99">
        <f>R22/Q22-1</f>
        <v>3.2890365448504877E-2</v>
      </c>
      <c r="S39" s="808"/>
      <c r="T39" s="99">
        <f>T22/R22-1</f>
        <v>0.11997426825345769</v>
      </c>
      <c r="U39" s="99">
        <f>U22/T22-1</f>
        <v>4.4945433658816869E-2</v>
      </c>
      <c r="V39" s="99">
        <f>V22/U22-1</f>
        <v>9.7842517520956518E-2</v>
      </c>
      <c r="W39" s="99">
        <f>W22/V22-1</f>
        <v>0.11778695706596576</v>
      </c>
      <c r="X39" s="808"/>
      <c r="Y39" s="99">
        <f>Y22/W22-1</f>
        <v>0.11623740201567756</v>
      </c>
      <c r="Z39" s="99">
        <f>Z22/Y22-1</f>
        <v>5.8687800963081793E-2</v>
      </c>
      <c r="AA39" s="236">
        <f>AA22/Z22-1</f>
        <v>7.410215104709561E-2</v>
      </c>
      <c r="AB39" s="99">
        <f>AB22/AA22-1</f>
        <v>0.12589325099250104</v>
      </c>
      <c r="AC39" s="808"/>
      <c r="AD39" s="99">
        <f>AD22/AB22-1</f>
        <v>5.5712270803949249E-2</v>
      </c>
      <c r="AE39" s="99">
        <f>AE22/AD22-1</f>
        <v>2.894678245379656E-2</v>
      </c>
      <c r="AF39" s="99">
        <f>AF22/AE22-1</f>
        <v>9.7453653610329649E-2</v>
      </c>
      <c r="AG39" s="99">
        <f>AG22/AF22-1</f>
        <v>0.26948862889443936</v>
      </c>
      <c r="AH39" s="808"/>
      <c r="AI39" s="99">
        <f>AI22/AG22-1</f>
        <v>6.1768665216941132E-2</v>
      </c>
      <c r="AJ39" s="99">
        <f>AJ22/AI22-1</f>
        <v>2.0822158287413961E-2</v>
      </c>
      <c r="AK39" s="99">
        <f>AK22/AJ22-1</f>
        <v>8.4073755612878553E-2</v>
      </c>
      <c r="AL39" s="99">
        <f>AL22/AK22-1</f>
        <v>4.4901736141711446E-2</v>
      </c>
      <c r="AM39" s="808"/>
      <c r="AN39" s="99">
        <f>AN22/AL22-1</f>
        <v>6.6419263695019604E-2</v>
      </c>
      <c r="AO39" s="99">
        <f>AO22/AN22-1</f>
        <v>6.5683328060740287E-2</v>
      </c>
      <c r="AP39" s="99">
        <f>AP22/AO22-1</f>
        <v>7.7442576718987688E-2</v>
      </c>
      <c r="AQ39" s="99">
        <f>AQ22/AP22-1</f>
        <v>5.5930568948890924E-2</v>
      </c>
      <c r="AR39" s="808"/>
      <c r="AS39" s="99">
        <f>AS22/AQ22-1</f>
        <v>0.11183953033268113</v>
      </c>
      <c r="AT39" s="99">
        <f>AT22/AS22-1</f>
        <v>-3.5495321071313812E-3</v>
      </c>
      <c r="AU39" s="99">
        <f>AU22/AT22-1</f>
        <v>8.540390956194055E-2</v>
      </c>
      <c r="AV39" s="99">
        <f>AV22/AU22-1</f>
        <v>2.4654859095717185E-2</v>
      </c>
      <c r="AW39" s="808"/>
      <c r="AX39" s="99">
        <f>AX22/AV22-1</f>
        <v>6.1517285192440152E-2</v>
      </c>
      <c r="AY39" s="99">
        <f>AY22/AX22-1</f>
        <v>2.1071268265921983E-2</v>
      </c>
      <c r="AZ39" s="99">
        <f>AZ22/AY22-1</f>
        <v>9.5074120204166279E-2</v>
      </c>
      <c r="BA39" s="99">
        <f>BA22/AZ22-1</f>
        <v>6.2020517395182884E-2</v>
      </c>
      <c r="BB39" s="808"/>
      <c r="BC39" s="99">
        <f>BC22/BA22-1</f>
        <v>2.9545788622666436E-2</v>
      </c>
      <c r="BD39" s="99">
        <f>BD22/BC22-1</f>
        <v>8.1198498817002474E-2</v>
      </c>
      <c r="BE39" s="99">
        <f>BE22/BD22-1</f>
        <v>0.10734026297421195</v>
      </c>
      <c r="BF39" s="99">
        <f>BF22/BE22-1</f>
        <v>1.8944104669585515E-2</v>
      </c>
      <c r="BG39" s="808"/>
      <c r="BH39" s="99">
        <f>BH22/BF22-1</f>
        <v>0.12479309825951757</v>
      </c>
      <c r="BI39" s="99">
        <f>BI22/BH22-1</f>
        <v>9.2159048680787725E-2</v>
      </c>
      <c r="BJ39" s="99">
        <f>BJ22/BI22-1</f>
        <v>2.4457298400816674E-2</v>
      </c>
      <c r="BK39" s="99">
        <f>BK22/BJ22-1</f>
        <v>6.719630141354016E-2</v>
      </c>
      <c r="BL39" s="808"/>
      <c r="BM39" s="99">
        <f>BM22/BK22-1</f>
        <v>1.7340968504917287E-2</v>
      </c>
      <c r="BN39" s="99">
        <f>BN22/BM22-1</f>
        <v>4.7905730332953977E-2</v>
      </c>
      <c r="BO39" s="99">
        <f>BO22/BN22-1</f>
        <v>4.2644620378803788E-2</v>
      </c>
      <c r="BP39" s="99">
        <f>BP22/BO22-1</f>
        <v>5.2715869638257473E-2</v>
      </c>
      <c r="BQ39" s="808"/>
      <c r="BR39" s="99">
        <f>BR22/BP22-1</f>
        <v>9.0236922454971946E-2</v>
      </c>
      <c r="BS39" s="99">
        <f>BS22/BR22-1</f>
        <v>0.95928922023048635</v>
      </c>
      <c r="BT39" s="99">
        <f>BT22/BS22-1</f>
        <v>0.26349944717261153</v>
      </c>
      <c r="BU39" s="99">
        <f>BU22/BT22-1</f>
        <v>-9.278143267650274E-2</v>
      </c>
      <c r="BV39" s="808"/>
      <c r="BW39" s="99">
        <f>BW22/BU22-1</f>
        <v>6.6424800677804097E-2</v>
      </c>
      <c r="BX39" s="99">
        <f>BX22/BW22-1</f>
        <v>1.8668285508244065E-2</v>
      </c>
      <c r="BY39" s="99">
        <f>BY22/BX22-1</f>
        <v>1.5228517148285103E-2</v>
      </c>
      <c r="BZ39" s="99">
        <f>BZ22/BY22-1</f>
        <v>3.9521099956818073E-2</v>
      </c>
      <c r="CA39" s="808"/>
      <c r="CB39" s="99">
        <f>CB22/BZ22-1</f>
        <v>2.5310594368126882E-2</v>
      </c>
      <c r="CC39" s="99">
        <f>CC22/CB22-1</f>
        <v>-2.400296639188948E-3</v>
      </c>
      <c r="CD39" s="99">
        <f>CD22/CC22-1</f>
        <v>1.5465339897049901E-2</v>
      </c>
      <c r="CE39" s="99">
        <f>CE22/CD22-1</f>
        <v>4.1693406437330438E-2</v>
      </c>
      <c r="CF39" s="808"/>
    </row>
    <row r="40" spans="2:91" s="181" customFormat="1" ht="12.75">
      <c r="B40" s="98"/>
      <c r="C40" s="12" t="s">
        <v>788</v>
      </c>
      <c r="D40" s="808"/>
      <c r="F40" s="99"/>
      <c r="G40" s="99"/>
      <c r="H40" s="99"/>
      <c r="I40" s="808"/>
      <c r="J40" s="99"/>
      <c r="K40" s="99"/>
      <c r="L40" s="99"/>
      <c r="M40" s="99"/>
      <c r="N40" s="808"/>
      <c r="O40" s="99"/>
      <c r="P40" s="99"/>
      <c r="Q40" s="99"/>
      <c r="R40" s="99"/>
      <c r="S40" s="808"/>
      <c r="T40" s="99"/>
      <c r="U40" s="99"/>
      <c r="V40" s="99"/>
      <c r="W40" s="99"/>
      <c r="X40" s="808"/>
      <c r="Y40" s="99"/>
      <c r="Z40" s="99"/>
      <c r="AA40" s="236"/>
      <c r="AB40" s="99"/>
      <c r="AC40" s="808"/>
      <c r="AD40" s="99"/>
      <c r="AE40" s="99"/>
      <c r="AF40" s="22"/>
      <c r="AG40" s="22"/>
      <c r="AH40" s="23"/>
      <c r="AI40" s="22"/>
      <c r="AJ40" s="22"/>
      <c r="AK40" s="22"/>
      <c r="AL40" s="22"/>
      <c r="AM40" s="23"/>
      <c r="AN40" s="22"/>
      <c r="AO40" s="22"/>
      <c r="AP40" s="22"/>
      <c r="AQ40" s="22"/>
      <c r="AR40" s="23"/>
      <c r="AS40" s="22"/>
      <c r="AT40" s="22"/>
      <c r="AU40" s="22"/>
      <c r="AV40" s="22"/>
      <c r="AW40" s="23">
        <v>36851</v>
      </c>
      <c r="AX40" s="22"/>
      <c r="AY40" s="22"/>
      <c r="AZ40" s="22"/>
      <c r="BA40" s="22"/>
      <c r="BB40" s="23">
        <v>45369</v>
      </c>
      <c r="BC40" s="22"/>
      <c r="BD40" s="22"/>
      <c r="BE40" s="22"/>
      <c r="BF40" s="22"/>
      <c r="BG40" s="23">
        <v>51572</v>
      </c>
      <c r="BH40" s="22">
        <v>14637</v>
      </c>
      <c r="BI40" s="22">
        <v>14462</v>
      </c>
      <c r="BJ40" s="22">
        <v>14726</v>
      </c>
      <c r="BK40" s="22">
        <v>14721</v>
      </c>
      <c r="BL40" s="23">
        <f>SUM(BH40:BK40)</f>
        <v>58546</v>
      </c>
      <c r="BM40" s="22">
        <v>14888</v>
      </c>
      <c r="BN40" s="22">
        <v>14196</v>
      </c>
      <c r="BO40" s="22">
        <v>15100</v>
      </c>
      <c r="BP40" s="22">
        <v>15478</v>
      </c>
      <c r="BQ40" s="23">
        <f>SUM(BM40:BP40)</f>
        <v>59662</v>
      </c>
      <c r="BR40" s="22">
        <v>15607</v>
      </c>
      <c r="BS40" s="22">
        <v>16259</v>
      </c>
      <c r="BT40" s="22">
        <v>17371</v>
      </c>
      <c r="BU40" s="22">
        <v>17553</v>
      </c>
      <c r="BV40" s="23">
        <f>SUM(BR40:BU40)</f>
        <v>66790</v>
      </c>
      <c r="BW40" s="22">
        <v>18239</v>
      </c>
      <c r="BX40" s="22">
        <f>BS40*(1+BX41)</f>
        <v>17884.900000000001</v>
      </c>
      <c r="BY40" s="22">
        <f>BT40*(1+BY41)</f>
        <v>18239.55</v>
      </c>
      <c r="BZ40" s="22">
        <f>BU40*(1+BZ41)</f>
        <v>18430.650000000001</v>
      </c>
      <c r="CA40" s="23">
        <f>SUM(BW40:BZ40)</f>
        <v>72794.100000000006</v>
      </c>
      <c r="CB40" s="22">
        <f>BW40*(1+CB41)</f>
        <v>19698.120000000003</v>
      </c>
      <c r="CC40" s="22">
        <f>BX40*(1+CC41)</f>
        <v>19315.692000000003</v>
      </c>
      <c r="CD40" s="22">
        <f>BY40*(1+CD41)</f>
        <v>19698.714</v>
      </c>
      <c r="CE40" s="22">
        <f>BZ40*(1+CE41)</f>
        <v>19905.102000000003</v>
      </c>
      <c r="CF40" s="23">
        <f>SUM(CB40:CE40)</f>
        <v>78617.628000000012</v>
      </c>
    </row>
    <row r="41" spans="2:91" s="181" customFormat="1" ht="10.15">
      <c r="B41" s="98"/>
      <c r="C41" s="263" t="s">
        <v>21</v>
      </c>
      <c r="D41" s="808"/>
      <c r="F41" s="99"/>
      <c r="G41" s="99"/>
      <c r="H41" s="99"/>
      <c r="I41" s="808"/>
      <c r="J41" s="99"/>
      <c r="K41" s="99"/>
      <c r="L41" s="99"/>
      <c r="M41" s="99"/>
      <c r="N41" s="808"/>
      <c r="O41" s="99"/>
      <c r="P41" s="99"/>
      <c r="Q41" s="99"/>
      <c r="R41" s="99"/>
      <c r="S41" s="808"/>
      <c r="T41" s="99"/>
      <c r="U41" s="99"/>
      <c r="V41" s="99"/>
      <c r="W41" s="99"/>
      <c r="X41" s="808"/>
      <c r="Y41" s="99"/>
      <c r="Z41" s="99"/>
      <c r="AA41" s="236"/>
      <c r="AB41" s="99"/>
      <c r="AC41" s="808"/>
      <c r="AD41" s="99"/>
      <c r="AE41" s="99"/>
      <c r="AF41" s="988"/>
      <c r="AG41" s="988"/>
      <c r="AH41" s="105"/>
      <c r="AI41" s="988"/>
      <c r="AJ41" s="988"/>
      <c r="AK41" s="988"/>
      <c r="AL41" s="988"/>
      <c r="AM41" s="105"/>
      <c r="AN41" s="988"/>
      <c r="AO41" s="988"/>
      <c r="AP41" s="988"/>
      <c r="AQ41" s="988"/>
      <c r="AR41" s="105"/>
      <c r="AS41" s="988"/>
      <c r="AT41" s="988"/>
      <c r="AU41" s="988"/>
      <c r="AV41" s="988"/>
      <c r="AW41" s="105"/>
      <c r="AX41" s="988"/>
      <c r="AY41" s="988"/>
      <c r="AZ41" s="988"/>
      <c r="BA41" s="988"/>
      <c r="BB41" s="105"/>
      <c r="BC41" s="988"/>
      <c r="BD41" s="988"/>
      <c r="BE41" s="988"/>
      <c r="BF41" s="988"/>
      <c r="BG41" s="105"/>
      <c r="BH41" s="988"/>
      <c r="BI41" s="988"/>
      <c r="BJ41" s="988"/>
      <c r="BK41" s="988"/>
      <c r="BL41" s="105"/>
      <c r="BM41" s="184">
        <f>+BM40/BH40-1</f>
        <v>1.7148322743731681E-2</v>
      </c>
      <c r="BN41" s="184">
        <f>+BN40/BI40-1</f>
        <v>-1.8393030009680511E-2</v>
      </c>
      <c r="BO41" s="184">
        <f>+BO40/BJ40-1</f>
        <v>2.5397256553035374E-2</v>
      </c>
      <c r="BP41" s="184">
        <f>+BP40/BK40-1</f>
        <v>5.1423137015148335E-2</v>
      </c>
      <c r="BQ41" s="105"/>
      <c r="BR41" s="184">
        <f t="shared" ref="BR41:BW41" si="41">+BR40/BM40-1</f>
        <v>4.8293927995701313E-2</v>
      </c>
      <c r="BS41" s="184">
        <f t="shared" si="41"/>
        <v>0.14532262609185675</v>
      </c>
      <c r="BT41" s="184">
        <f t="shared" si="41"/>
        <v>0.15039735099337759</v>
      </c>
      <c r="BU41" s="106">
        <f t="shared" si="41"/>
        <v>0.13406124822328458</v>
      </c>
      <c r="BV41" s="185">
        <f t="shared" si="41"/>
        <v>0.11947303141027787</v>
      </c>
      <c r="BW41" s="184">
        <f t="shared" si="41"/>
        <v>0.16864227590183889</v>
      </c>
      <c r="BX41" s="484">
        <v>0.1</v>
      </c>
      <c r="BY41" s="484">
        <v>0.05</v>
      </c>
      <c r="BZ41" s="484">
        <v>0.05</v>
      </c>
      <c r="CA41" s="987">
        <f>CA40/BV40-1</f>
        <v>8.9895193891301073E-2</v>
      </c>
      <c r="CB41" s="484">
        <v>0.08</v>
      </c>
      <c r="CC41" s="484">
        <v>0.08</v>
      </c>
      <c r="CD41" s="484">
        <v>0.08</v>
      </c>
      <c r="CE41" s="484">
        <v>0.08</v>
      </c>
      <c r="CF41" s="987">
        <f>CF40/CA40-1</f>
        <v>8.0000000000000071E-2</v>
      </c>
    </row>
    <row r="42" spans="2:91" s="181" customFormat="1" ht="12.75">
      <c r="B42" s="98"/>
      <c r="C42" s="12" t="s">
        <v>789</v>
      </c>
      <c r="D42" s="808"/>
      <c r="F42" s="99"/>
      <c r="G42" s="99"/>
      <c r="H42" s="99"/>
      <c r="I42" s="808"/>
      <c r="J42" s="99"/>
      <c r="K42" s="99"/>
      <c r="L42" s="99"/>
      <c r="M42" s="99"/>
      <c r="N42" s="808"/>
      <c r="O42" s="99"/>
      <c r="P42" s="99"/>
      <c r="Q42" s="99"/>
      <c r="R42" s="99"/>
      <c r="S42" s="808"/>
      <c r="T42" s="99"/>
      <c r="U42" s="99"/>
      <c r="V42" s="99"/>
      <c r="W42" s="99"/>
      <c r="X42" s="808"/>
      <c r="Y42" s="99"/>
      <c r="Z42" s="99"/>
      <c r="AA42" s="236"/>
      <c r="AB42" s="99"/>
      <c r="AC42" s="808"/>
      <c r="AD42" s="99"/>
      <c r="AE42" s="99"/>
      <c r="AF42" s="22"/>
      <c r="AG42" s="22"/>
      <c r="AH42" s="23"/>
      <c r="AI42" s="22"/>
      <c r="AJ42" s="22"/>
      <c r="AK42" s="22"/>
      <c r="AL42" s="22"/>
      <c r="AM42" s="23"/>
      <c r="AN42" s="22"/>
      <c r="AO42" s="22"/>
      <c r="AP42" s="22"/>
      <c r="AQ42" s="22"/>
      <c r="AR42" s="23"/>
      <c r="AS42" s="22"/>
      <c r="AT42" s="22"/>
      <c r="AU42" s="22"/>
      <c r="AV42" s="22"/>
      <c r="AW42" s="23">
        <v>12069</v>
      </c>
      <c r="AX42" s="22"/>
      <c r="AY42" s="22"/>
      <c r="AZ42" s="22"/>
      <c r="BA42" s="22"/>
      <c r="BB42" s="23">
        <v>14097</v>
      </c>
      <c r="BC42" s="22"/>
      <c r="BD42" s="22"/>
      <c r="BE42" s="22"/>
      <c r="BF42" s="22"/>
      <c r="BG42" s="23">
        <v>16866</v>
      </c>
      <c r="BH42" s="22">
        <v>4523</v>
      </c>
      <c r="BI42" s="22">
        <v>6719</v>
      </c>
      <c r="BJ42" s="22">
        <v>6527</v>
      </c>
      <c r="BK42" s="22">
        <v>6973</v>
      </c>
      <c r="BL42" s="23">
        <f>SUM(BH42:BK42)</f>
        <v>24742</v>
      </c>
      <c r="BM42" s="22">
        <v>7089</v>
      </c>
      <c r="BN42" s="22">
        <v>7058</v>
      </c>
      <c r="BO42" s="22">
        <v>8068</v>
      </c>
      <c r="BP42" s="22">
        <v>9110</v>
      </c>
      <c r="BQ42" s="23">
        <f>SUM(BM42:BP42)</f>
        <v>31325</v>
      </c>
      <c r="BR42" s="22">
        <v>11295</v>
      </c>
      <c r="BS42" s="22">
        <v>103390</v>
      </c>
      <c r="BT42" s="22">
        <v>153782</v>
      </c>
      <c r="BU42" s="22">
        <v>119553</v>
      </c>
      <c r="BV42" s="23">
        <f>SUM(BR42:BU42)</f>
        <v>388020</v>
      </c>
      <c r="BW42" s="22">
        <v>132687</v>
      </c>
      <c r="BX42" s="22">
        <f>BS42*(1+BX43)</f>
        <v>120966.29999999999</v>
      </c>
      <c r="BY42" s="22">
        <f>BT42*(1+BY43)</f>
        <v>121487.78</v>
      </c>
      <c r="BZ42" s="22">
        <f>BU42*(1+BZ43)</f>
        <v>119553</v>
      </c>
      <c r="CA42" s="23">
        <f>SUM(BW42:BZ42)</f>
        <v>494694.07999999996</v>
      </c>
      <c r="CB42" s="22">
        <f>BW42*(1+CB43)</f>
        <v>143301.96000000002</v>
      </c>
      <c r="CC42" s="22">
        <f>BX42*(1+CC43)</f>
        <v>130643.60399999999</v>
      </c>
      <c r="CD42" s="22">
        <f>BY42*(1+CD43)</f>
        <v>131206.80240000002</v>
      </c>
      <c r="CE42" s="22">
        <f>BZ42*(1+CE43)</f>
        <v>129117.24</v>
      </c>
      <c r="CF42" s="23">
        <f>SUM(CB42:CE42)</f>
        <v>534269.60640000005</v>
      </c>
    </row>
    <row r="43" spans="2:91" s="181" customFormat="1" ht="10.15">
      <c r="B43" s="98"/>
      <c r="C43" s="263" t="s">
        <v>21</v>
      </c>
      <c r="D43" s="808"/>
      <c r="F43" s="99"/>
      <c r="G43" s="99"/>
      <c r="H43" s="99"/>
      <c r="I43" s="808"/>
      <c r="J43" s="99"/>
      <c r="K43" s="99"/>
      <c r="L43" s="99"/>
      <c r="M43" s="99"/>
      <c r="N43" s="808"/>
      <c r="O43" s="99"/>
      <c r="P43" s="99"/>
      <c r="Q43" s="99"/>
      <c r="R43" s="99"/>
      <c r="S43" s="808"/>
      <c r="T43" s="99"/>
      <c r="U43" s="99"/>
      <c r="V43" s="99"/>
      <c r="W43" s="99"/>
      <c r="X43" s="808"/>
      <c r="Y43" s="99"/>
      <c r="Z43" s="99"/>
      <c r="AA43" s="236"/>
      <c r="AB43" s="99"/>
      <c r="AC43" s="808"/>
      <c r="AD43" s="99"/>
      <c r="AE43" s="99"/>
      <c r="AF43" s="988"/>
      <c r="AG43" s="988"/>
      <c r="AH43" s="105"/>
      <c r="AI43" s="988"/>
      <c r="AJ43" s="988"/>
      <c r="AK43" s="988"/>
      <c r="AL43" s="988"/>
      <c r="AM43" s="105"/>
      <c r="AN43" s="988"/>
      <c r="AO43" s="988"/>
      <c r="AP43" s="988"/>
      <c r="AQ43" s="988"/>
      <c r="AR43" s="105"/>
      <c r="AS43" s="988"/>
      <c r="AT43" s="988"/>
      <c r="AU43" s="988"/>
      <c r="AV43" s="988"/>
      <c r="AW43" s="105"/>
      <c r="AX43" s="988"/>
      <c r="AY43" s="988"/>
      <c r="AZ43" s="988"/>
      <c r="BA43" s="988"/>
      <c r="BB43" s="105"/>
      <c r="BC43" s="988"/>
      <c r="BD43" s="988"/>
      <c r="BE43" s="988"/>
      <c r="BF43" s="988"/>
      <c r="BG43" s="105"/>
      <c r="BH43" s="988"/>
      <c r="BI43" s="988"/>
      <c r="BJ43" s="988"/>
      <c r="BK43" s="988"/>
      <c r="BL43" s="105"/>
      <c r="BM43" s="184">
        <f>+BM42/BH42-1</f>
        <v>0.56732257351315507</v>
      </c>
      <c r="BN43" s="184">
        <f>+BN42/BI42-1</f>
        <v>5.0453936597707916E-2</v>
      </c>
      <c r="BO43" s="184">
        <f>+BO42/BJ42-1</f>
        <v>0.23609621571931982</v>
      </c>
      <c r="BP43" s="184">
        <f>+BP42/BK42-1</f>
        <v>0.30646780438835508</v>
      </c>
      <c r="BQ43" s="105"/>
      <c r="BR43" s="184">
        <f t="shared" ref="BR43:BW43" si="42">+BR42/BM42-1</f>
        <v>0.59331358442657645</v>
      </c>
      <c r="BS43" s="184">
        <f t="shared" si="42"/>
        <v>13.648625672995182</v>
      </c>
      <c r="BT43" s="184">
        <f t="shared" si="42"/>
        <v>18.060733763014376</v>
      </c>
      <c r="BU43" s="184">
        <f t="shared" si="42"/>
        <v>12.123271130625685</v>
      </c>
      <c r="BV43" s="185">
        <f t="shared" si="42"/>
        <v>11.386911412609736</v>
      </c>
      <c r="BW43" s="184">
        <f t="shared" si="42"/>
        <v>10.747410358565737</v>
      </c>
      <c r="BX43" s="484">
        <v>0.17</v>
      </c>
      <c r="BY43" s="484">
        <v>-0.21</v>
      </c>
      <c r="BZ43" s="484">
        <v>0</v>
      </c>
      <c r="CA43" s="987">
        <f>CA42/BV42-1</f>
        <v>0.27491902479253638</v>
      </c>
      <c r="CB43" s="484">
        <v>0.08</v>
      </c>
      <c r="CC43" s="484">
        <v>0.08</v>
      </c>
      <c r="CD43" s="484">
        <v>0.08</v>
      </c>
      <c r="CE43" s="484">
        <v>0.08</v>
      </c>
      <c r="CF43" s="987">
        <f>CF42/CA42-1</f>
        <v>8.0000000000000293E-2</v>
      </c>
    </row>
    <row r="44" spans="2:91" s="10" customFormat="1" ht="12.75">
      <c r="B44" s="11"/>
      <c r="C44" s="12" t="s">
        <v>798</v>
      </c>
      <c r="D44" s="13"/>
      <c r="E44" s="12"/>
      <c r="F44" s="12"/>
      <c r="G44" s="12"/>
      <c r="H44" s="12"/>
      <c r="I44" s="13"/>
      <c r="J44" s="12"/>
      <c r="K44" s="12"/>
      <c r="L44" s="12"/>
      <c r="M44" s="12"/>
      <c r="N44" s="13"/>
      <c r="O44" s="12"/>
      <c r="P44" s="12"/>
      <c r="Q44" s="12"/>
      <c r="R44" s="12"/>
      <c r="S44" s="13"/>
      <c r="T44" s="12"/>
      <c r="U44" s="12"/>
      <c r="V44" s="12"/>
      <c r="W44" s="12"/>
      <c r="X44" s="13"/>
      <c r="Y44" s="12"/>
      <c r="Z44" s="12"/>
      <c r="AA44" s="81"/>
      <c r="AB44" s="12"/>
      <c r="AC44" s="13"/>
      <c r="AD44" s="12"/>
      <c r="AE44" s="12"/>
      <c r="AF44" s="35"/>
      <c r="AG44" s="35"/>
      <c r="AH44" s="38"/>
      <c r="AI44" s="35"/>
      <c r="AJ44" s="35"/>
      <c r="AK44" s="35"/>
      <c r="AL44" s="35"/>
      <c r="AM44" s="38"/>
      <c r="AN44" s="35"/>
      <c r="AO44" s="35"/>
      <c r="AP44" s="35"/>
      <c r="AQ44" s="35"/>
      <c r="AR44" s="38"/>
      <c r="AS44" s="35"/>
      <c r="AT44" s="35"/>
      <c r="AU44" s="35"/>
      <c r="AV44" s="35"/>
      <c r="AW44" s="38"/>
      <c r="AX44" s="35"/>
      <c r="AY44" s="35"/>
      <c r="AZ44" s="35"/>
      <c r="BA44" s="35"/>
      <c r="BB44" s="38">
        <f>+BB40+BB42</f>
        <v>59466</v>
      </c>
      <c r="BC44" s="35"/>
      <c r="BD44" s="35"/>
      <c r="BE44" s="35"/>
      <c r="BF44" s="35"/>
      <c r="BG44" s="38">
        <f>+BG42+BG40</f>
        <v>68438</v>
      </c>
      <c r="BH44" s="35"/>
      <c r="BI44" s="35"/>
      <c r="BJ44" s="35"/>
      <c r="BK44" s="35"/>
      <c r="BL44" s="38">
        <f t="shared" ref="BL44:CF44" si="43">+BL42+BL40</f>
        <v>83288</v>
      </c>
      <c r="BM44" s="35">
        <f t="shared" si="43"/>
        <v>21977</v>
      </c>
      <c r="BN44" s="35">
        <f t="shared" si="43"/>
        <v>21254</v>
      </c>
      <c r="BO44" s="35">
        <f t="shared" si="43"/>
        <v>23168</v>
      </c>
      <c r="BP44" s="35">
        <f t="shared" si="43"/>
        <v>24588</v>
      </c>
      <c r="BQ44" s="38">
        <f t="shared" si="43"/>
        <v>90987</v>
      </c>
      <c r="BR44" s="35">
        <f t="shared" si="43"/>
        <v>26902</v>
      </c>
      <c r="BS44" s="35">
        <f t="shared" si="43"/>
        <v>119649</v>
      </c>
      <c r="BT44" s="35">
        <f t="shared" si="43"/>
        <v>171153</v>
      </c>
      <c r="BU44" s="35">
        <f t="shared" si="43"/>
        <v>137106</v>
      </c>
      <c r="BV44" s="38">
        <f t="shared" si="43"/>
        <v>454810</v>
      </c>
      <c r="BW44" s="81">
        <f>+BW42+BW40</f>
        <v>150926</v>
      </c>
      <c r="BX44" s="838">
        <f t="shared" si="43"/>
        <v>138851.19999999998</v>
      </c>
      <c r="BY44" s="838">
        <f t="shared" si="43"/>
        <v>139727.32999999999</v>
      </c>
      <c r="BZ44" s="838">
        <f t="shared" si="43"/>
        <v>137983.65</v>
      </c>
      <c r="CA44" s="38">
        <f t="shared" si="43"/>
        <v>567488.17999999993</v>
      </c>
      <c r="CB44" s="838">
        <f t="shared" si="43"/>
        <v>163000.08000000002</v>
      </c>
      <c r="CC44" s="838">
        <f t="shared" si="43"/>
        <v>149959.296</v>
      </c>
      <c r="CD44" s="838">
        <f t="shared" si="43"/>
        <v>150905.51640000002</v>
      </c>
      <c r="CE44" s="838">
        <f t="shared" si="43"/>
        <v>149022.342</v>
      </c>
      <c r="CF44" s="38">
        <f t="shared" si="43"/>
        <v>612887.23440000007</v>
      </c>
    </row>
    <row r="45" spans="2:91" s="181" customFormat="1" ht="12.75">
      <c r="B45" s="98"/>
      <c r="C45" s="985"/>
      <c r="D45" s="808"/>
      <c r="F45" s="99"/>
      <c r="G45" s="99"/>
      <c r="H45" s="99"/>
      <c r="I45" s="808"/>
      <c r="J45" s="99"/>
      <c r="K45" s="99"/>
      <c r="L45" s="99"/>
      <c r="M45" s="99"/>
      <c r="N45" s="808"/>
      <c r="O45" s="99"/>
      <c r="P45" s="99"/>
      <c r="Q45" s="99"/>
      <c r="R45" s="99"/>
      <c r="S45" s="808"/>
      <c r="T45" s="99"/>
      <c r="U45" s="99"/>
      <c r="V45" s="99"/>
      <c r="W45" s="99"/>
      <c r="X45" s="808"/>
      <c r="Y45" s="99"/>
      <c r="Z45" s="99"/>
      <c r="AA45" s="236"/>
      <c r="AB45" s="99"/>
      <c r="AC45" s="808"/>
      <c r="AD45" s="99"/>
      <c r="AE45" s="99"/>
      <c r="AF45" s="22"/>
      <c r="AG45" s="22"/>
      <c r="AH45" s="23"/>
      <c r="AI45" s="22"/>
      <c r="AJ45" s="22"/>
      <c r="AK45" s="22"/>
      <c r="AL45" s="22"/>
      <c r="AM45" s="23"/>
      <c r="AN45" s="22"/>
      <c r="AO45" s="22"/>
      <c r="AP45" s="22"/>
      <c r="AQ45" s="22"/>
      <c r="AR45" s="23"/>
      <c r="AS45" s="22"/>
      <c r="AT45" s="22"/>
      <c r="AU45" s="22"/>
      <c r="AV45" s="22"/>
      <c r="AW45" s="23"/>
      <c r="AX45" s="22"/>
      <c r="AY45" s="22"/>
      <c r="AZ45" s="22"/>
      <c r="BA45" s="22"/>
      <c r="BB45" s="23"/>
      <c r="BC45" s="22"/>
      <c r="BD45" s="22"/>
      <c r="BE45" s="22"/>
      <c r="BF45" s="22"/>
      <c r="BG45" s="23"/>
      <c r="BH45" s="22"/>
      <c r="BI45" s="22"/>
      <c r="BJ45" s="22"/>
      <c r="BK45" s="22"/>
      <c r="BL45" s="23"/>
      <c r="BM45" s="281"/>
      <c r="BN45" s="281"/>
      <c r="BO45" s="281"/>
      <c r="BP45" s="281"/>
      <c r="BQ45" s="23"/>
      <c r="BR45" s="281"/>
      <c r="BS45" s="281"/>
      <c r="BT45" s="281"/>
      <c r="BU45" s="281"/>
      <c r="BV45" s="23"/>
      <c r="BW45" s="484"/>
      <c r="BX45" s="484"/>
      <c r="BY45" s="484"/>
      <c r="BZ45" s="484"/>
      <c r="CA45" s="986"/>
      <c r="CB45" s="484"/>
      <c r="CC45" s="484"/>
      <c r="CD45" s="484"/>
      <c r="CE45" s="484"/>
      <c r="CF45" s="986"/>
    </row>
    <row r="46" spans="2:91" s="181" customFormat="1" ht="12.75">
      <c r="B46" s="98"/>
      <c r="C46" s="12" t="s">
        <v>701</v>
      </c>
      <c r="D46" s="808"/>
      <c r="F46" s="99"/>
      <c r="G46" s="99"/>
      <c r="H46" s="99"/>
      <c r="I46" s="808"/>
      <c r="J46" s="99"/>
      <c r="K46" s="99"/>
      <c r="L46" s="99"/>
      <c r="M46" s="99"/>
      <c r="N46" s="808"/>
      <c r="O46" s="99"/>
      <c r="P46" s="99"/>
      <c r="Q46" s="99"/>
      <c r="R46" s="99"/>
      <c r="S46" s="808"/>
      <c r="T46" s="99"/>
      <c r="U46" s="99"/>
      <c r="V46" s="99"/>
      <c r="W46" s="99"/>
      <c r="X46" s="808"/>
      <c r="Y46" s="99"/>
      <c r="Z46" s="99"/>
      <c r="AA46" s="236"/>
      <c r="AB46" s="99"/>
      <c r="AC46" s="808"/>
      <c r="AD46" s="99"/>
      <c r="AE46" s="99"/>
      <c r="AF46" s="22"/>
      <c r="AG46" s="22"/>
      <c r="AH46" s="23"/>
      <c r="AI46" s="22"/>
      <c r="AJ46" s="22"/>
      <c r="AK46" s="22"/>
      <c r="AL46" s="22"/>
      <c r="AM46" s="23"/>
      <c r="AN46" s="22"/>
      <c r="AO46" s="22"/>
      <c r="AP46" s="22"/>
      <c r="AQ46" s="22"/>
      <c r="AR46" s="23"/>
      <c r="AS46" s="22"/>
      <c r="AT46" s="22"/>
      <c r="AU46" s="22"/>
      <c r="AV46" s="22"/>
      <c r="AW46" s="23"/>
      <c r="AX46" s="22"/>
      <c r="AY46" s="22"/>
      <c r="AZ46" s="22"/>
      <c r="BA46" s="22"/>
      <c r="BB46" s="23"/>
      <c r="BC46" s="22"/>
      <c r="BD46" s="22"/>
      <c r="BE46" s="22"/>
      <c r="BF46" s="22"/>
      <c r="BG46" s="23"/>
      <c r="BH46" s="22"/>
      <c r="BI46" s="22"/>
      <c r="BJ46" s="22"/>
      <c r="BK46" s="22"/>
      <c r="BL46" s="23"/>
      <c r="BM46" s="22"/>
      <c r="BN46" s="22"/>
      <c r="BO46" s="22"/>
      <c r="BP46" s="22"/>
      <c r="BQ46" s="23"/>
      <c r="BR46" s="22"/>
      <c r="BS46" s="22">
        <v>93281</v>
      </c>
      <c r="BT46" s="22">
        <v>142346</v>
      </c>
      <c r="BU46" s="22">
        <f>BV46-BT46-BS46</f>
        <v>109065</v>
      </c>
      <c r="BV46" s="23">
        <v>344692</v>
      </c>
      <c r="BW46" s="22">
        <v>121382</v>
      </c>
      <c r="BX46" s="22">
        <f>BS46*(1+BX47)</f>
        <v>110071.57999999999</v>
      </c>
      <c r="BY46" s="22">
        <f>BT46*(1+BY47)</f>
        <v>106759.5</v>
      </c>
      <c r="BZ46" s="22">
        <f>BU46*(1+BZ47)</f>
        <v>112336.95</v>
      </c>
      <c r="CA46" s="23">
        <f>SUM(BW46:BZ46)</f>
        <v>450550.02999999997</v>
      </c>
      <c r="CB46" s="22">
        <f>BW46*(1+CB47)</f>
        <v>133520.20000000001</v>
      </c>
      <c r="CC46" s="22">
        <f>BX46*(1+CC47)</f>
        <v>121078.738</v>
      </c>
      <c r="CD46" s="22">
        <f>BY46*(1+CD47)</f>
        <v>117435.45000000001</v>
      </c>
      <c r="CE46" s="22">
        <f>BZ46*(1+CE47)</f>
        <v>123570.645</v>
      </c>
      <c r="CF46" s="23">
        <f>SUM(CB46:CE46)</f>
        <v>495605.03300000005</v>
      </c>
    </row>
    <row r="47" spans="2:91" s="181" customFormat="1" ht="12.75">
      <c r="B47" s="98"/>
      <c r="C47" s="985" t="s">
        <v>21</v>
      </c>
      <c r="D47" s="808"/>
      <c r="F47" s="99"/>
      <c r="G47" s="99"/>
      <c r="H47" s="99"/>
      <c r="I47" s="808"/>
      <c r="J47" s="99"/>
      <c r="K47" s="99"/>
      <c r="L47" s="99"/>
      <c r="M47" s="99"/>
      <c r="N47" s="808"/>
      <c r="O47" s="99"/>
      <c r="P47" s="99"/>
      <c r="Q47" s="99"/>
      <c r="R47" s="99"/>
      <c r="S47" s="808"/>
      <c r="T47" s="99"/>
      <c r="U47" s="99"/>
      <c r="V47" s="99"/>
      <c r="W47" s="99"/>
      <c r="X47" s="808"/>
      <c r="Y47" s="99"/>
      <c r="Z47" s="99"/>
      <c r="AA47" s="236"/>
      <c r="AB47" s="99"/>
      <c r="AC47" s="808"/>
      <c r="AD47" s="99"/>
      <c r="AE47" s="99"/>
      <c r="AF47" s="22"/>
      <c r="AG47" s="22"/>
      <c r="AH47" s="23"/>
      <c r="AI47" s="22"/>
      <c r="AJ47" s="22"/>
      <c r="AK47" s="22"/>
      <c r="AL47" s="22"/>
      <c r="AM47" s="23"/>
      <c r="AN47" s="22"/>
      <c r="AO47" s="22"/>
      <c r="AP47" s="22"/>
      <c r="AQ47" s="22"/>
      <c r="AR47" s="23"/>
      <c r="AS47" s="22"/>
      <c r="AT47" s="22"/>
      <c r="AU47" s="22"/>
      <c r="AV47" s="22"/>
      <c r="AW47" s="23"/>
      <c r="AX47" s="22"/>
      <c r="AY47" s="22"/>
      <c r="AZ47" s="22"/>
      <c r="BA47" s="22"/>
      <c r="BB47" s="23"/>
      <c r="BC47" s="22"/>
      <c r="BD47" s="22"/>
      <c r="BE47" s="22"/>
      <c r="BF47" s="22"/>
      <c r="BG47" s="23"/>
      <c r="BH47" s="22"/>
      <c r="BI47" s="22"/>
      <c r="BJ47" s="22"/>
      <c r="BK47" s="22"/>
      <c r="BL47" s="23"/>
      <c r="BM47" s="22"/>
      <c r="BN47" s="22"/>
      <c r="BO47" s="22"/>
      <c r="BP47" s="22"/>
      <c r="BQ47" s="23"/>
      <c r="BR47" s="22"/>
      <c r="BS47" s="22"/>
      <c r="BT47" s="22"/>
      <c r="BU47" s="22"/>
      <c r="BV47" s="23"/>
      <c r="BW47" s="484"/>
      <c r="BX47" s="484">
        <v>0.18</v>
      </c>
      <c r="BY47" s="484">
        <v>-0.25</v>
      </c>
      <c r="BZ47" s="484">
        <v>0.03</v>
      </c>
      <c r="CA47" s="986">
        <f>CA46/BV46-1</f>
        <v>0.30710904227542257</v>
      </c>
      <c r="CB47" s="484">
        <v>0.1</v>
      </c>
      <c r="CC47" s="484">
        <v>0.1</v>
      </c>
      <c r="CD47" s="484">
        <v>0.1</v>
      </c>
      <c r="CE47" s="484">
        <v>0.1</v>
      </c>
      <c r="CF47" s="986">
        <f>CF46/CA46-1</f>
        <v>0.10000000000000009</v>
      </c>
    </row>
    <row r="48" spans="2:91" s="181" customFormat="1" ht="12.75">
      <c r="B48" s="98"/>
      <c r="C48" s="985" t="s">
        <v>887</v>
      </c>
      <c r="D48" s="808"/>
      <c r="F48" s="99"/>
      <c r="G48" s="99"/>
      <c r="H48" s="99"/>
      <c r="I48" s="808"/>
      <c r="J48" s="99"/>
      <c r="K48" s="99"/>
      <c r="L48" s="99"/>
      <c r="M48" s="99"/>
      <c r="N48" s="808"/>
      <c r="O48" s="99"/>
      <c r="P48" s="99"/>
      <c r="Q48" s="99"/>
      <c r="R48" s="99"/>
      <c r="S48" s="808"/>
      <c r="T48" s="99"/>
      <c r="U48" s="99"/>
      <c r="V48" s="99"/>
      <c r="W48" s="99"/>
      <c r="X48" s="808"/>
      <c r="Y48" s="99"/>
      <c r="Z48" s="99"/>
      <c r="AA48" s="236"/>
      <c r="AB48" s="99"/>
      <c r="AC48" s="808"/>
      <c r="AD48" s="99"/>
      <c r="AE48" s="99"/>
      <c r="AF48" s="22"/>
      <c r="AG48" s="22"/>
      <c r="AH48" s="23"/>
      <c r="AI48" s="22"/>
      <c r="AJ48" s="22"/>
      <c r="AK48" s="22"/>
      <c r="AL48" s="22"/>
      <c r="AM48" s="23"/>
      <c r="AN48" s="22"/>
      <c r="AO48" s="22"/>
      <c r="AP48" s="22"/>
      <c r="AQ48" s="22"/>
      <c r="AR48" s="23"/>
      <c r="AS48" s="22"/>
      <c r="AT48" s="22"/>
      <c r="AU48" s="22"/>
      <c r="AV48" s="22"/>
      <c r="AW48" s="23"/>
      <c r="AX48" s="22"/>
      <c r="AY48" s="22"/>
      <c r="AZ48" s="22"/>
      <c r="BA48" s="22"/>
      <c r="BB48" s="23"/>
      <c r="BC48" s="22"/>
      <c r="BD48" s="22"/>
      <c r="BE48" s="22"/>
      <c r="BF48" s="22"/>
      <c r="BG48" s="23"/>
      <c r="BH48" s="22"/>
      <c r="BI48" s="22"/>
      <c r="BJ48" s="22"/>
      <c r="BK48" s="22"/>
      <c r="BL48" s="23"/>
      <c r="BM48" s="22"/>
      <c r="BN48" s="22"/>
      <c r="BO48" s="22"/>
      <c r="BP48" s="22"/>
      <c r="BQ48" s="23"/>
      <c r="BR48" s="22"/>
      <c r="BS48" s="22">
        <f>BS42-BS46</f>
        <v>10109</v>
      </c>
      <c r="BT48" s="22">
        <f>BT42-BT46</f>
        <v>11436</v>
      </c>
      <c r="BU48" s="22">
        <f>BU42-BU46</f>
        <v>10488</v>
      </c>
      <c r="BV48" s="23"/>
      <c r="BW48" s="22">
        <f>BW42-BW46</f>
        <v>11305</v>
      </c>
      <c r="BX48" s="22"/>
      <c r="BY48" s="22"/>
      <c r="BZ48" s="22"/>
      <c r="CA48" s="986"/>
      <c r="CB48" s="484"/>
      <c r="CC48" s="484"/>
      <c r="CD48" s="484"/>
      <c r="CE48" s="484"/>
      <c r="CF48" s="986"/>
    </row>
    <row r="49" spans="2:94" s="181" customFormat="1" ht="12.75">
      <c r="B49" s="98"/>
      <c r="C49" s="985"/>
      <c r="D49" s="808"/>
      <c r="F49" s="99"/>
      <c r="G49" s="99"/>
      <c r="H49" s="99"/>
      <c r="I49" s="808"/>
      <c r="J49" s="99"/>
      <c r="K49" s="99"/>
      <c r="L49" s="99"/>
      <c r="M49" s="99"/>
      <c r="N49" s="808"/>
      <c r="O49" s="99"/>
      <c r="P49" s="99"/>
      <c r="Q49" s="99"/>
      <c r="R49" s="99"/>
      <c r="S49" s="808"/>
      <c r="T49" s="99"/>
      <c r="U49" s="99"/>
      <c r="V49" s="99"/>
      <c r="W49" s="99"/>
      <c r="X49" s="808"/>
      <c r="Y49" s="99"/>
      <c r="Z49" s="99"/>
      <c r="AA49" s="236"/>
      <c r="AB49" s="99"/>
      <c r="AC49" s="808"/>
      <c r="AD49" s="99"/>
      <c r="AE49" s="99"/>
      <c r="AF49" s="22"/>
      <c r="AG49" s="22"/>
      <c r="AH49" s="23"/>
      <c r="AI49" s="22"/>
      <c r="AJ49" s="22"/>
      <c r="AK49" s="22"/>
      <c r="AL49" s="22"/>
      <c r="AM49" s="23"/>
      <c r="AN49" s="22"/>
      <c r="AO49" s="22"/>
      <c r="AP49" s="22"/>
      <c r="AQ49" s="22"/>
      <c r="AR49" s="23"/>
      <c r="AS49" s="22"/>
      <c r="AT49" s="22"/>
      <c r="AU49" s="22"/>
      <c r="AV49" s="22"/>
      <c r="AW49" s="23"/>
      <c r="AX49" s="22"/>
      <c r="AY49" s="22"/>
      <c r="AZ49" s="22"/>
      <c r="BA49" s="22"/>
      <c r="BB49" s="23"/>
      <c r="BC49" s="22"/>
      <c r="BD49" s="22"/>
      <c r="BE49" s="22"/>
      <c r="BF49" s="22"/>
      <c r="BG49" s="23"/>
      <c r="BH49" s="22"/>
      <c r="BI49" s="22"/>
      <c r="BJ49" s="22"/>
      <c r="BK49" s="22"/>
      <c r="BL49" s="23"/>
      <c r="BM49" s="22"/>
      <c r="BN49" s="22"/>
      <c r="BO49" s="22"/>
      <c r="BP49" s="22"/>
      <c r="BQ49" s="23"/>
      <c r="BR49" s="22"/>
      <c r="BS49" s="998">
        <f>BS48/BN42-1</f>
        <v>0.43227543213374897</v>
      </c>
      <c r="BT49" s="998">
        <f>BT48/BO42-1</f>
        <v>0.41745166088249874</v>
      </c>
      <c r="BU49" s="998">
        <f>BU48/BP42-1</f>
        <v>0.15126234906695935</v>
      </c>
      <c r="BV49" s="23"/>
      <c r="BW49" s="998">
        <f>BW48/BR42-1</f>
        <v>8.8534749889324083E-4</v>
      </c>
      <c r="BX49" s="998"/>
      <c r="BY49" s="998"/>
      <c r="BZ49" s="998"/>
      <c r="CA49" s="986"/>
      <c r="CB49" s="484"/>
      <c r="CC49" s="484"/>
      <c r="CD49" s="484"/>
      <c r="CE49" s="484"/>
      <c r="CF49" s="986"/>
    </row>
    <row r="50" spans="2:94" ht="13.9">
      <c r="B50" s="983" t="s">
        <v>48</v>
      </c>
      <c r="C50" s="168"/>
      <c r="D50" s="796">
        <f>'Income Statement'!D11</f>
        <v>60283</v>
      </c>
      <c r="E50" s="797">
        <f>'Income Statement'!E11</f>
        <v>16525</v>
      </c>
      <c r="F50" s="797">
        <f>'Income Statement'!F11</f>
        <v>19848</v>
      </c>
      <c r="G50" s="797">
        <f>'Income Statement'!G11</f>
        <v>18600</v>
      </c>
      <c r="H50" s="797">
        <f>'Income Statement'!H11</f>
        <v>20024</v>
      </c>
      <c r="I50" s="796">
        <f>'Income Statement'!I11</f>
        <v>74997</v>
      </c>
      <c r="J50" s="797">
        <f>'Income Statement'!J11</f>
        <v>19232</v>
      </c>
      <c r="K50" s="797">
        <f>'Income Statement'!K11</f>
        <v>21330</v>
      </c>
      <c r="L50" s="797">
        <f>'Income Statement'!L11</f>
        <v>20383</v>
      </c>
      <c r="M50" s="797">
        <f>'Income Statement'!M11</f>
        <v>19460</v>
      </c>
      <c r="N50" s="796">
        <f>'Income Statement'!N11</f>
        <v>80405</v>
      </c>
      <c r="O50" s="797">
        <f>'Income Statement'!O11</f>
        <v>17056</v>
      </c>
      <c r="P50" s="797">
        <f>'Income Statement'!P11</f>
        <v>18506</v>
      </c>
      <c r="Q50" s="797">
        <f>'Income Statement'!Q11</f>
        <v>16718</v>
      </c>
      <c r="R50" s="797">
        <f>'Income Statement'!R11</f>
        <v>16060</v>
      </c>
      <c r="S50" s="796">
        <f>'Income Statement'!S11</f>
        <v>68340</v>
      </c>
      <c r="T50" s="797">
        <f>'Income Statement'!T11</f>
        <v>16764</v>
      </c>
      <c r="U50" s="797">
        <f>'Income Statement'!U11</f>
        <v>17992</v>
      </c>
      <c r="V50" s="797">
        <f>'Income Statement'!V11</f>
        <v>17644</v>
      </c>
      <c r="W50" s="797">
        <f>'Income Statement'!W11</f>
        <v>17217</v>
      </c>
      <c r="X50" s="796">
        <f>'Income Statement'!X11</f>
        <v>69617</v>
      </c>
      <c r="Y50" s="797">
        <f>'Income Statement'!Y11</f>
        <v>18530</v>
      </c>
      <c r="Z50" s="797">
        <f>'Income Statement'!Z11</f>
        <v>21737</v>
      </c>
      <c r="AA50" s="811">
        <f>'Income Statement'!AA11</f>
        <v>22099</v>
      </c>
      <c r="AB50" s="797">
        <f>'Income Statement'!AB11</f>
        <v>21042</v>
      </c>
      <c r="AC50" s="799">
        <f>SUM(Y50:AB50)</f>
        <v>83408</v>
      </c>
      <c r="AD50" s="797">
        <f>'Income Statement'!AD11</f>
        <v>20461</v>
      </c>
      <c r="AE50" s="797">
        <f>'Income Statement'!AE11</f>
        <v>24085</v>
      </c>
      <c r="AF50" s="797">
        <f>'Income Statement'!AF11</f>
        <v>24860</v>
      </c>
      <c r="AG50" s="797">
        <f>'Income Statement'!AG11</f>
        <v>23861</v>
      </c>
      <c r="AH50" s="799">
        <f>SUM(AD50:AG50)</f>
        <v>93267</v>
      </c>
      <c r="AI50" s="797">
        <f>'Income Statement'!AI11</f>
        <v>24307</v>
      </c>
      <c r="AJ50" s="797">
        <f>'Income Statement'!AJ11</f>
        <v>30128</v>
      </c>
      <c r="AK50" s="797">
        <f>'Income Statement'!AK11</f>
        <v>31159</v>
      </c>
      <c r="AL50" s="797">
        <f>'Income Statement'!AL11</f>
        <v>28227</v>
      </c>
      <c r="AM50" s="799">
        <f>SUM(AI50:AL50)</f>
        <v>113821</v>
      </c>
      <c r="AN50" s="797">
        <f>'Income Statement'!AN11</f>
        <v>30804</v>
      </c>
      <c r="AO50" s="797">
        <f>'Income Statement'!AO11</f>
        <v>34563</v>
      </c>
      <c r="AP50" s="797">
        <f>'Income Statement'!AP11</f>
        <v>36398</v>
      </c>
      <c r="AQ50" s="797">
        <f>'Income Statement'!AQ11</f>
        <v>38087</v>
      </c>
      <c r="AR50" s="799">
        <f>SUM(AN50:AQ50)</f>
        <v>139852</v>
      </c>
      <c r="AS50" s="798">
        <f>AS51+AS53</f>
        <v>42430</v>
      </c>
      <c r="AT50" s="798">
        <f>AT51+AT53</f>
        <v>46040</v>
      </c>
      <c r="AU50" s="798">
        <f>AU51+AU53</f>
        <v>44738</v>
      </c>
      <c r="AV50" s="798">
        <f>AV51+AV53</f>
        <v>41596</v>
      </c>
      <c r="AW50" s="799">
        <f>SUM(AS50:AV50)</f>
        <v>174804</v>
      </c>
      <c r="AX50" s="798">
        <f>AX51+AX53</f>
        <v>45018</v>
      </c>
      <c r="AY50" s="798">
        <f>AY51+AY53+AY61</f>
        <v>47372</v>
      </c>
      <c r="AZ50" s="798">
        <f>AZ51+AZ53+AZ61</f>
        <v>47479</v>
      </c>
      <c r="BA50" s="798">
        <f>BA51+BA53+BA61</f>
        <v>47280</v>
      </c>
      <c r="BB50" s="799">
        <f>SUM(AX50:BA50)</f>
        <v>187149</v>
      </c>
      <c r="BC50" s="798">
        <f>BC51+BC53</f>
        <v>45939</v>
      </c>
      <c r="BD50" s="798">
        <f>BD51+BD53+BD61</f>
        <v>50674</v>
      </c>
      <c r="BE50" s="798">
        <f>BE51+BE53+BE61</f>
        <v>48199</v>
      </c>
      <c r="BF50" s="798">
        <f>BF51+BF53+BF61</f>
        <v>46457</v>
      </c>
      <c r="BG50" s="799">
        <f>SUM(BC50:BF50)</f>
        <v>191269</v>
      </c>
      <c r="BH50" s="798">
        <f>BH51+BH53</f>
        <v>48443</v>
      </c>
      <c r="BI50" s="798">
        <f>BI51+BI53+BI61</f>
        <v>57401</v>
      </c>
      <c r="BJ50" s="798">
        <f>BJ51+BJ53+BJ61</f>
        <v>54997</v>
      </c>
      <c r="BK50" s="798">
        <f>BK51+BK53+BK61</f>
        <v>52220</v>
      </c>
      <c r="BL50" s="799">
        <f>SUM(BH50:BK50)</f>
        <v>213061</v>
      </c>
      <c r="BM50" s="798">
        <f>BM51+BM53</f>
        <v>52133</v>
      </c>
      <c r="BN50" s="798">
        <f>BN51+BN53+BN61</f>
        <v>43654</v>
      </c>
      <c r="BO50" s="798">
        <f>BO51+BO53+BO61</f>
        <v>47946</v>
      </c>
      <c r="BP50" s="798">
        <f>BP51+BP53+BP61</f>
        <v>42676</v>
      </c>
      <c r="BQ50" s="799">
        <f>SUM(BM50:BP50)</f>
        <v>186409</v>
      </c>
      <c r="BR50" s="798">
        <f>BR51+BR53+BR61</f>
        <v>47640</v>
      </c>
      <c r="BS50" s="798">
        <f>BS51+BS53</f>
        <v>53337</v>
      </c>
      <c r="BT50" s="798">
        <f>BT51+BT53</f>
        <v>54624</v>
      </c>
      <c r="BU50" s="798">
        <f>BU51+BU53</f>
        <v>53790</v>
      </c>
      <c r="BV50" s="799">
        <f>SUM(BR50:BU50)</f>
        <v>209391</v>
      </c>
      <c r="BW50" s="798">
        <f>BW51+BW53+BW61</f>
        <v>66109</v>
      </c>
      <c r="BX50" s="798">
        <f>BX51+BX53+BX61</f>
        <v>60000</v>
      </c>
      <c r="BY50" s="798">
        <v>62000</v>
      </c>
      <c r="BZ50" s="798">
        <v>62000</v>
      </c>
      <c r="CA50" s="799">
        <f>SUM(BW50:BZ50)</f>
        <v>250109</v>
      </c>
      <c r="CB50" s="798">
        <f>CB51+CB53+CB61</f>
        <v>50000</v>
      </c>
      <c r="CC50" s="798">
        <f>CC51+CC53+CC61</f>
        <v>50000</v>
      </c>
      <c r="CD50" s="798">
        <f>CD51+CD53+CD61</f>
        <v>50000</v>
      </c>
      <c r="CE50" s="798">
        <f>CE51+CE53+CE61</f>
        <v>50000</v>
      </c>
      <c r="CF50" s="799">
        <f>SUM(CB50:CE50)</f>
        <v>200000</v>
      </c>
    </row>
    <row r="51" spans="2:94" s="1005" customFormat="1" ht="12.75">
      <c r="B51" s="999"/>
      <c r="C51" s="1000" t="s">
        <v>364</v>
      </c>
      <c r="D51" s="1001"/>
      <c r="E51" s="1000"/>
      <c r="F51" s="1000"/>
      <c r="G51" s="1000"/>
      <c r="H51" s="1000"/>
      <c r="I51" s="1001"/>
      <c r="J51" s="1000">
        <v>16853</v>
      </c>
      <c r="K51" s="1000">
        <v>18687</v>
      </c>
      <c r="L51" s="1000">
        <v>17720</v>
      </c>
      <c r="M51" s="1000">
        <f>N51-L51-K51-J51</f>
        <v>16781</v>
      </c>
      <c r="N51" s="1001">
        <v>70041</v>
      </c>
      <c r="O51" s="1000">
        <v>14555</v>
      </c>
      <c r="P51" s="1000">
        <v>15859</v>
      </c>
      <c r="Q51" s="1000">
        <v>14199</v>
      </c>
      <c r="R51" s="1000">
        <f>S51-Q51-P51-O51</f>
        <v>13758</v>
      </c>
      <c r="S51" s="1001">
        <v>58371</v>
      </c>
      <c r="T51" s="1000">
        <v>14263</v>
      </c>
      <c r="U51" s="1000">
        <v>15625</v>
      </c>
      <c r="V51" s="1000">
        <v>15199</v>
      </c>
      <c r="W51" s="1000">
        <f>X51-V51-U51-T51</f>
        <v>15753</v>
      </c>
      <c r="X51" s="1001">
        <v>60840</v>
      </c>
      <c r="Y51" s="1000">
        <v>16614</v>
      </c>
      <c r="Z51" s="1000">
        <v>19832</v>
      </c>
      <c r="AA51" s="1007">
        <v>20213</v>
      </c>
      <c r="AB51" s="1000">
        <f>AC51-AA51-Z51-Y51</f>
        <v>19444</v>
      </c>
      <c r="AC51" s="1003">
        <v>76103</v>
      </c>
      <c r="AD51" s="1002">
        <f>AD57+AD61</f>
        <v>18741</v>
      </c>
      <c r="AE51" s="1002">
        <f>AE57+AE61</f>
        <v>22702</v>
      </c>
      <c r="AF51" s="1002">
        <f>AF57+AF61</f>
        <v>22615</v>
      </c>
      <c r="AG51" s="1002">
        <f>AG57+AG61</f>
        <v>22651</v>
      </c>
      <c r="AH51" s="1003">
        <f>SUM(AD51:AG51)</f>
        <v>86709</v>
      </c>
      <c r="AI51" s="1002">
        <f>49607-AJ51</f>
        <v>22187</v>
      </c>
      <c r="AJ51" s="1002">
        <v>27420</v>
      </c>
      <c r="AK51" s="1002">
        <f>AK57+AK61</f>
        <v>28398</v>
      </c>
      <c r="AL51" s="1002">
        <f>+AM51-AK51-AJ51-AI51</f>
        <v>26141</v>
      </c>
      <c r="AM51" s="1003">
        <v>104146</v>
      </c>
      <c r="AN51" s="1002">
        <v>29168</v>
      </c>
      <c r="AO51" s="1002">
        <v>31826</v>
      </c>
      <c r="AP51" s="1002">
        <v>33210</v>
      </c>
      <c r="AQ51" s="1002">
        <f>AR51-AP51-AO51-AN51</f>
        <v>34864</v>
      </c>
      <c r="AR51" s="1003">
        <v>129068</v>
      </c>
      <c r="AS51" s="1002">
        <v>38605</v>
      </c>
      <c r="AT51" s="1002">
        <v>42159</v>
      </c>
      <c r="AU51" s="1002">
        <v>40608</v>
      </c>
      <c r="AV51" s="1002">
        <f>AW51-AU51-AT51-AS51</f>
        <v>37106</v>
      </c>
      <c r="AW51" s="1003">
        <v>158478</v>
      </c>
      <c r="AX51" s="1002">
        <v>40668</v>
      </c>
      <c r="AY51" s="1002">
        <v>42696</v>
      </c>
      <c r="AZ51" s="1002">
        <v>42295</v>
      </c>
      <c r="BA51" s="1002">
        <f>167934-AZ51-AY51-AX51</f>
        <v>42275</v>
      </c>
      <c r="BB51" s="1003">
        <f>SUM(AX51:BA51)</f>
        <v>167934</v>
      </c>
      <c r="BC51" s="1002">
        <f>BC57</f>
        <v>40286</v>
      </c>
      <c r="BD51" s="1002">
        <f t="shared" ref="BD51:BK51" si="44">BD57</f>
        <v>45002</v>
      </c>
      <c r="BE51" s="1002">
        <f t="shared" si="44"/>
        <v>41640</v>
      </c>
      <c r="BF51" s="1002">
        <f t="shared" si="44"/>
        <v>39993</v>
      </c>
      <c r="BG51" s="1003">
        <f>SUM(BC51:BF51)</f>
        <v>166921</v>
      </c>
      <c r="BH51" s="1002">
        <f t="shared" si="44"/>
        <v>41967</v>
      </c>
      <c r="BI51" s="1002">
        <f>BI57</f>
        <v>50141</v>
      </c>
      <c r="BJ51" s="1002">
        <f t="shared" si="44"/>
        <v>46296</v>
      </c>
      <c r="BK51" s="1002">
        <f t="shared" si="44"/>
        <v>47488</v>
      </c>
      <c r="BL51" s="1003">
        <f>SUM(BH51:BK51)</f>
        <v>185892</v>
      </c>
      <c r="BM51" s="1002">
        <v>44949</v>
      </c>
      <c r="BN51" s="1002">
        <v>38899</v>
      </c>
      <c r="BO51" s="1002">
        <v>42640</v>
      </c>
      <c r="BP51" s="1002">
        <f>164520-BO51-BN51-BM51</f>
        <v>38032</v>
      </c>
      <c r="BQ51" s="1003">
        <f>SUM(BM51:BP51)</f>
        <v>164520</v>
      </c>
      <c r="BR51" s="1002">
        <v>42560</v>
      </c>
      <c r="BS51" s="1002">
        <f>53337-4722</f>
        <v>48615</v>
      </c>
      <c r="BT51" s="1002">
        <v>50021</v>
      </c>
      <c r="BU51" s="1002">
        <f>+'Income Statement'!BU11-BU53</f>
        <v>49534</v>
      </c>
      <c r="BV51" s="1003">
        <f>SUM(BR51:BU51)</f>
        <v>190730</v>
      </c>
      <c r="BW51" s="1002">
        <v>47000</v>
      </c>
      <c r="BX51" s="1002">
        <v>54000</v>
      </c>
      <c r="BY51" s="1002">
        <v>54000</v>
      </c>
      <c r="BZ51" s="1002">
        <v>54000</v>
      </c>
      <c r="CA51" s="1003">
        <f>SUM(BW51:BZ51)</f>
        <v>209000</v>
      </c>
      <c r="CB51" s="1002">
        <v>43000</v>
      </c>
      <c r="CC51" s="1002">
        <v>43000</v>
      </c>
      <c r="CD51" s="1002">
        <v>43000</v>
      </c>
      <c r="CE51" s="1002">
        <v>43000</v>
      </c>
      <c r="CF51" s="1003">
        <f>SUM(CB51:CE51)</f>
        <v>172000</v>
      </c>
    </row>
    <row r="52" spans="2:94" s="97" customFormat="1" ht="10.15">
      <c r="B52" s="98"/>
      <c r="C52" s="99" t="s">
        <v>21</v>
      </c>
      <c r="D52" s="100" t="e">
        <f>D51/#REF!-1</f>
        <v>#REF!</v>
      </c>
      <c r="E52" s="99" t="e">
        <f>E51/#REF!-1</f>
        <v>#REF!</v>
      </c>
      <c r="F52" s="99" t="e">
        <f t="shared" ref="F52:AK52" si="45">F51/A51-1</f>
        <v>#DIV/0!</v>
      </c>
      <c r="G52" s="99" t="e">
        <f t="shared" si="45"/>
        <v>#DIV/0!</v>
      </c>
      <c r="H52" s="99" t="e">
        <f t="shared" si="45"/>
        <v>#VALUE!</v>
      </c>
      <c r="I52" s="100" t="e">
        <f t="shared" si="45"/>
        <v>#DIV/0!</v>
      </c>
      <c r="J52" s="99" t="e">
        <f t="shared" si="45"/>
        <v>#DIV/0!</v>
      </c>
      <c r="K52" s="99" t="e">
        <f t="shared" si="45"/>
        <v>#DIV/0!</v>
      </c>
      <c r="L52" s="99" t="e">
        <f t="shared" si="45"/>
        <v>#DIV/0!</v>
      </c>
      <c r="M52" s="99" t="e">
        <f t="shared" si="45"/>
        <v>#DIV/0!</v>
      </c>
      <c r="N52" s="100" t="e">
        <f t="shared" si="45"/>
        <v>#DIV/0!</v>
      </c>
      <c r="O52" s="99">
        <f t="shared" si="45"/>
        <v>-0.13635554500682368</v>
      </c>
      <c r="P52" s="99">
        <f t="shared" si="45"/>
        <v>-0.15133515278000753</v>
      </c>
      <c r="Q52" s="99">
        <f t="shared" si="45"/>
        <v>-0.19870203160270883</v>
      </c>
      <c r="R52" s="99">
        <f t="shared" si="45"/>
        <v>-0.18014421071449849</v>
      </c>
      <c r="S52" s="100">
        <f t="shared" si="45"/>
        <v>-0.16661669593523798</v>
      </c>
      <c r="T52" s="99">
        <f t="shared" si="45"/>
        <v>-2.0061834421161162E-2</v>
      </c>
      <c r="U52" s="99">
        <f t="shared" si="45"/>
        <v>-1.4755028690333516E-2</v>
      </c>
      <c r="V52" s="99">
        <f t="shared" si="45"/>
        <v>7.0427494894006681E-2</v>
      </c>
      <c r="W52" s="99">
        <f t="shared" si="45"/>
        <v>0.14500654164849536</v>
      </c>
      <c r="X52" s="100">
        <f t="shared" si="45"/>
        <v>4.2298401603535929E-2</v>
      </c>
      <c r="Y52" s="99">
        <f t="shared" si="45"/>
        <v>0.16483208301198915</v>
      </c>
      <c r="Z52" s="99">
        <f t="shared" si="45"/>
        <v>0.26924799999999993</v>
      </c>
      <c r="AA52" s="236">
        <f t="shared" si="45"/>
        <v>0.32989012435028631</v>
      </c>
      <c r="AB52" s="99">
        <f t="shared" si="45"/>
        <v>0.23430457690598616</v>
      </c>
      <c r="AC52" s="100">
        <f t="shared" si="45"/>
        <v>0.25087113740959888</v>
      </c>
      <c r="AD52" s="99">
        <f t="shared" si="45"/>
        <v>0.12802455760202247</v>
      </c>
      <c r="AE52" s="99">
        <f t="shared" si="45"/>
        <v>0.14471561113352149</v>
      </c>
      <c r="AF52" s="99">
        <f t="shared" si="45"/>
        <v>0.11883441349626489</v>
      </c>
      <c r="AG52" s="99">
        <f t="shared" si="45"/>
        <v>0.16493519851882321</v>
      </c>
      <c r="AH52" s="100">
        <f t="shared" si="45"/>
        <v>0.13936375701352111</v>
      </c>
      <c r="AI52" s="99">
        <f t="shared" si="45"/>
        <v>0.18387492663144966</v>
      </c>
      <c r="AJ52" s="99">
        <f t="shared" si="45"/>
        <v>0.20782309928640652</v>
      </c>
      <c r="AK52" s="99">
        <f t="shared" si="45"/>
        <v>0.25571523325226631</v>
      </c>
      <c r="AL52" s="99">
        <f t="shared" ref="AL52:BQ52" si="46">AL51/AG51-1</f>
        <v>0.15407708268950593</v>
      </c>
      <c r="AM52" s="100">
        <f t="shared" si="46"/>
        <v>0.20109792524420755</v>
      </c>
      <c r="AN52" s="99">
        <f t="shared" si="46"/>
        <v>0.31464371028079507</v>
      </c>
      <c r="AO52" s="99">
        <f t="shared" si="46"/>
        <v>0.16068563092633115</v>
      </c>
      <c r="AP52" s="99">
        <f t="shared" si="46"/>
        <v>0.16944855271497983</v>
      </c>
      <c r="AQ52" s="99">
        <f t="shared" si="46"/>
        <v>0.33369037144715197</v>
      </c>
      <c r="AR52" s="100">
        <f t="shared" si="46"/>
        <v>0.23929867685748851</v>
      </c>
      <c r="AS52" s="99">
        <f t="shared" si="46"/>
        <v>0.32353949533735604</v>
      </c>
      <c r="AT52" s="99">
        <f t="shared" si="46"/>
        <v>0.32467165210833904</v>
      </c>
      <c r="AU52" s="99">
        <f t="shared" si="46"/>
        <v>0.22276422764227632</v>
      </c>
      <c r="AV52" s="99">
        <f t="shared" si="46"/>
        <v>6.4307021569527389E-2</v>
      </c>
      <c r="AW52" s="100">
        <f t="shared" si="46"/>
        <v>0.22786438156630617</v>
      </c>
      <c r="AX52" s="99">
        <f t="shared" si="46"/>
        <v>5.3438673746923904E-2</v>
      </c>
      <c r="AY52" s="99">
        <f t="shared" si="46"/>
        <v>1.2737493773571584E-2</v>
      </c>
      <c r="AZ52" s="99">
        <f t="shared" si="46"/>
        <v>4.1543538219070086E-2</v>
      </c>
      <c r="BA52" s="99">
        <f t="shared" si="46"/>
        <v>0.1393036166657684</v>
      </c>
      <c r="BB52" s="100">
        <f t="shared" si="46"/>
        <v>5.9667587930185784E-2</v>
      </c>
      <c r="BC52" s="99">
        <f t="shared" si="46"/>
        <v>-9.3931346513228542E-3</v>
      </c>
      <c r="BD52" s="99">
        <f t="shared" si="46"/>
        <v>5.400974330148034E-2</v>
      </c>
      <c r="BE52" s="99">
        <f t="shared" si="46"/>
        <v>-1.5486464121054477E-2</v>
      </c>
      <c r="BF52" s="99">
        <f t="shared" si="46"/>
        <v>-5.3979893554110037E-2</v>
      </c>
      <c r="BG52" s="100">
        <f t="shared" si="46"/>
        <v>-6.0321316707754313E-3</v>
      </c>
      <c r="BH52" s="99">
        <f t="shared" si="46"/>
        <v>4.1726654420890741E-2</v>
      </c>
      <c r="BI52" s="99">
        <f t="shared" si="46"/>
        <v>0.11419492467001469</v>
      </c>
      <c r="BJ52" s="99">
        <f t="shared" si="46"/>
        <v>0.11181556195965414</v>
      </c>
      <c r="BK52" s="99">
        <f t="shared" si="46"/>
        <v>0.18740779636436367</v>
      </c>
      <c r="BL52" s="100">
        <f t="shared" si="46"/>
        <v>0.1136525661840031</v>
      </c>
      <c r="BM52" s="99">
        <f t="shared" si="46"/>
        <v>7.1055829580384477E-2</v>
      </c>
      <c r="BN52" s="99">
        <f t="shared" si="46"/>
        <v>-0.22420773418958539</v>
      </c>
      <c r="BO52" s="99">
        <f t="shared" si="46"/>
        <v>-7.8970105408674662E-2</v>
      </c>
      <c r="BP52" s="99">
        <f t="shared" si="46"/>
        <v>-0.19912398921832886</v>
      </c>
      <c r="BQ52" s="100">
        <f t="shared" si="46"/>
        <v>-0.11496998257052482</v>
      </c>
      <c r="BR52" s="99">
        <f t="shared" ref="BR52:CF52" si="47">BR51/BM51-1</f>
        <v>-5.3149124563394046E-2</v>
      </c>
      <c r="BS52" s="99">
        <f t="shared" si="47"/>
        <v>0.24977505848479398</v>
      </c>
      <c r="BT52" s="99">
        <f t="shared" si="47"/>
        <v>0.17310037523452149</v>
      </c>
      <c r="BU52" s="99">
        <f t="shared" si="47"/>
        <v>0.30242953302482123</v>
      </c>
      <c r="BV52" s="100">
        <f t="shared" si="47"/>
        <v>0.15931193775832719</v>
      </c>
      <c r="BW52" s="99">
        <f t="shared" si="47"/>
        <v>0.10432330827067671</v>
      </c>
      <c r="BX52" s="99">
        <f t="shared" si="47"/>
        <v>0.11076828139463135</v>
      </c>
      <c r="BY52" s="99">
        <f t="shared" si="47"/>
        <v>7.9546590432018505E-2</v>
      </c>
      <c r="BZ52" s="99">
        <f t="shared" si="47"/>
        <v>9.0160293939516301E-2</v>
      </c>
      <c r="CA52" s="100">
        <f t="shared" si="47"/>
        <v>9.5789860011534556E-2</v>
      </c>
      <c r="CB52" s="99">
        <f t="shared" si="47"/>
        <v>-8.5106382978723416E-2</v>
      </c>
      <c r="CC52" s="99">
        <f t="shared" si="47"/>
        <v>-0.20370370370370372</v>
      </c>
      <c r="CD52" s="99">
        <f t="shared" si="47"/>
        <v>-0.20370370370370372</v>
      </c>
      <c r="CE52" s="99">
        <f t="shared" si="47"/>
        <v>-0.20370370370370372</v>
      </c>
      <c r="CF52" s="100">
        <f t="shared" si="47"/>
        <v>-0.17703349282296654</v>
      </c>
    </row>
    <row r="53" spans="2:94" s="1005" customFormat="1" ht="13.15">
      <c r="B53" s="999"/>
      <c r="C53" s="1000" t="s">
        <v>365</v>
      </c>
      <c r="D53" s="1001"/>
      <c r="E53" s="1000"/>
      <c r="F53" s="1000"/>
      <c r="G53" s="1000"/>
      <c r="H53" s="1000"/>
      <c r="I53" s="1001"/>
      <c r="J53" s="1000">
        <v>2379</v>
      </c>
      <c r="K53" s="1000">
        <v>2643</v>
      </c>
      <c r="L53" s="1000">
        <v>2663</v>
      </c>
      <c r="M53" s="1000">
        <f>N53-L53-K53-J53</f>
        <v>2679</v>
      </c>
      <c r="N53" s="1001">
        <v>10364</v>
      </c>
      <c r="O53" s="1000">
        <v>2501</v>
      </c>
      <c r="P53" s="1000">
        <v>2647</v>
      </c>
      <c r="Q53" s="1000">
        <v>2519</v>
      </c>
      <c r="R53" s="1000">
        <f>S53-Q53-P53-O53</f>
        <v>2302</v>
      </c>
      <c r="S53" s="1001">
        <v>9969</v>
      </c>
      <c r="T53" s="1000">
        <v>2501</v>
      </c>
      <c r="U53" s="1000">
        <v>2367</v>
      </c>
      <c r="V53" s="1000">
        <v>2445</v>
      </c>
      <c r="W53" s="1000">
        <f>X53-V53-U53-T53</f>
        <v>1464</v>
      </c>
      <c r="X53" s="1001">
        <v>8777</v>
      </c>
      <c r="Y53" s="1000">
        <v>1916</v>
      </c>
      <c r="Z53" s="1000">
        <v>1905</v>
      </c>
      <c r="AA53" s="1007">
        <v>1886</v>
      </c>
      <c r="AB53" s="1000">
        <f>AB50-AB51</f>
        <v>1598</v>
      </c>
      <c r="AC53" s="1003">
        <v>7305</v>
      </c>
      <c r="AD53" s="1000">
        <v>1720</v>
      </c>
      <c r="AE53" s="1000">
        <v>2133</v>
      </c>
      <c r="AF53" s="1000">
        <v>2245</v>
      </c>
      <c r="AG53" s="1000">
        <f>AH53-AF53-AE53-AD53</f>
        <v>1710</v>
      </c>
      <c r="AH53" s="1003">
        <v>7808</v>
      </c>
      <c r="AI53" s="1000">
        <f>4828-AJ53</f>
        <v>2120</v>
      </c>
      <c r="AJ53" s="1000">
        <v>2708</v>
      </c>
      <c r="AK53" s="1000">
        <v>2761</v>
      </c>
      <c r="AL53" s="1002">
        <f>+AM53-AK53-AJ53-AI53</f>
        <v>2086</v>
      </c>
      <c r="AM53" s="1003">
        <v>9675</v>
      </c>
      <c r="AN53" s="1000">
        <v>1636</v>
      </c>
      <c r="AO53" s="1000">
        <v>2737</v>
      </c>
      <c r="AP53" s="1000">
        <v>3188</v>
      </c>
      <c r="AQ53" s="1000">
        <f>AR53-AP53-AO53-AN53</f>
        <v>3223</v>
      </c>
      <c r="AR53" s="1003">
        <v>10784</v>
      </c>
      <c r="AS53" s="1000">
        <v>3825</v>
      </c>
      <c r="AT53" s="1000">
        <v>3881</v>
      </c>
      <c r="AU53" s="1000">
        <v>4130</v>
      </c>
      <c r="AV53" s="1000">
        <f>AW53-AU53-AT53-AS53</f>
        <v>4490</v>
      </c>
      <c r="AW53" s="1003">
        <v>16326</v>
      </c>
      <c r="AX53" s="1000">
        <v>4350</v>
      </c>
      <c r="AY53" s="1000">
        <v>4676</v>
      </c>
      <c r="AZ53" s="1000">
        <v>5184</v>
      </c>
      <c r="BA53" s="1000">
        <f>19215-AZ53-AY53-AX53</f>
        <v>5005</v>
      </c>
      <c r="BB53" s="1003">
        <f>SUM(AX53:BA53)</f>
        <v>19215</v>
      </c>
      <c r="BC53" s="1000">
        <f>BC59</f>
        <v>5653</v>
      </c>
      <c r="BD53" s="1000">
        <f t="shared" ref="BD53:BK53" si="48">BD59</f>
        <v>5672</v>
      </c>
      <c r="BE53" s="1000">
        <f t="shared" si="48"/>
        <v>6559</v>
      </c>
      <c r="BF53" s="1000">
        <f t="shared" si="48"/>
        <v>6464</v>
      </c>
      <c r="BG53" s="1003">
        <f>SUM(BC53:BF53)</f>
        <v>24348</v>
      </c>
      <c r="BH53" s="1000">
        <f t="shared" si="48"/>
        <v>6476</v>
      </c>
      <c r="BI53" s="1000">
        <f t="shared" si="48"/>
        <v>7260</v>
      </c>
      <c r="BJ53" s="1000">
        <f t="shared" si="48"/>
        <v>8701</v>
      </c>
      <c r="BK53" s="1000">
        <f t="shared" si="48"/>
        <v>4732</v>
      </c>
      <c r="BL53" s="1003">
        <f>SUM(BH53:BK53)</f>
        <v>27169</v>
      </c>
      <c r="BM53" s="1000">
        <v>7184</v>
      </c>
      <c r="BN53" s="1000">
        <v>4755</v>
      </c>
      <c r="BO53" s="1000">
        <v>5306</v>
      </c>
      <c r="BP53" s="1000">
        <f>21889-BO53-BN53-BM53</f>
        <v>4644</v>
      </c>
      <c r="BQ53" s="1003">
        <f>SUM(BM53:BP53)</f>
        <v>21889</v>
      </c>
      <c r="BR53" s="1000">
        <v>5080</v>
      </c>
      <c r="BS53" s="1000">
        <v>4722</v>
      </c>
      <c r="BT53" s="1000">
        <f>+BT59</f>
        <v>4603</v>
      </c>
      <c r="BU53" s="1000">
        <f>BV53-BT53-BS53-BR53</f>
        <v>4256</v>
      </c>
      <c r="BV53" s="1003">
        <v>18661</v>
      </c>
      <c r="BW53" s="1000">
        <v>6000</v>
      </c>
      <c r="BX53" s="1000">
        <v>6000</v>
      </c>
      <c r="BY53" s="1000">
        <v>6000</v>
      </c>
      <c r="BZ53" s="1000">
        <v>6000</v>
      </c>
      <c r="CA53" s="1003">
        <f>SUM(BW53:BZ53)</f>
        <v>24000</v>
      </c>
      <c r="CB53" s="1000">
        <f>+CB59</f>
        <v>7000</v>
      </c>
      <c r="CC53" s="1000">
        <f>+CC59</f>
        <v>7000</v>
      </c>
      <c r="CD53" s="1000">
        <f>+CD59</f>
        <v>7000</v>
      </c>
      <c r="CE53" s="1000">
        <f>+CE59</f>
        <v>7000</v>
      </c>
      <c r="CF53" s="1003">
        <f>SUM(CB53:CE53)</f>
        <v>28000</v>
      </c>
      <c r="CJ53" s="1009" t="s">
        <v>572</v>
      </c>
      <c r="CK53" s="1009" t="s">
        <v>573</v>
      </c>
      <c r="CL53" s="1009" t="s">
        <v>570</v>
      </c>
      <c r="CM53" s="1009" t="s">
        <v>574</v>
      </c>
      <c r="CN53" s="1009">
        <v>2020</v>
      </c>
    </row>
    <row r="54" spans="2:94" s="97" customFormat="1">
      <c r="B54" s="98"/>
      <c r="C54" s="99" t="s">
        <v>21</v>
      </c>
      <c r="D54" s="100" t="e">
        <f>D53/#REF!-1</f>
        <v>#REF!</v>
      </c>
      <c r="E54" s="99" t="e">
        <f>E53/#REF!-1</f>
        <v>#REF!</v>
      </c>
      <c r="F54" s="99" t="e">
        <f t="shared" ref="F54:AK54" si="49">F53/A53-1</f>
        <v>#DIV/0!</v>
      </c>
      <c r="G54" s="99" t="e">
        <f t="shared" si="49"/>
        <v>#DIV/0!</v>
      </c>
      <c r="H54" s="99" t="e">
        <f t="shared" si="49"/>
        <v>#VALUE!</v>
      </c>
      <c r="I54" s="100" t="e">
        <f t="shared" si="49"/>
        <v>#DIV/0!</v>
      </c>
      <c r="J54" s="99" t="e">
        <f t="shared" si="49"/>
        <v>#DIV/0!</v>
      </c>
      <c r="K54" s="99" t="e">
        <f t="shared" si="49"/>
        <v>#DIV/0!</v>
      </c>
      <c r="L54" s="99" t="e">
        <f t="shared" si="49"/>
        <v>#DIV/0!</v>
      </c>
      <c r="M54" s="99" t="e">
        <f t="shared" si="49"/>
        <v>#DIV/0!</v>
      </c>
      <c r="N54" s="100" t="e">
        <f t="shared" si="49"/>
        <v>#DIV/0!</v>
      </c>
      <c r="O54" s="99">
        <f t="shared" si="49"/>
        <v>5.1282051282051322E-2</v>
      </c>
      <c r="P54" s="99">
        <f t="shared" si="49"/>
        <v>1.5134317063942859E-3</v>
      </c>
      <c r="Q54" s="99">
        <f t="shared" si="49"/>
        <v>-5.407435223432222E-2</v>
      </c>
      <c r="R54" s="99">
        <f t="shared" si="49"/>
        <v>-0.14072415080253831</v>
      </c>
      <c r="S54" s="100">
        <f t="shared" si="49"/>
        <v>-3.81126978000772E-2</v>
      </c>
      <c r="T54" s="99">
        <f t="shared" si="49"/>
        <v>0</v>
      </c>
      <c r="U54" s="99">
        <f t="shared" si="49"/>
        <v>-0.10578012844729878</v>
      </c>
      <c r="V54" s="99">
        <f t="shared" si="49"/>
        <v>-2.9376736800317604E-2</v>
      </c>
      <c r="W54" s="99">
        <f t="shared" si="49"/>
        <v>-0.36403127715030403</v>
      </c>
      <c r="X54" s="100">
        <f t="shared" si="49"/>
        <v>-0.11957066907412983</v>
      </c>
      <c r="Y54" s="99">
        <f t="shared" si="49"/>
        <v>-0.23390643742503003</v>
      </c>
      <c r="Z54" s="99">
        <f t="shared" si="49"/>
        <v>-0.1951837769328264</v>
      </c>
      <c r="AA54" s="99">
        <f t="shared" si="49"/>
        <v>-0.2286298568507158</v>
      </c>
      <c r="AB54" s="99">
        <f t="shared" si="49"/>
        <v>9.1530054644808789E-2</v>
      </c>
      <c r="AC54" s="100">
        <f t="shared" si="49"/>
        <v>-0.16771106300558281</v>
      </c>
      <c r="AD54" s="99">
        <f t="shared" si="49"/>
        <v>-0.10229645093945716</v>
      </c>
      <c r="AE54" s="99">
        <f t="shared" si="49"/>
        <v>0.11968503937007879</v>
      </c>
      <c r="AF54" s="99">
        <f t="shared" si="49"/>
        <v>0.19034994697773056</v>
      </c>
      <c r="AG54" s="99">
        <f t="shared" si="49"/>
        <v>7.0087609511889859E-2</v>
      </c>
      <c r="AH54" s="100">
        <f t="shared" si="49"/>
        <v>6.8856947296372262E-2</v>
      </c>
      <c r="AI54" s="99">
        <f t="shared" si="49"/>
        <v>0.23255813953488369</v>
      </c>
      <c r="AJ54" s="99">
        <f t="shared" si="49"/>
        <v>0.26957337083919364</v>
      </c>
      <c r="AK54" s="99">
        <f t="shared" si="49"/>
        <v>0.22984409799554562</v>
      </c>
      <c r="AL54" s="99">
        <f t="shared" ref="AL54:BQ54" si="50">AL53/AG53-1</f>
        <v>0.21988304093567246</v>
      </c>
      <c r="AM54" s="100">
        <f t="shared" si="50"/>
        <v>0.23911372950819665</v>
      </c>
      <c r="AN54" s="99">
        <f t="shared" si="50"/>
        <v>-0.22830188679245278</v>
      </c>
      <c r="AO54" s="99">
        <f t="shared" si="50"/>
        <v>1.0709010339734037E-2</v>
      </c>
      <c r="AP54" s="99">
        <f t="shared" si="50"/>
        <v>0.15465411082940972</v>
      </c>
      <c r="AQ54" s="99">
        <f t="shared" si="50"/>
        <v>0.54506232023010548</v>
      </c>
      <c r="AR54" s="100">
        <f t="shared" si="50"/>
        <v>0.11462532299741612</v>
      </c>
      <c r="AS54" s="98">
        <f t="shared" si="50"/>
        <v>1.3380195599022007</v>
      </c>
      <c r="AT54" s="99">
        <f t="shared" si="50"/>
        <v>0.41797588600657654</v>
      </c>
      <c r="AU54" s="99">
        <f t="shared" si="50"/>
        <v>0.29548306148055214</v>
      </c>
      <c r="AV54" s="99">
        <f t="shared" si="50"/>
        <v>0.39311200744647845</v>
      </c>
      <c r="AW54" s="100">
        <f t="shared" si="50"/>
        <v>0.51390949554896137</v>
      </c>
      <c r="AX54" s="98">
        <f t="shared" si="50"/>
        <v>0.13725490196078427</v>
      </c>
      <c r="AY54" s="99">
        <f t="shared" si="50"/>
        <v>0.20484411234217981</v>
      </c>
      <c r="AZ54" s="99">
        <f t="shared" si="50"/>
        <v>0.25520581113801444</v>
      </c>
      <c r="BA54" s="99">
        <f t="shared" si="50"/>
        <v>0.1146993318485523</v>
      </c>
      <c r="BB54" s="100">
        <f t="shared" si="50"/>
        <v>0.17695700110253587</v>
      </c>
      <c r="BC54" s="99">
        <f t="shared" si="50"/>
        <v>0.29954022988505757</v>
      </c>
      <c r="BD54" s="99">
        <f t="shared" si="50"/>
        <v>0.21300256629597958</v>
      </c>
      <c r="BE54" s="99">
        <f t="shared" si="50"/>
        <v>0.26523919753086411</v>
      </c>
      <c r="BF54" s="99">
        <f t="shared" si="50"/>
        <v>0.29150849150849156</v>
      </c>
      <c r="BG54" s="100">
        <f t="shared" si="50"/>
        <v>0.26713505074160815</v>
      </c>
      <c r="BH54" s="99">
        <f t="shared" si="50"/>
        <v>0.14558641429329566</v>
      </c>
      <c r="BI54" s="99">
        <f t="shared" si="50"/>
        <v>0.27997179125528904</v>
      </c>
      <c r="BJ54" s="99">
        <f t="shared" si="50"/>
        <v>0.32657417289220914</v>
      </c>
      <c r="BK54" s="99">
        <f t="shared" si="50"/>
        <v>-0.26794554455445541</v>
      </c>
      <c r="BL54" s="100">
        <f t="shared" si="50"/>
        <v>0.11586167241662571</v>
      </c>
      <c r="BM54" s="99">
        <f t="shared" si="50"/>
        <v>0.10932674490426186</v>
      </c>
      <c r="BN54" s="99">
        <f t="shared" si="50"/>
        <v>-0.3450413223140496</v>
      </c>
      <c r="BO54" s="99">
        <f t="shared" si="50"/>
        <v>-0.39018503620273537</v>
      </c>
      <c r="BP54" s="99">
        <f t="shared" si="50"/>
        <v>-1.8596787827557026E-2</v>
      </c>
      <c r="BQ54" s="100">
        <f t="shared" si="50"/>
        <v>-0.19433913651588208</v>
      </c>
      <c r="BR54" s="99">
        <f t="shared" ref="BR54:CF54" si="51">BR53/BM53-1</f>
        <v>-0.29287305122494434</v>
      </c>
      <c r="BS54" s="99">
        <f t="shared" si="51"/>
        <v>-6.9400630914826511E-3</v>
      </c>
      <c r="BT54" s="99">
        <f t="shared" si="51"/>
        <v>-0.13249151903505463</v>
      </c>
      <c r="BU54" s="99">
        <f t="shared" si="51"/>
        <v>-8.3548664944013806E-2</v>
      </c>
      <c r="BV54" s="100">
        <f t="shared" si="51"/>
        <v>-0.1474713326328293</v>
      </c>
      <c r="BW54" s="99">
        <f t="shared" si="51"/>
        <v>0.18110236220472431</v>
      </c>
      <c r="BX54" s="99">
        <f t="shared" si="51"/>
        <v>0.27064803049555275</v>
      </c>
      <c r="BY54" s="99">
        <f t="shared" si="51"/>
        <v>0.30349771887899202</v>
      </c>
      <c r="BZ54" s="99">
        <f t="shared" si="51"/>
        <v>0.40977443609022557</v>
      </c>
      <c r="CA54" s="100">
        <f t="shared" si="51"/>
        <v>0.28610471035850171</v>
      </c>
      <c r="CB54" s="99">
        <f t="shared" si="51"/>
        <v>0.16666666666666674</v>
      </c>
      <c r="CC54" s="99">
        <f t="shared" si="51"/>
        <v>0.16666666666666674</v>
      </c>
      <c r="CD54" s="99">
        <f t="shared" si="51"/>
        <v>0.16666666666666674</v>
      </c>
      <c r="CE54" s="99">
        <f t="shared" si="51"/>
        <v>0.16666666666666674</v>
      </c>
      <c r="CF54" s="100">
        <f t="shared" si="51"/>
        <v>0.16666666666666674</v>
      </c>
      <c r="CI54" s="729" t="s">
        <v>742</v>
      </c>
      <c r="CJ54" s="812">
        <v>91.1</v>
      </c>
      <c r="CK54" s="812">
        <v>93.6</v>
      </c>
      <c r="CL54" s="812">
        <v>134.6</v>
      </c>
      <c r="CM54" s="812">
        <v>141.1</v>
      </c>
      <c r="CN54" s="812">
        <f>SUM(CJ54:CM54)</f>
        <v>460.4</v>
      </c>
    </row>
    <row r="55" spans="2:94" s="7" customFormat="1" ht="12.75">
      <c r="B55" s="11"/>
      <c r="C55" s="12" t="s">
        <v>354</v>
      </c>
      <c r="D55" s="9"/>
      <c r="I55" s="9"/>
      <c r="N55" s="9"/>
      <c r="S55" s="9"/>
      <c r="X55" s="9"/>
      <c r="Y55" s="12">
        <f>T50*(1+Y56)</f>
        <v>17903.952000000001</v>
      </c>
      <c r="Z55" s="12">
        <f>U50*(1+Z56)</f>
        <v>20384.936000000002</v>
      </c>
      <c r="AA55" s="81">
        <f>V50*(1+AA56)</f>
        <v>20714.056</v>
      </c>
      <c r="AB55" s="12">
        <f>W50*(1+AB56)</f>
        <v>20436.579000000002</v>
      </c>
      <c r="AC55" s="23">
        <f>SUM(Y55:AB55)</f>
        <v>79439.523000000001</v>
      </c>
      <c r="AD55" s="22">
        <f>AD57+AD59</f>
        <v>20461</v>
      </c>
      <c r="AE55" s="22">
        <f>AE57+AE59</f>
        <v>24085</v>
      </c>
      <c r="AF55" s="22">
        <f>AF57+AF59</f>
        <v>24860</v>
      </c>
      <c r="AG55" s="22">
        <f>AG57+AG59</f>
        <v>23861</v>
      </c>
      <c r="AH55" s="23">
        <f>SUM(AD55:AG55)</f>
        <v>93267</v>
      </c>
      <c r="AI55" s="22">
        <f>AI57+AI59</f>
        <v>24307</v>
      </c>
      <c r="AJ55" s="22">
        <f>AJ57+AJ59</f>
        <v>30128</v>
      </c>
      <c r="AK55" s="22">
        <f>AK57+AK59</f>
        <v>31159</v>
      </c>
      <c r="AL55" s="22">
        <f>AL57+AL59</f>
        <v>28227</v>
      </c>
      <c r="AM55" s="23">
        <f>SUM(AI55:AL55)</f>
        <v>113821</v>
      </c>
      <c r="AN55" s="22">
        <f>AN57+AN59</f>
        <v>30804</v>
      </c>
      <c r="AO55" s="22">
        <f>AO57+AO59</f>
        <v>34563</v>
      </c>
      <c r="AP55" s="22">
        <f>AP57+AP59</f>
        <v>36398</v>
      </c>
      <c r="AQ55" s="22">
        <f>AQ57+AQ59</f>
        <v>33994.199999999997</v>
      </c>
      <c r="AR55" s="23">
        <f>SUM(AN55:AQ55)</f>
        <v>135759.20000000001</v>
      </c>
      <c r="AS55" s="22">
        <f>AS57+AS59</f>
        <v>42430</v>
      </c>
      <c r="AT55" s="22">
        <f>AT57+AT59</f>
        <v>46040</v>
      </c>
      <c r="AU55" s="22">
        <f>AU57+AU59</f>
        <v>44738</v>
      </c>
      <c r="AV55" s="22">
        <f>AV57+AV59</f>
        <v>41596</v>
      </c>
      <c r="AW55" s="23">
        <f>SUM(AS55:AV55)</f>
        <v>174804</v>
      </c>
      <c r="AX55" s="22">
        <f>AX57+AX59</f>
        <v>45018</v>
      </c>
      <c r="AY55" s="22">
        <f>AY57+AY59</f>
        <v>47372</v>
      </c>
      <c r="AZ55" s="22">
        <f>AZ57+AZ59</f>
        <v>47479</v>
      </c>
      <c r="BA55" s="22">
        <f>BA57+BA59</f>
        <v>47280</v>
      </c>
      <c r="BB55" s="23">
        <f>SUM(AX55:BA55)</f>
        <v>187149</v>
      </c>
      <c r="BC55" s="22">
        <f>BC57+BC59</f>
        <v>45939</v>
      </c>
      <c r="BD55" s="22">
        <f>BD57+BD59</f>
        <v>50674</v>
      </c>
      <c r="BE55" s="22">
        <f>BE57+BE59</f>
        <v>48199</v>
      </c>
      <c r="BF55" s="22">
        <f>BF57+BF59</f>
        <v>46457</v>
      </c>
      <c r="BG55" s="23">
        <f>SUM(BC55:BF55)</f>
        <v>191269</v>
      </c>
      <c r="BH55" s="22">
        <f>BH57+BH59</f>
        <v>48443</v>
      </c>
      <c r="BI55" s="22">
        <f>BI57+BI59</f>
        <v>57401</v>
      </c>
      <c r="BJ55" s="22">
        <f>BJ57+BJ59</f>
        <v>54997</v>
      </c>
      <c r="BK55" s="22">
        <f>BK57+BK59</f>
        <v>52220</v>
      </c>
      <c r="BL55" s="23">
        <f>SUM(BH55:BK55)</f>
        <v>213061</v>
      </c>
      <c r="BM55" s="22">
        <f>BM57+BM59</f>
        <v>52133</v>
      </c>
      <c r="BN55" s="22">
        <f>BN57+BN59</f>
        <v>41755</v>
      </c>
      <c r="BO55" s="22">
        <v>40000</v>
      </c>
      <c r="BP55" s="22">
        <v>40000</v>
      </c>
      <c r="BQ55" s="23">
        <f>SUM(BM55:BP55)</f>
        <v>173888</v>
      </c>
      <c r="BR55" s="22">
        <f>BR57+BR59</f>
        <v>45080</v>
      </c>
      <c r="BS55" s="22">
        <v>45000</v>
      </c>
      <c r="BT55" s="22">
        <f>BT57+BT59</f>
        <v>46524</v>
      </c>
      <c r="BU55" s="22">
        <f>BU57+BU59</f>
        <v>46428</v>
      </c>
      <c r="BV55" s="23">
        <f>SUM(BR55:BU55)</f>
        <v>183032</v>
      </c>
      <c r="BW55" s="22">
        <f>BW57+BW59</f>
        <v>57000</v>
      </c>
      <c r="BX55" s="22">
        <v>45000</v>
      </c>
      <c r="BY55" s="22">
        <f>BY57+BY59</f>
        <v>63000</v>
      </c>
      <c r="BZ55" s="22">
        <f>BZ57+BZ59</f>
        <v>63000</v>
      </c>
      <c r="CA55" s="23">
        <f>SUM(BW55:BZ55)</f>
        <v>228000</v>
      </c>
      <c r="CB55" s="22">
        <f>CB57+CB59</f>
        <v>57000</v>
      </c>
      <c r="CC55" s="22">
        <v>45000</v>
      </c>
      <c r="CD55" s="22">
        <f>CD57+CD59</f>
        <v>62000</v>
      </c>
      <c r="CE55" s="22">
        <f>CE57+CE59</f>
        <v>62000</v>
      </c>
      <c r="CF55" s="23">
        <f>SUM(CB55:CE55)</f>
        <v>226000</v>
      </c>
      <c r="CI55" s="7" t="s">
        <v>739</v>
      </c>
      <c r="CK55" s="7">
        <f>CN55-CM55-CL55</f>
        <v>0</v>
      </c>
      <c r="CL55" s="7">
        <v>24.8</v>
      </c>
      <c r="CM55" s="7">
        <v>36.799999999999997</v>
      </c>
      <c r="CN55" s="7">
        <v>61.6</v>
      </c>
    </row>
    <row r="56" spans="2:94" s="97" customFormat="1">
      <c r="B56" s="98"/>
      <c r="C56" s="99" t="s">
        <v>21</v>
      </c>
      <c r="D56" s="100"/>
      <c r="E56" s="99"/>
      <c r="F56" s="99"/>
      <c r="G56" s="99"/>
      <c r="H56" s="99"/>
      <c r="I56" s="100"/>
      <c r="J56" s="99"/>
      <c r="K56" s="99"/>
      <c r="L56" s="99"/>
      <c r="M56" s="99"/>
      <c r="N56" s="100"/>
      <c r="O56" s="99"/>
      <c r="P56" s="99"/>
      <c r="Q56" s="99"/>
      <c r="R56" s="99"/>
      <c r="S56" s="100"/>
      <c r="T56" s="99"/>
      <c r="U56" s="99"/>
      <c r="V56" s="99"/>
      <c r="W56" s="99"/>
      <c r="X56" s="100"/>
      <c r="Y56" s="99">
        <v>6.8000000000000005E-2</v>
      </c>
      <c r="Z56" s="99">
        <v>0.13300000000000001</v>
      </c>
      <c r="AA56" s="236">
        <v>0.17399999999999999</v>
      </c>
      <c r="AB56" s="99">
        <v>0.187</v>
      </c>
      <c r="AC56" s="100"/>
      <c r="AD56" s="99">
        <f>AD55/Y50-1</f>
        <v>0.10420939017808961</v>
      </c>
      <c r="AE56" s="99">
        <f>AE55/Z50-1</f>
        <v>0.10801858582141044</v>
      </c>
      <c r="AF56" s="99">
        <f>AF55/AA50-1</f>
        <v>0.12493777999004485</v>
      </c>
      <c r="AG56" s="99">
        <f>AG55/AB50-1</f>
        <v>0.13397015492823883</v>
      </c>
      <c r="AH56" s="100">
        <f>AH55/AC55-1</f>
        <v>0.17406294093684327</v>
      </c>
      <c r="AI56" s="99">
        <f>AI55/AD50-1</f>
        <v>0.18796735252431462</v>
      </c>
      <c r="AJ56" s="99">
        <f>AJ55/AE50-1</f>
        <v>0.25090305169192439</v>
      </c>
      <c r="AK56" s="99">
        <f>AK55/AF50-1</f>
        <v>0.25337892196299272</v>
      </c>
      <c r="AL56" s="99">
        <f>AL55/AG50-1</f>
        <v>0.18297640501236323</v>
      </c>
      <c r="AM56" s="100">
        <f>AM55/AH55-1</f>
        <v>0.22037805440295077</v>
      </c>
      <c r="AN56" s="99">
        <f>AN55/AI50-1</f>
        <v>0.26728925823836747</v>
      </c>
      <c r="AO56" s="99">
        <f>AO55/AJ50-1</f>
        <v>0.14720525756771119</v>
      </c>
      <c r="AP56" s="99">
        <f>AP55/AK50-1</f>
        <v>0.16813761673994665</v>
      </c>
      <c r="AQ56" s="99">
        <f>AQ55/AL50-1</f>
        <v>0.20431501753640124</v>
      </c>
      <c r="AR56" s="100">
        <f>AR55/AM55-1</f>
        <v>0.19274299118791793</v>
      </c>
      <c r="AS56" s="99">
        <f>AS55/AN50-1</f>
        <v>0.37741851707570451</v>
      </c>
      <c r="AT56" s="99">
        <f>AT55/AO50-1</f>
        <v>0.33206029569192497</v>
      </c>
      <c r="AU56" s="99">
        <f>AU55/AP50-1</f>
        <v>0.22913346887191599</v>
      </c>
      <c r="AV56" s="99">
        <f>AV55/AQ50-1</f>
        <v>9.2131173366240438E-2</v>
      </c>
      <c r="AW56" s="100">
        <f>AW55/AR55-1</f>
        <v>0.28760334474569671</v>
      </c>
      <c r="AX56" s="99">
        <v>0.1</v>
      </c>
      <c r="AY56" s="99">
        <v>0.12</v>
      </c>
      <c r="AZ56" s="99">
        <f>AZ55/AU50-1</f>
        <v>6.1267826009209214E-2</v>
      </c>
      <c r="BA56" s="99">
        <f>BA55/AV50-1</f>
        <v>0.13664775459178768</v>
      </c>
      <c r="BB56" s="100">
        <f>BB55/AW55-1</f>
        <v>7.0621953731035969E-2</v>
      </c>
      <c r="BC56" s="99">
        <v>0.1</v>
      </c>
      <c r="BD56" s="99">
        <v>0.12</v>
      </c>
      <c r="BE56" s="99">
        <f>BE55/AZ50-1</f>
        <v>1.5164599085911723E-2</v>
      </c>
      <c r="BF56" s="99">
        <f>BF55/BA50-1</f>
        <v>-1.7406937394247035E-2</v>
      </c>
      <c r="BG56" s="100">
        <f>BG55/BB55-1</f>
        <v>2.2014544560751137E-2</v>
      </c>
      <c r="BH56" s="99">
        <v>0.1</v>
      </c>
      <c r="BI56" s="99">
        <v>0.12</v>
      </c>
      <c r="BJ56" s="99">
        <f>BJ55/BE50-1</f>
        <v>0.14104027054503199</v>
      </c>
      <c r="BK56" s="99">
        <f>BK55/BF50-1</f>
        <v>0.12405019695632524</v>
      </c>
      <c r="BL56" s="100">
        <f>BL55/BG55-1</f>
        <v>0.11393377912782521</v>
      </c>
      <c r="BM56" s="99">
        <v>0.1</v>
      </c>
      <c r="BN56" s="99">
        <v>0.12</v>
      </c>
      <c r="BO56" s="99">
        <f>BO55/BJ50-1</f>
        <v>-0.27268760114188051</v>
      </c>
      <c r="BP56" s="99">
        <f>BP55/BK50-1</f>
        <v>-0.23400995787054768</v>
      </c>
      <c r="BQ56" s="100">
        <f>BQ55/BL55-1</f>
        <v>-0.18385814391183741</v>
      </c>
      <c r="BR56" s="99">
        <v>0.1</v>
      </c>
      <c r="BS56" s="99">
        <v>0.12</v>
      </c>
      <c r="BT56" s="99">
        <f>BT55/BO50-1</f>
        <v>-2.9658365661369035E-2</v>
      </c>
      <c r="BU56" s="99">
        <f>BU55/BP50-1</f>
        <v>8.7918267878901446E-2</v>
      </c>
      <c r="BV56" s="100">
        <f>BV55/BQ55-1</f>
        <v>5.2585572322414453E-2</v>
      </c>
      <c r="BW56" s="99">
        <v>0.1</v>
      </c>
      <c r="BX56" s="99">
        <v>0.12</v>
      </c>
      <c r="BY56" s="99">
        <f>BY55/BT50-1</f>
        <v>0.15333919156414755</v>
      </c>
      <c r="BZ56" s="99">
        <f>BZ55/BU50-1</f>
        <v>0.17122141662018953</v>
      </c>
      <c r="CA56" s="100">
        <f>CA55/BV55-1</f>
        <v>0.24568381485204771</v>
      </c>
      <c r="CB56" s="99">
        <v>0.1</v>
      </c>
      <c r="CC56" s="99">
        <v>0.12</v>
      </c>
      <c r="CD56" s="99">
        <f>CD55/BY50-1</f>
        <v>0</v>
      </c>
      <c r="CE56" s="99">
        <f>CE55/BZ50-1</f>
        <v>0</v>
      </c>
      <c r="CF56" s="100">
        <f>CF55/CA55-1</f>
        <v>-8.7719298245614308E-3</v>
      </c>
      <c r="CI56" s="813" t="s">
        <v>740</v>
      </c>
      <c r="CJ56" s="729"/>
      <c r="CK56" s="729">
        <f>CN56-CM56-CL56</f>
        <v>3.4000000000000012</v>
      </c>
      <c r="CL56" s="729">
        <v>7.8</v>
      </c>
      <c r="CM56" s="729">
        <v>8.4</v>
      </c>
      <c r="CN56" s="729">
        <v>19.600000000000001</v>
      </c>
      <c r="CO56" s="814">
        <f>CN56+CN55</f>
        <v>81.2</v>
      </c>
    </row>
    <row r="57" spans="2:94" s="10" customFormat="1" ht="12.75">
      <c r="B57" s="11"/>
      <c r="C57" s="12" t="s">
        <v>361</v>
      </c>
      <c r="D57" s="13"/>
      <c r="E57" s="12"/>
      <c r="F57" s="12"/>
      <c r="G57" s="12"/>
      <c r="H57" s="12"/>
      <c r="I57" s="13"/>
      <c r="J57" s="12"/>
      <c r="K57" s="12"/>
      <c r="L57" s="12"/>
      <c r="M57" s="12"/>
      <c r="N57" s="13"/>
      <c r="O57" s="12"/>
      <c r="P57" s="12"/>
      <c r="Q57" s="12"/>
      <c r="R57" s="12"/>
      <c r="S57" s="13"/>
      <c r="T57" s="12"/>
      <c r="U57" s="12"/>
      <c r="V57" s="12"/>
      <c r="W57" s="12"/>
      <c r="X57" s="13"/>
      <c r="Y57" s="12">
        <f>Y55-Y59</f>
        <v>15987.952000000001</v>
      </c>
      <c r="Z57" s="12">
        <f>Z55-Z59</f>
        <v>18479.936000000002</v>
      </c>
      <c r="AA57" s="81">
        <f>AA55-AA59</f>
        <v>18828.056</v>
      </c>
      <c r="AB57" s="12">
        <f>AB55-AB59</f>
        <v>18838.579000000002</v>
      </c>
      <c r="AC57" s="23">
        <f>SUM(Y57:AB57)</f>
        <v>72134.523000000001</v>
      </c>
      <c r="AD57" s="12">
        <v>18741</v>
      </c>
      <c r="AE57" s="12">
        <v>21952</v>
      </c>
      <c r="AF57" s="12">
        <v>22615</v>
      </c>
      <c r="AG57" s="12">
        <f>AH57-AF57-AE57-AD57</f>
        <v>22151</v>
      </c>
      <c r="AH57" s="23">
        <v>85459</v>
      </c>
      <c r="AI57" s="12">
        <f>AI51</f>
        <v>22187</v>
      </c>
      <c r="AJ57" s="12">
        <f>AJ51</f>
        <v>27420</v>
      </c>
      <c r="AK57" s="12">
        <v>28398</v>
      </c>
      <c r="AL57" s="12">
        <f>+AL51</f>
        <v>26141</v>
      </c>
      <c r="AM57" s="23">
        <f>SUM(AI57:AL57)</f>
        <v>104146</v>
      </c>
      <c r="AN57" s="12">
        <f>+AN51</f>
        <v>29168</v>
      </c>
      <c r="AO57" s="12">
        <f>+AO51</f>
        <v>31826</v>
      </c>
      <c r="AP57" s="12">
        <f>+AP51</f>
        <v>33210</v>
      </c>
      <c r="AQ57" s="12">
        <f>+AQ51-AQ61</f>
        <v>30771.199999999997</v>
      </c>
      <c r="AR57" s="23">
        <f>SUM(AN57:AQ57)</f>
        <v>124975.2</v>
      </c>
      <c r="AS57" s="12">
        <f>+AS51</f>
        <v>38605</v>
      </c>
      <c r="AT57" s="12">
        <f>+AT51</f>
        <v>42159</v>
      </c>
      <c r="AU57" s="12">
        <f>+AU51</f>
        <v>40608</v>
      </c>
      <c r="AV57" s="12">
        <f>+AV51</f>
        <v>37106</v>
      </c>
      <c r="AW57" s="23">
        <f>SUM(AS57:AV57)</f>
        <v>158478</v>
      </c>
      <c r="AX57" s="12">
        <f>+AX51</f>
        <v>40668</v>
      </c>
      <c r="AY57" s="12">
        <f>+AY51</f>
        <v>42696</v>
      </c>
      <c r="AZ57" s="12">
        <f>+AZ51</f>
        <v>42295</v>
      </c>
      <c r="BA57" s="12">
        <f>+BA51</f>
        <v>42275</v>
      </c>
      <c r="BB57" s="23">
        <f>SUM(AX57:BA57)</f>
        <v>167934</v>
      </c>
      <c r="BC57" s="12">
        <v>40286</v>
      </c>
      <c r="BD57" s="12">
        <v>45002</v>
      </c>
      <c r="BE57" s="12">
        <v>41640</v>
      </c>
      <c r="BF57" s="12">
        <f>166921-BE57-BD57-BC57</f>
        <v>39993</v>
      </c>
      <c r="BG57" s="23">
        <f>SUM(BC57:BF57)</f>
        <v>166921</v>
      </c>
      <c r="BH57" s="12">
        <v>41967</v>
      </c>
      <c r="BI57" s="12">
        <v>50141</v>
      </c>
      <c r="BJ57" s="12">
        <v>46296</v>
      </c>
      <c r="BK57" s="12">
        <f>185892-BJ57-BI57-BH57</f>
        <v>47488</v>
      </c>
      <c r="BL57" s="23">
        <f>SUM(BH57:BK57)</f>
        <v>185892</v>
      </c>
      <c r="BM57" s="12">
        <v>44949</v>
      </c>
      <c r="BN57" s="12">
        <v>37000</v>
      </c>
      <c r="BO57" s="12">
        <v>41000</v>
      </c>
      <c r="BP57" s="12">
        <v>45000</v>
      </c>
      <c r="BQ57" s="23">
        <f>SUM(BM57:BP57)</f>
        <v>167949</v>
      </c>
      <c r="BR57" s="12">
        <v>40000</v>
      </c>
      <c r="BS57" s="12">
        <f>53337-4722-5643</f>
        <v>42972</v>
      </c>
      <c r="BT57" s="12">
        <f>50021-8100</f>
        <v>41921</v>
      </c>
      <c r="BU57" s="12">
        <f>BV57-BT57-BS57-BR57</f>
        <v>42172</v>
      </c>
      <c r="BV57" s="23">
        <v>167065</v>
      </c>
      <c r="BW57" s="12">
        <v>50000</v>
      </c>
      <c r="BX57" s="12">
        <v>52500</v>
      </c>
      <c r="BY57" s="12">
        <v>55000</v>
      </c>
      <c r="BZ57" s="12">
        <v>55000</v>
      </c>
      <c r="CA57" s="23">
        <f>SUM(BW57:BZ57)</f>
        <v>212500</v>
      </c>
      <c r="CB57" s="12">
        <v>50000</v>
      </c>
      <c r="CC57" s="12">
        <v>52500</v>
      </c>
      <c r="CD57" s="12">
        <v>55000</v>
      </c>
      <c r="CE57" s="12">
        <v>55000</v>
      </c>
      <c r="CF57" s="23">
        <f>SUM(CB57:CE57)</f>
        <v>212500</v>
      </c>
      <c r="CI57" s="76" t="s">
        <v>741</v>
      </c>
      <c r="CJ57" s="478">
        <f>CJ54</f>
        <v>91.1</v>
      </c>
      <c r="CK57" s="478">
        <f>CK54-CK56</f>
        <v>90.199999999999989</v>
      </c>
      <c r="CL57" s="478">
        <f>CL54-CL55-CL56</f>
        <v>102</v>
      </c>
      <c r="CM57" s="478">
        <f>CM54-CM55-CM56</f>
        <v>95.899999999999991</v>
      </c>
      <c r="CN57" s="478">
        <f>SUM(CJ57:CM57)</f>
        <v>379.19999999999993</v>
      </c>
      <c r="CP57" s="10">
        <f>CN54-CO56</f>
        <v>379.2</v>
      </c>
    </row>
    <row r="58" spans="2:94" s="97" customFormat="1">
      <c r="B58" s="98"/>
      <c r="C58" s="99" t="s">
        <v>21</v>
      </c>
      <c r="D58" s="100" t="e">
        <f>D57/#REF!-1</f>
        <v>#REF!</v>
      </c>
      <c r="E58" s="99" t="e">
        <f>E57/#REF!-1</f>
        <v>#REF!</v>
      </c>
      <c r="F58" s="99" t="e">
        <f t="shared" ref="F58:X58" si="52">F57/A57-1</f>
        <v>#DIV/0!</v>
      </c>
      <c r="G58" s="99" t="e">
        <f t="shared" si="52"/>
        <v>#DIV/0!</v>
      </c>
      <c r="H58" s="99" t="e">
        <f t="shared" si="52"/>
        <v>#VALUE!</v>
      </c>
      <c r="I58" s="100" t="e">
        <f t="shared" si="52"/>
        <v>#DIV/0!</v>
      </c>
      <c r="J58" s="99" t="e">
        <f t="shared" si="52"/>
        <v>#DIV/0!</v>
      </c>
      <c r="K58" s="99" t="e">
        <f t="shared" si="52"/>
        <v>#DIV/0!</v>
      </c>
      <c r="L58" s="99" t="e">
        <f t="shared" si="52"/>
        <v>#DIV/0!</v>
      </c>
      <c r="M58" s="99" t="e">
        <f t="shared" si="52"/>
        <v>#DIV/0!</v>
      </c>
      <c r="N58" s="100" t="e">
        <f t="shared" si="52"/>
        <v>#DIV/0!</v>
      </c>
      <c r="O58" s="99" t="e">
        <f t="shared" si="52"/>
        <v>#DIV/0!</v>
      </c>
      <c r="P58" s="99" t="e">
        <f t="shared" si="52"/>
        <v>#DIV/0!</v>
      </c>
      <c r="Q58" s="99" t="e">
        <f t="shared" si="52"/>
        <v>#DIV/0!</v>
      </c>
      <c r="R58" s="99" t="e">
        <f t="shared" si="52"/>
        <v>#DIV/0!</v>
      </c>
      <c r="S58" s="100" t="e">
        <f t="shared" si="52"/>
        <v>#DIV/0!</v>
      </c>
      <c r="T58" s="99" t="e">
        <f t="shared" si="52"/>
        <v>#DIV/0!</v>
      </c>
      <c r="U58" s="99" t="e">
        <f t="shared" si="52"/>
        <v>#DIV/0!</v>
      </c>
      <c r="V58" s="99" t="e">
        <f t="shared" si="52"/>
        <v>#DIV/0!</v>
      </c>
      <c r="W58" s="99" t="e">
        <f t="shared" si="52"/>
        <v>#DIV/0!</v>
      </c>
      <c r="X58" s="100" t="e">
        <f t="shared" si="52"/>
        <v>#DIV/0!</v>
      </c>
      <c r="Y58" s="99">
        <f t="shared" ref="Y58:AE58" si="53">Y57/T51-1</f>
        <v>0.12093893290331637</v>
      </c>
      <c r="Z58" s="99">
        <f t="shared" si="53"/>
        <v>0.18271590400000015</v>
      </c>
      <c r="AA58" s="99">
        <f t="shared" si="53"/>
        <v>0.23876939272320552</v>
      </c>
      <c r="AB58" s="99">
        <f t="shared" si="53"/>
        <v>0.19587246873611375</v>
      </c>
      <c r="AC58" s="100">
        <f t="shared" si="53"/>
        <v>0.1856430473372781</v>
      </c>
      <c r="AD58" s="99">
        <f t="shared" si="53"/>
        <v>0.12802455760202247</v>
      </c>
      <c r="AE58" s="99">
        <f t="shared" si="53"/>
        <v>0.10689794271883835</v>
      </c>
      <c r="AF58" s="495">
        <v>0.08</v>
      </c>
      <c r="AG58" s="99">
        <f t="shared" ref="AG58:BL58" si="54">AG57/AB51-1</f>
        <v>0.1392203250360009</v>
      </c>
      <c r="AH58" s="100">
        <f t="shared" si="54"/>
        <v>0.12293864893631001</v>
      </c>
      <c r="AI58" s="99">
        <f t="shared" si="54"/>
        <v>0.18387492663144966</v>
      </c>
      <c r="AJ58" s="99">
        <f t="shared" si="54"/>
        <v>0.20782309928640652</v>
      </c>
      <c r="AK58" s="99">
        <f t="shared" si="54"/>
        <v>0.25571523325226631</v>
      </c>
      <c r="AL58" s="99">
        <f t="shared" si="54"/>
        <v>0.15407708268950593</v>
      </c>
      <c r="AM58" s="100">
        <f t="shared" si="54"/>
        <v>0.20109792524420755</v>
      </c>
      <c r="AN58" s="99">
        <f t="shared" si="54"/>
        <v>0.31464371028079507</v>
      </c>
      <c r="AO58" s="99">
        <f t="shared" si="54"/>
        <v>0.16068563092633115</v>
      </c>
      <c r="AP58" s="99">
        <f t="shared" si="54"/>
        <v>0.16944855271497983</v>
      </c>
      <c r="AQ58" s="99">
        <f t="shared" si="54"/>
        <v>0.17712405799319075</v>
      </c>
      <c r="AR58" s="100">
        <f t="shared" si="54"/>
        <v>0.19999999999999996</v>
      </c>
      <c r="AS58" s="99">
        <f t="shared" si="54"/>
        <v>0.32353949533735604</v>
      </c>
      <c r="AT58" s="99">
        <f t="shared" si="54"/>
        <v>0.32467165210833904</v>
      </c>
      <c r="AU58" s="99">
        <f t="shared" si="54"/>
        <v>0.22276422764227632</v>
      </c>
      <c r="AV58" s="99">
        <f t="shared" si="54"/>
        <v>6.4307021569527389E-2</v>
      </c>
      <c r="AW58" s="100">
        <f t="shared" si="54"/>
        <v>0.22786438156630617</v>
      </c>
      <c r="AX58" s="99">
        <f t="shared" si="54"/>
        <v>5.3438673746923904E-2</v>
      </c>
      <c r="AY58" s="99">
        <f t="shared" si="54"/>
        <v>1.2737493773571584E-2</v>
      </c>
      <c r="AZ58" s="99">
        <f t="shared" si="54"/>
        <v>4.1543538219070086E-2</v>
      </c>
      <c r="BA58" s="99">
        <f t="shared" si="54"/>
        <v>0.1393036166657684</v>
      </c>
      <c r="BB58" s="100">
        <f t="shared" si="54"/>
        <v>5.9667587930185784E-2</v>
      </c>
      <c r="BC58" s="99">
        <f t="shared" si="54"/>
        <v>-9.3931346513228542E-3</v>
      </c>
      <c r="BD58" s="99">
        <f t="shared" si="54"/>
        <v>5.400974330148034E-2</v>
      </c>
      <c r="BE58" s="99">
        <f t="shared" si="54"/>
        <v>-1.5486464121054477E-2</v>
      </c>
      <c r="BF58" s="99">
        <f t="shared" si="54"/>
        <v>-5.3979893554110037E-2</v>
      </c>
      <c r="BG58" s="100">
        <f t="shared" si="54"/>
        <v>-6.0321316707754313E-3</v>
      </c>
      <c r="BH58" s="99">
        <f t="shared" si="54"/>
        <v>4.1726654420890741E-2</v>
      </c>
      <c r="BI58" s="99">
        <f t="shared" si="54"/>
        <v>0.11419492467001469</v>
      </c>
      <c r="BJ58" s="99">
        <f t="shared" si="54"/>
        <v>0.11181556195965414</v>
      </c>
      <c r="BK58" s="99">
        <f t="shared" si="54"/>
        <v>0.18740779636436367</v>
      </c>
      <c r="BL58" s="100">
        <f t="shared" si="54"/>
        <v>0.1136525661840031</v>
      </c>
      <c r="BM58" s="99">
        <f t="shared" ref="BM58:CF58" si="55">BM57/BH51-1</f>
        <v>7.1055829580384477E-2</v>
      </c>
      <c r="BN58" s="99">
        <f t="shared" si="55"/>
        <v>-0.26208093177240188</v>
      </c>
      <c r="BO58" s="99">
        <f t="shared" si="55"/>
        <v>-0.11439433212372563</v>
      </c>
      <c r="BP58" s="99">
        <f t="shared" si="55"/>
        <v>-5.2392183288409666E-2</v>
      </c>
      <c r="BQ58" s="100">
        <f t="shared" si="55"/>
        <v>-9.6523788005938971E-2</v>
      </c>
      <c r="BR58" s="99">
        <f t="shared" si="55"/>
        <v>-0.11010256067988167</v>
      </c>
      <c r="BS58" s="99">
        <f t="shared" si="55"/>
        <v>0.10470706187819734</v>
      </c>
      <c r="BT58" s="99">
        <f t="shared" si="55"/>
        <v>-1.6862101313320776E-2</v>
      </c>
      <c r="BU58" s="99">
        <f t="shared" si="55"/>
        <v>0.10885570046276816</v>
      </c>
      <c r="BV58" s="100">
        <f t="shared" si="55"/>
        <v>1.5469243860928739E-2</v>
      </c>
      <c r="BW58" s="99">
        <f t="shared" si="55"/>
        <v>0.17481203007518786</v>
      </c>
      <c r="BX58" s="99">
        <f t="shared" si="55"/>
        <v>7.9913606911446999E-2</v>
      </c>
      <c r="BY58" s="99">
        <f t="shared" si="55"/>
        <v>9.9538193958537358E-2</v>
      </c>
      <c r="BZ58" s="99">
        <f t="shared" si="55"/>
        <v>0.11034844753098882</v>
      </c>
      <c r="CA58" s="100">
        <f t="shared" si="55"/>
        <v>0.11414040790646474</v>
      </c>
      <c r="CB58" s="99">
        <f t="shared" si="55"/>
        <v>6.3829787234042534E-2</v>
      </c>
      <c r="CC58" s="99">
        <f t="shared" si="55"/>
        <v>-2.777777777777779E-2</v>
      </c>
      <c r="CD58" s="99">
        <f t="shared" si="55"/>
        <v>1.8518518518518601E-2</v>
      </c>
      <c r="CE58" s="99">
        <f t="shared" si="55"/>
        <v>1.8518518518518601E-2</v>
      </c>
      <c r="CF58" s="100">
        <f t="shared" si="55"/>
        <v>1.674641148325362E-2</v>
      </c>
      <c r="CI58" s="815"/>
      <c r="CJ58" s="816"/>
      <c r="CK58" s="816"/>
      <c r="CL58" s="816"/>
      <c r="CM58" s="816"/>
      <c r="CN58" s="812"/>
    </row>
    <row r="59" spans="2:94" s="10" customFormat="1" ht="13.15">
      <c r="B59" s="11"/>
      <c r="C59" s="12" t="s">
        <v>362</v>
      </c>
      <c r="D59" s="13"/>
      <c r="E59" s="12"/>
      <c r="F59" s="12"/>
      <c r="G59" s="12"/>
      <c r="H59" s="12"/>
      <c r="I59" s="13"/>
      <c r="J59" s="12"/>
      <c r="K59" s="12"/>
      <c r="L59" s="12"/>
      <c r="M59" s="12"/>
      <c r="N59" s="13"/>
      <c r="O59" s="12"/>
      <c r="P59" s="12"/>
      <c r="Q59" s="12"/>
      <c r="R59" s="12"/>
      <c r="S59" s="13"/>
      <c r="T59" s="12"/>
      <c r="U59" s="12"/>
      <c r="V59" s="12"/>
      <c r="W59" s="12"/>
      <c r="X59" s="13"/>
      <c r="Y59" s="12">
        <v>1916</v>
      </c>
      <c r="Z59" s="12">
        <f>Z53</f>
        <v>1905</v>
      </c>
      <c r="AA59" s="12">
        <f>AA53</f>
        <v>1886</v>
      </c>
      <c r="AB59" s="12">
        <f>AB53</f>
        <v>1598</v>
      </c>
      <c r="AC59" s="23">
        <f>SUM(Y59:AB59)</f>
        <v>7305</v>
      </c>
      <c r="AD59" s="12">
        <v>1720</v>
      </c>
      <c r="AE59" s="12">
        <f>AE53</f>
        <v>2133</v>
      </c>
      <c r="AF59" s="12">
        <f>AF53</f>
        <v>2245</v>
      </c>
      <c r="AG59" s="12">
        <f>AG53</f>
        <v>1710</v>
      </c>
      <c r="AH59" s="23">
        <f>SUM(AD59:AG59)</f>
        <v>7808</v>
      </c>
      <c r="AI59" s="12">
        <f>AI53</f>
        <v>2120</v>
      </c>
      <c r="AJ59" s="12">
        <f>AJ53</f>
        <v>2708</v>
      </c>
      <c r="AK59" s="12">
        <f>AK53</f>
        <v>2761</v>
      </c>
      <c r="AL59" s="12">
        <f>+AL53</f>
        <v>2086</v>
      </c>
      <c r="AM59" s="23">
        <f>SUM(AI59:AL59)</f>
        <v>9675</v>
      </c>
      <c r="AN59" s="12">
        <f>+AN53</f>
        <v>1636</v>
      </c>
      <c r="AO59" s="12">
        <f>AO53</f>
        <v>2737</v>
      </c>
      <c r="AP59" s="12">
        <f>AP53</f>
        <v>3188</v>
      </c>
      <c r="AQ59" s="12">
        <f>AQ53</f>
        <v>3223</v>
      </c>
      <c r="AR59" s="23">
        <f>SUM(AN59:AQ59)</f>
        <v>10784</v>
      </c>
      <c r="AS59" s="12">
        <f>+AS53</f>
        <v>3825</v>
      </c>
      <c r="AT59" s="12">
        <f>AT53</f>
        <v>3881</v>
      </c>
      <c r="AU59" s="12">
        <f>AU53</f>
        <v>4130</v>
      </c>
      <c r="AV59" s="12">
        <f>AV53</f>
        <v>4490</v>
      </c>
      <c r="AW59" s="23">
        <f>SUM(AS59:AV59)</f>
        <v>16326</v>
      </c>
      <c r="AX59" s="12">
        <f>+AX53</f>
        <v>4350</v>
      </c>
      <c r="AY59" s="12">
        <f>AY53</f>
        <v>4676</v>
      </c>
      <c r="AZ59" s="12">
        <f>AZ53</f>
        <v>5184</v>
      </c>
      <c r="BA59" s="12">
        <f>BA53</f>
        <v>5005</v>
      </c>
      <c r="BB59" s="23">
        <f>SUM(AX59:BA59)</f>
        <v>19215</v>
      </c>
      <c r="BC59" s="12">
        <v>5653</v>
      </c>
      <c r="BD59" s="12">
        <v>5672</v>
      </c>
      <c r="BE59" s="12">
        <v>6559</v>
      </c>
      <c r="BF59" s="12">
        <f>24348-BE59-BD59-BC59</f>
        <v>6464</v>
      </c>
      <c r="BG59" s="23">
        <f>SUM(BC59:BF59)</f>
        <v>24348</v>
      </c>
      <c r="BH59" s="12">
        <v>6476</v>
      </c>
      <c r="BI59" s="12">
        <v>7260</v>
      </c>
      <c r="BJ59" s="12">
        <v>8701</v>
      </c>
      <c r="BK59" s="12">
        <f>27169-BJ59-BI59-BH59</f>
        <v>4732</v>
      </c>
      <c r="BL59" s="23">
        <f>SUM(BH59:BK59)</f>
        <v>27169</v>
      </c>
      <c r="BM59" s="12">
        <v>7184</v>
      </c>
      <c r="BN59" s="12">
        <v>4755</v>
      </c>
      <c r="BO59" s="12">
        <v>5306</v>
      </c>
      <c r="BP59" s="12">
        <v>4644</v>
      </c>
      <c r="BQ59" s="23">
        <f>SUM(BM59:BP59)</f>
        <v>21889</v>
      </c>
      <c r="BR59" s="12">
        <v>5080</v>
      </c>
      <c r="BS59" s="12">
        <v>4722</v>
      </c>
      <c r="BT59" s="12">
        <v>4603</v>
      </c>
      <c r="BU59" s="12">
        <v>4256</v>
      </c>
      <c r="BV59" s="23">
        <f>SUM(BR59:BU59)</f>
        <v>18661</v>
      </c>
      <c r="BW59" s="12">
        <v>7000</v>
      </c>
      <c r="BX59" s="12">
        <v>7000</v>
      </c>
      <c r="BY59" s="12">
        <v>8000</v>
      </c>
      <c r="BZ59" s="12">
        <v>8000</v>
      </c>
      <c r="CA59" s="23">
        <f>SUM(BW59:BZ59)</f>
        <v>30000</v>
      </c>
      <c r="CB59" s="12">
        <v>7000</v>
      </c>
      <c r="CC59" s="12">
        <v>7000</v>
      </c>
      <c r="CD59" s="12">
        <v>7000</v>
      </c>
      <c r="CE59" s="12">
        <v>7000</v>
      </c>
      <c r="CF59" s="23">
        <f>SUM(CB59:CE59)</f>
        <v>28000</v>
      </c>
      <c r="CI59" s="7"/>
      <c r="CJ59" s="839" t="s">
        <v>572</v>
      </c>
      <c r="CK59" s="839" t="s">
        <v>573</v>
      </c>
      <c r="CL59" s="839" t="s">
        <v>570</v>
      </c>
      <c r="CM59" s="839" t="s">
        <v>574</v>
      </c>
      <c r="CN59" s="839">
        <v>2021</v>
      </c>
    </row>
    <row r="60" spans="2:94" s="819" customFormat="1">
      <c r="B60" s="171"/>
      <c r="C60" s="172" t="s">
        <v>21</v>
      </c>
      <c r="D60" s="817" t="e">
        <f>D59/#REF!-1</f>
        <v>#REF!</v>
      </c>
      <c r="E60" s="172" t="e">
        <f>E59/#REF!-1</f>
        <v>#REF!</v>
      </c>
      <c r="F60" s="172" t="e">
        <f t="shared" ref="F60:Z60" si="56">F59/A59-1</f>
        <v>#DIV/0!</v>
      </c>
      <c r="G60" s="172" t="e">
        <f t="shared" si="56"/>
        <v>#DIV/0!</v>
      </c>
      <c r="H60" s="172" t="e">
        <f t="shared" si="56"/>
        <v>#VALUE!</v>
      </c>
      <c r="I60" s="817" t="e">
        <f t="shared" si="56"/>
        <v>#DIV/0!</v>
      </c>
      <c r="J60" s="172" t="e">
        <f t="shared" si="56"/>
        <v>#DIV/0!</v>
      </c>
      <c r="K60" s="172" t="e">
        <f t="shared" si="56"/>
        <v>#DIV/0!</v>
      </c>
      <c r="L60" s="172" t="e">
        <f t="shared" si="56"/>
        <v>#DIV/0!</v>
      </c>
      <c r="M60" s="172" t="e">
        <f t="shared" si="56"/>
        <v>#DIV/0!</v>
      </c>
      <c r="N60" s="817" t="e">
        <f t="shared" si="56"/>
        <v>#DIV/0!</v>
      </c>
      <c r="O60" s="172" t="e">
        <f t="shared" si="56"/>
        <v>#DIV/0!</v>
      </c>
      <c r="P60" s="172" t="e">
        <f t="shared" si="56"/>
        <v>#DIV/0!</v>
      </c>
      <c r="Q60" s="172" t="e">
        <f t="shared" si="56"/>
        <v>#DIV/0!</v>
      </c>
      <c r="R60" s="172" t="e">
        <f t="shared" si="56"/>
        <v>#DIV/0!</v>
      </c>
      <c r="S60" s="817" t="e">
        <f t="shared" si="56"/>
        <v>#DIV/0!</v>
      </c>
      <c r="T60" s="172" t="e">
        <f t="shared" si="56"/>
        <v>#DIV/0!</v>
      </c>
      <c r="U60" s="172" t="e">
        <f t="shared" si="56"/>
        <v>#DIV/0!</v>
      </c>
      <c r="V60" s="172" t="e">
        <f t="shared" si="56"/>
        <v>#DIV/0!</v>
      </c>
      <c r="W60" s="172" t="e">
        <f t="shared" si="56"/>
        <v>#DIV/0!</v>
      </c>
      <c r="X60" s="817" t="e">
        <f t="shared" si="56"/>
        <v>#DIV/0!</v>
      </c>
      <c r="Y60" s="172" t="e">
        <f t="shared" si="56"/>
        <v>#DIV/0!</v>
      </c>
      <c r="Z60" s="172" t="e">
        <f t="shared" si="56"/>
        <v>#DIV/0!</v>
      </c>
      <c r="AA60" s="172"/>
      <c r="AB60" s="172"/>
      <c r="AC60" s="817"/>
      <c r="AD60" s="172"/>
      <c r="AE60" s="172"/>
      <c r="AF60" s="172"/>
      <c r="AG60" s="172"/>
      <c r="AH60" s="817"/>
      <c r="AI60" s="172"/>
      <c r="AJ60" s="172"/>
      <c r="AK60" s="172"/>
      <c r="AL60" s="172"/>
      <c r="AM60" s="817"/>
      <c r="AN60" s="172"/>
      <c r="AO60" s="172"/>
      <c r="AP60" s="172"/>
      <c r="AQ60" s="172"/>
      <c r="AR60" s="817"/>
      <c r="AS60" s="172"/>
      <c r="AT60" s="172"/>
      <c r="AU60" s="172"/>
      <c r="AV60" s="172"/>
      <c r="AW60" s="817"/>
      <c r="AX60" s="172"/>
      <c r="AY60" s="172"/>
      <c r="AZ60" s="172"/>
      <c r="BA60" s="172"/>
      <c r="BB60" s="817"/>
      <c r="BC60" s="172"/>
      <c r="BD60" s="172"/>
      <c r="BE60" s="172"/>
      <c r="BF60" s="172"/>
      <c r="BG60" s="817"/>
      <c r="BH60" s="172"/>
      <c r="BI60" s="172"/>
      <c r="BJ60" s="172"/>
      <c r="BK60" s="172"/>
      <c r="BL60" s="817"/>
      <c r="BM60" s="172"/>
      <c r="BN60" s="172"/>
      <c r="BO60" s="818"/>
      <c r="BP60" s="172"/>
      <c r="BQ60" s="817"/>
      <c r="BR60" s="172"/>
      <c r="BS60" s="172"/>
      <c r="BT60" s="172"/>
      <c r="BU60" s="172"/>
      <c r="BV60" s="817"/>
      <c r="BW60" s="172"/>
      <c r="BX60" s="172"/>
      <c r="BY60" s="172"/>
      <c r="BZ60" s="172"/>
      <c r="CA60" s="817"/>
      <c r="CB60" s="172"/>
      <c r="CC60" s="172"/>
      <c r="CD60" s="172"/>
      <c r="CE60" s="172"/>
      <c r="CF60" s="817"/>
      <c r="CI60" s="729" t="s">
        <v>743</v>
      </c>
      <c r="CJ60" s="730">
        <v>94.744</v>
      </c>
      <c r="CK60" s="730">
        <v>100.122</v>
      </c>
      <c r="CL60" s="730">
        <v>115.25999999999999</v>
      </c>
      <c r="CM60" s="730">
        <v>110.28499999999998</v>
      </c>
      <c r="CN60" s="812">
        <f>SUM(CJ60:CM60)</f>
        <v>420.41099999999994</v>
      </c>
      <c r="CO60" s="819">
        <f>CN60/CN57-1</f>
        <v>0.10867879746835452</v>
      </c>
    </row>
    <row r="61" spans="2:94" s="7" customFormat="1" ht="12.75">
      <c r="B61" s="11"/>
      <c r="C61" s="12" t="s">
        <v>355</v>
      </c>
      <c r="D61" s="9"/>
      <c r="I61" s="9"/>
      <c r="N61" s="9"/>
      <c r="S61" s="9"/>
      <c r="X61" s="9"/>
      <c r="Y61" s="22">
        <f>Y50-Y55</f>
        <v>626.04799999999886</v>
      </c>
      <c r="Z61" s="22">
        <f>Z50-Z55</f>
        <v>1352.0639999999985</v>
      </c>
      <c r="AA61" s="12">
        <v>1352.0639999999985</v>
      </c>
      <c r="AB61" s="12">
        <v>1352.0639999999985</v>
      </c>
      <c r="AC61" s="23">
        <f>SUM(Y61:AB61)</f>
        <v>4682.2399999999943</v>
      </c>
      <c r="AD61" s="7">
        <v>0</v>
      </c>
      <c r="AE61" s="22">
        <v>750</v>
      </c>
      <c r="AF61" s="22">
        <v>0</v>
      </c>
      <c r="AG61" s="22">
        <v>500</v>
      </c>
      <c r="AH61" s="23">
        <f>SUM(AD61:AG61)</f>
        <v>1250</v>
      </c>
      <c r="AI61" s="7">
        <v>0</v>
      </c>
      <c r="AJ61" s="22">
        <v>0</v>
      </c>
      <c r="AK61" s="22">
        <v>0</v>
      </c>
      <c r="AL61" s="22">
        <v>0</v>
      </c>
      <c r="AM61" s="23">
        <f>SUM(AI61:AL61)</f>
        <v>0</v>
      </c>
      <c r="AN61" s="22">
        <v>0</v>
      </c>
      <c r="AO61" s="22">
        <v>0</v>
      </c>
      <c r="AP61" s="22">
        <v>0</v>
      </c>
      <c r="AQ61" s="22">
        <v>4092.8000000000029</v>
      </c>
      <c r="AR61" s="23">
        <f>SUM(AN61:AQ61)</f>
        <v>4092.8000000000029</v>
      </c>
      <c r="AS61" s="12">
        <v>5176</v>
      </c>
      <c r="AT61" s="35">
        <v>6323</v>
      </c>
      <c r="AU61" s="35">
        <v>5096</v>
      </c>
      <c r="AV61" s="837"/>
      <c r="AW61" s="23">
        <f>SUM(AS61:AV61)</f>
        <v>16595</v>
      </c>
      <c r="AX61" s="12"/>
      <c r="AY61" s="35"/>
      <c r="AZ61" s="35"/>
      <c r="BA61" s="35"/>
      <c r="BB61" s="23">
        <f>SUM(AX61:BA61)</f>
        <v>0</v>
      </c>
      <c r="BC61" s="12"/>
      <c r="BD61" s="35"/>
      <c r="BE61" s="35"/>
      <c r="BF61" s="35"/>
      <c r="BG61" s="23">
        <f>SUM(BC61:BF61)</f>
        <v>0</v>
      </c>
      <c r="BH61" s="12"/>
      <c r="BI61" s="35"/>
      <c r="BJ61" s="35"/>
      <c r="BK61" s="35"/>
      <c r="BL61" s="23">
        <f>SUM(BH61:BK61)</f>
        <v>0</v>
      </c>
      <c r="BM61" s="12"/>
      <c r="BN61" s="35"/>
      <c r="BO61" s="35"/>
      <c r="BP61" s="35"/>
      <c r="BQ61" s="23">
        <f>SUM(BM61:BP61)</f>
        <v>0</v>
      </c>
      <c r="BR61" s="12"/>
      <c r="BS61" s="35">
        <v>5643</v>
      </c>
      <c r="BT61" s="35">
        <v>8100</v>
      </c>
      <c r="BU61" s="35">
        <f>BV61-BT61-BS61</f>
        <v>9922</v>
      </c>
      <c r="BV61" s="23">
        <v>23665</v>
      </c>
      <c r="BW61" s="12">
        <v>13109</v>
      </c>
      <c r="BX61" s="35"/>
      <c r="BY61" s="35"/>
      <c r="BZ61" s="35"/>
      <c r="CA61" s="23">
        <f>SUM(BW61:BZ61)</f>
        <v>13109</v>
      </c>
      <c r="CB61" s="12"/>
      <c r="CC61" s="35"/>
      <c r="CD61" s="35"/>
      <c r="CE61" s="35"/>
      <c r="CF61" s="23">
        <f>SUM(CB61:CE61)</f>
        <v>0</v>
      </c>
      <c r="CI61" s="7" t="s">
        <v>739</v>
      </c>
      <c r="CJ61" s="7">
        <v>25</v>
      </c>
      <c r="CK61" s="7">
        <v>13</v>
      </c>
      <c r="CL61" s="7">
        <v>6</v>
      </c>
      <c r="CM61" s="7">
        <v>3</v>
      </c>
      <c r="CN61" s="7">
        <f>SUM(CJ61:CM61)</f>
        <v>47</v>
      </c>
      <c r="CP61" s="7">
        <f>CN60</f>
        <v>420.41099999999994</v>
      </c>
    </row>
    <row r="62" spans="2:94" s="97" customFormat="1">
      <c r="B62" s="98"/>
      <c r="C62" s="99" t="s">
        <v>21</v>
      </c>
      <c r="D62" s="100"/>
      <c r="E62" s="99"/>
      <c r="F62" s="99"/>
      <c r="G62" s="99"/>
      <c r="H62" s="99"/>
      <c r="I62" s="100"/>
      <c r="J62" s="99"/>
      <c r="K62" s="99"/>
      <c r="L62" s="99"/>
      <c r="M62" s="99"/>
      <c r="N62" s="100"/>
      <c r="O62" s="99"/>
      <c r="P62" s="99"/>
      <c r="Q62" s="99"/>
      <c r="R62" s="99"/>
      <c r="S62" s="100"/>
      <c r="T62" s="99"/>
      <c r="U62" s="99"/>
      <c r="V62" s="99"/>
      <c r="W62" s="99"/>
      <c r="X62" s="100"/>
      <c r="Y62" s="99">
        <v>3.6999999999999998E-2</v>
      </c>
      <c r="Z62" s="99">
        <v>7.4999999999999997E-2</v>
      </c>
      <c r="AA62" s="99"/>
      <c r="AB62" s="99"/>
      <c r="AC62" s="100"/>
      <c r="AD62" s="99"/>
      <c r="AE62" s="99"/>
      <c r="AF62" s="99"/>
      <c r="AG62" s="99"/>
      <c r="AH62" s="100"/>
      <c r="AI62" s="99"/>
      <c r="AJ62" s="99"/>
      <c r="AK62" s="99"/>
      <c r="AL62" s="99"/>
      <c r="AM62" s="100"/>
      <c r="AN62" s="99"/>
      <c r="AO62" s="99"/>
      <c r="AP62" s="99"/>
      <c r="AQ62" s="99"/>
      <c r="AR62" s="100"/>
      <c r="AS62" s="99"/>
      <c r="AT62" s="99"/>
      <c r="AU62" s="99"/>
      <c r="AV62" s="99"/>
      <c r="AW62" s="100"/>
      <c r="AX62" s="99"/>
      <c r="AY62" s="99"/>
      <c r="AZ62" s="99"/>
      <c r="BA62" s="99"/>
      <c r="BB62" s="100"/>
      <c r="BC62" s="99"/>
      <c r="BD62" s="99"/>
      <c r="BE62" s="99"/>
      <c r="BF62" s="99"/>
      <c r="BG62" s="100"/>
      <c r="BH62" s="99"/>
      <c r="BI62" s="99"/>
      <c r="BJ62" s="99"/>
      <c r="BK62" s="99"/>
      <c r="BL62" s="100"/>
      <c r="BM62" s="99"/>
      <c r="BN62" s="99"/>
      <c r="BO62" s="99"/>
      <c r="BP62" s="99"/>
      <c r="BQ62" s="100"/>
      <c r="BR62" s="99"/>
      <c r="BS62" s="99"/>
      <c r="BT62" s="99"/>
      <c r="BU62" s="99"/>
      <c r="BV62" s="100"/>
      <c r="BW62" s="99"/>
      <c r="BX62" s="99"/>
      <c r="BY62" s="99"/>
      <c r="BZ62" s="99"/>
      <c r="CA62" s="100"/>
      <c r="CB62" s="99"/>
      <c r="CC62" s="99"/>
      <c r="CD62" s="99"/>
      <c r="CE62" s="99"/>
      <c r="CF62" s="100"/>
      <c r="CI62" s="813" t="s">
        <v>740</v>
      </c>
      <c r="CJ62" s="729">
        <v>5</v>
      </c>
      <c r="CK62" s="729">
        <v>3</v>
      </c>
      <c r="CL62" s="729">
        <v>2</v>
      </c>
      <c r="CM62" s="729"/>
      <c r="CN62" s="729">
        <f>SUM(CJ62:CM62)</f>
        <v>10</v>
      </c>
    </row>
    <row r="63" spans="2:94" s="181" customFormat="1">
      <c r="B63" s="98"/>
      <c r="C63" s="99" t="s">
        <v>356</v>
      </c>
      <c r="D63" s="808"/>
      <c r="I63" s="808"/>
      <c r="J63" s="99">
        <f t="shared" ref="J63:AC63" si="57">J50/E50-1</f>
        <v>0.1638124054462935</v>
      </c>
      <c r="K63" s="99">
        <f t="shared" si="57"/>
        <v>7.4667472793228606E-2</v>
      </c>
      <c r="L63" s="99">
        <f t="shared" si="57"/>
        <v>9.586021505376352E-2</v>
      </c>
      <c r="M63" s="99">
        <f t="shared" si="57"/>
        <v>-2.8166200559328836E-2</v>
      </c>
      <c r="N63" s="100">
        <f t="shared" si="57"/>
        <v>7.2109551048708642E-2</v>
      </c>
      <c r="O63" s="99">
        <f t="shared" si="57"/>
        <v>-0.11314475873544094</v>
      </c>
      <c r="P63" s="99">
        <f t="shared" si="57"/>
        <v>-0.13239568682606662</v>
      </c>
      <c r="Q63" s="99">
        <f t="shared" si="57"/>
        <v>-0.17980670166315071</v>
      </c>
      <c r="R63" s="99">
        <f t="shared" si="57"/>
        <v>-0.17471736896197332</v>
      </c>
      <c r="S63" s="100">
        <f t="shared" si="57"/>
        <v>-0.15005285740936514</v>
      </c>
      <c r="T63" s="99">
        <f t="shared" si="57"/>
        <v>-1.7120075046904271E-2</v>
      </c>
      <c r="U63" s="99">
        <f t="shared" si="57"/>
        <v>-2.7774775748405922E-2</v>
      </c>
      <c r="V63" s="99">
        <f t="shared" si="57"/>
        <v>5.5389400646010278E-2</v>
      </c>
      <c r="W63" s="99">
        <f t="shared" si="57"/>
        <v>7.2042341220423411E-2</v>
      </c>
      <c r="X63" s="100">
        <f t="shared" si="57"/>
        <v>1.8685981855428802E-2</v>
      </c>
      <c r="Y63" s="99">
        <f t="shared" si="57"/>
        <v>0.10534478644714862</v>
      </c>
      <c r="Z63" s="99">
        <f t="shared" si="57"/>
        <v>0.20814806580702538</v>
      </c>
      <c r="AA63" s="99">
        <f t="shared" si="57"/>
        <v>0.25249376558603487</v>
      </c>
      <c r="AB63" s="99">
        <f t="shared" si="57"/>
        <v>0.22216414009409302</v>
      </c>
      <c r="AC63" s="100">
        <f t="shared" si="57"/>
        <v>0.19809816567792349</v>
      </c>
      <c r="AD63" s="99">
        <f t="shared" ref="AD63:BI63" si="58">AD50/Y50-1</f>
        <v>0.10420939017808961</v>
      </c>
      <c r="AE63" s="99">
        <f t="shared" si="58"/>
        <v>0.10801858582141044</v>
      </c>
      <c r="AF63" s="99">
        <f t="shared" si="58"/>
        <v>0.12493777999004485</v>
      </c>
      <c r="AG63" s="99">
        <f t="shared" si="58"/>
        <v>0.13397015492823883</v>
      </c>
      <c r="AH63" s="100">
        <f t="shared" si="58"/>
        <v>0.11820209092652978</v>
      </c>
      <c r="AI63" s="99">
        <f t="shared" si="58"/>
        <v>0.18796735252431462</v>
      </c>
      <c r="AJ63" s="99">
        <f t="shared" si="58"/>
        <v>0.25090305169192439</v>
      </c>
      <c r="AK63" s="99">
        <f t="shared" si="58"/>
        <v>0.25337892196299272</v>
      </c>
      <c r="AL63" s="99">
        <f t="shared" si="58"/>
        <v>0.18297640501236323</v>
      </c>
      <c r="AM63" s="100">
        <f t="shared" si="58"/>
        <v>0.22037805440295077</v>
      </c>
      <c r="AN63" s="99">
        <f t="shared" si="58"/>
        <v>0.26728925823836747</v>
      </c>
      <c r="AO63" s="99">
        <f t="shared" si="58"/>
        <v>0.14720525756771119</v>
      </c>
      <c r="AP63" s="99">
        <f t="shared" si="58"/>
        <v>0.16813761673994665</v>
      </c>
      <c r="AQ63" s="99">
        <f t="shared" si="58"/>
        <v>0.34931094342296376</v>
      </c>
      <c r="AR63" s="100">
        <f t="shared" si="58"/>
        <v>0.22870120628003621</v>
      </c>
      <c r="AS63" s="99">
        <f t="shared" si="58"/>
        <v>0.37741851707570451</v>
      </c>
      <c r="AT63" s="99">
        <f t="shared" si="58"/>
        <v>0.33206029569192497</v>
      </c>
      <c r="AU63" s="99">
        <f t="shared" si="58"/>
        <v>0.22913346887191599</v>
      </c>
      <c r="AV63" s="99">
        <f t="shared" si="58"/>
        <v>9.2131173366240438E-2</v>
      </c>
      <c r="AW63" s="100">
        <f t="shared" si="58"/>
        <v>0.24992134542230349</v>
      </c>
      <c r="AX63" s="99">
        <f t="shared" si="58"/>
        <v>6.0994579307094066E-2</v>
      </c>
      <c r="AY63" s="99">
        <f t="shared" si="58"/>
        <v>2.8931364031277162E-2</v>
      </c>
      <c r="AZ63" s="99">
        <f t="shared" si="58"/>
        <v>6.1267826009209214E-2</v>
      </c>
      <c r="BA63" s="99">
        <f t="shared" si="58"/>
        <v>0.13664775459178768</v>
      </c>
      <c r="BB63" s="100">
        <f t="shared" si="58"/>
        <v>7.0621953731035969E-2</v>
      </c>
      <c r="BC63" s="99">
        <f t="shared" si="58"/>
        <v>2.045848327335742E-2</v>
      </c>
      <c r="BD63" s="99">
        <f t="shared" si="58"/>
        <v>6.9703622392974784E-2</v>
      </c>
      <c r="BE63" s="99">
        <f t="shared" si="58"/>
        <v>1.5164599085911723E-2</v>
      </c>
      <c r="BF63" s="99">
        <f t="shared" si="58"/>
        <v>-1.7406937394247035E-2</v>
      </c>
      <c r="BG63" s="100">
        <f t="shared" si="58"/>
        <v>2.2014544560751137E-2</v>
      </c>
      <c r="BH63" s="99">
        <f t="shared" si="58"/>
        <v>5.4507063714926307E-2</v>
      </c>
      <c r="BI63" s="99">
        <f t="shared" si="58"/>
        <v>0.13275052295062562</v>
      </c>
      <c r="BJ63" s="99">
        <f t="shared" ref="BJ63:CF63" si="59">BJ50/BE50-1</f>
        <v>0.14104027054503199</v>
      </c>
      <c r="BK63" s="99">
        <f t="shared" si="59"/>
        <v>0.12405019695632524</v>
      </c>
      <c r="BL63" s="100">
        <f t="shared" si="59"/>
        <v>0.11393377912782521</v>
      </c>
      <c r="BM63" s="99">
        <f t="shared" si="59"/>
        <v>7.6171995954007699E-2</v>
      </c>
      <c r="BN63" s="99">
        <f t="shared" si="59"/>
        <v>-0.2394906012090382</v>
      </c>
      <c r="BO63" s="99">
        <f t="shared" si="59"/>
        <v>-0.12820699310871497</v>
      </c>
      <c r="BP63" s="99">
        <f t="shared" si="59"/>
        <v>-0.18276522405208728</v>
      </c>
      <c r="BQ63" s="100">
        <f t="shared" si="59"/>
        <v>-0.12509093639849622</v>
      </c>
      <c r="BR63" s="99">
        <f t="shared" si="59"/>
        <v>-8.6183415494983984E-2</v>
      </c>
      <c r="BS63" s="99">
        <f t="shared" si="59"/>
        <v>0.22181243414120133</v>
      </c>
      <c r="BT63" s="99">
        <f t="shared" si="59"/>
        <v>0.13928169190339124</v>
      </c>
      <c r="BU63" s="99">
        <f t="shared" si="59"/>
        <v>0.2604274065048271</v>
      </c>
      <c r="BV63" s="100">
        <f t="shared" si="59"/>
        <v>0.12328803866766092</v>
      </c>
      <c r="BW63" s="99">
        <f t="shared" si="59"/>
        <v>0.38767842149454235</v>
      </c>
      <c r="BX63" s="99">
        <f t="shared" si="59"/>
        <v>0.12492266156701737</v>
      </c>
      <c r="BY63" s="99">
        <f t="shared" si="59"/>
        <v>0.1350322202694787</v>
      </c>
      <c r="BZ63" s="99">
        <f t="shared" si="59"/>
        <v>0.1526306004833613</v>
      </c>
      <c r="CA63" s="100">
        <f t="shared" si="59"/>
        <v>0.19445916968733146</v>
      </c>
      <c r="CB63" s="99">
        <f t="shared" si="59"/>
        <v>-0.24367332738356351</v>
      </c>
      <c r="CC63" s="99">
        <f t="shared" si="59"/>
        <v>-0.16666666666666663</v>
      </c>
      <c r="CD63" s="99">
        <f t="shared" si="59"/>
        <v>-0.19354838709677424</v>
      </c>
      <c r="CE63" s="99">
        <f t="shared" si="59"/>
        <v>-0.19354838709677424</v>
      </c>
      <c r="CF63" s="100">
        <f t="shared" si="59"/>
        <v>-0.2003486479894766</v>
      </c>
      <c r="CI63" s="729" t="s">
        <v>742</v>
      </c>
      <c r="CJ63" s="812">
        <f>SUM(CJ60:CJ62)</f>
        <v>124.744</v>
      </c>
      <c r="CK63" s="812">
        <f>SUM(CK60:CK62)</f>
        <v>116.122</v>
      </c>
      <c r="CL63" s="812">
        <f>SUM(CL60:CL62)</f>
        <v>123.25999999999999</v>
      </c>
      <c r="CM63" s="812">
        <f>SUM(CM60:CM62)</f>
        <v>113.28499999999998</v>
      </c>
      <c r="CN63" s="812">
        <f>SUM(CJ63:CM63)</f>
        <v>477.41099999999994</v>
      </c>
      <c r="CO63" s="814">
        <v>57</v>
      </c>
    </row>
    <row r="64" spans="2:94" s="181" customFormat="1">
      <c r="B64" s="98"/>
      <c r="C64" s="99" t="s">
        <v>357</v>
      </c>
      <c r="D64" s="808"/>
      <c r="F64" s="99">
        <f>F50/E50-1</f>
        <v>0.20108925869894101</v>
      </c>
      <c r="G64" s="99">
        <f>G50/F50-1</f>
        <v>-6.2877871825876674E-2</v>
      </c>
      <c r="H64" s="99">
        <f>H50/G50-1</f>
        <v>7.6559139784946328E-2</v>
      </c>
      <c r="I64" s="808"/>
      <c r="J64" s="99">
        <f>J50/H50-1</f>
        <v>-3.9552536955653195E-2</v>
      </c>
      <c r="K64" s="99">
        <f>K50/J50-1</f>
        <v>0.10908901830282858</v>
      </c>
      <c r="L64" s="99">
        <f>L50/K50-1</f>
        <v>-4.439756211908108E-2</v>
      </c>
      <c r="M64" s="99">
        <f>M50/L50-1</f>
        <v>-4.5282833733993999E-2</v>
      </c>
      <c r="N64" s="808"/>
      <c r="O64" s="99">
        <f>O50/M50-1</f>
        <v>-0.12353545734840699</v>
      </c>
      <c r="P64" s="99">
        <f>P50/O50-1</f>
        <v>8.5014071294559068E-2</v>
      </c>
      <c r="Q64" s="99">
        <f>Q50/P50-1</f>
        <v>-9.6617313303793417E-2</v>
      </c>
      <c r="R64" s="99">
        <f>R50/Q50-1</f>
        <v>-3.9358774973082933E-2</v>
      </c>
      <c r="S64" s="808"/>
      <c r="T64" s="99">
        <f>T50/R50-1</f>
        <v>4.3835616438356206E-2</v>
      </c>
      <c r="U64" s="99">
        <f>U50/T50-1</f>
        <v>7.3252207110474865E-2</v>
      </c>
      <c r="V64" s="99">
        <f>V50/U50-1</f>
        <v>-1.9341929746554021E-2</v>
      </c>
      <c r="W64" s="99">
        <f>W50/V50-1</f>
        <v>-2.4200861482656988E-2</v>
      </c>
      <c r="X64" s="808"/>
      <c r="Y64" s="99">
        <f>Y50/W50-1</f>
        <v>7.6261834233606329E-2</v>
      </c>
      <c r="Z64" s="99">
        <f>Z50/Y50-1</f>
        <v>0.17307069616837567</v>
      </c>
      <c r="AA64" s="99">
        <f>AA50/Z50-1</f>
        <v>1.6653632055941392E-2</v>
      </c>
      <c r="AB64" s="99">
        <f>AB50/AA50-1</f>
        <v>-4.783021856192593E-2</v>
      </c>
      <c r="AC64" s="808"/>
      <c r="AD64" s="99">
        <f>AD50/AB50-1</f>
        <v>-2.7611443779108402E-2</v>
      </c>
      <c r="AE64" s="99">
        <f>AE50/AD50-1</f>
        <v>0.1771174429402278</v>
      </c>
      <c r="AF64" s="99">
        <f>AF50/AE50-1</f>
        <v>3.2177703965123428E-2</v>
      </c>
      <c r="AG64" s="99">
        <f>AG50/AF50-1</f>
        <v>-4.018503620273528E-2</v>
      </c>
      <c r="AH64" s="808"/>
      <c r="AI64" s="99">
        <f>AI50/AG50-1</f>
        <v>1.8691588785046731E-2</v>
      </c>
      <c r="AJ64" s="99">
        <f>AJ50/AI50-1</f>
        <v>0.2394783395729625</v>
      </c>
      <c r="AK64" s="99">
        <f>AK50/AJ50-1</f>
        <v>3.422065852363243E-2</v>
      </c>
      <c r="AL64" s="99">
        <f>AL50/AK50-1</f>
        <v>-9.409801341506463E-2</v>
      </c>
      <c r="AM64" s="808"/>
      <c r="AN64" s="99">
        <f>AN50/AL50-1</f>
        <v>9.1295568073121558E-2</v>
      </c>
      <c r="AO64" s="99">
        <f>AO50/AN50-1</f>
        <v>0.12202960654460471</v>
      </c>
      <c r="AP64" s="99">
        <f>AP50/AO50-1</f>
        <v>5.3091456181465713E-2</v>
      </c>
      <c r="AQ64" s="99">
        <f>AQ50/AP50-1</f>
        <v>4.6403648552118204E-2</v>
      </c>
      <c r="AR64" s="808"/>
      <c r="AS64" s="99">
        <f>AS50/AQ50-1</f>
        <v>0.11402840864336916</v>
      </c>
      <c r="AT64" s="99">
        <f>AT50/AS50-1</f>
        <v>8.508131039358946E-2</v>
      </c>
      <c r="AU64" s="99">
        <f>AU50/AT50-1</f>
        <v>-2.827975673327543E-2</v>
      </c>
      <c r="AV64" s="99">
        <f>AV50/AU50-1</f>
        <v>-7.0231123429746578E-2</v>
      </c>
      <c r="AW64" s="105"/>
      <c r="AX64" s="99">
        <f>AX50/AV50-1</f>
        <v>8.2267525723627166E-2</v>
      </c>
      <c r="AY64" s="99">
        <f>AY50/AX50-1</f>
        <v>5.2290195033097842E-2</v>
      </c>
      <c r="AZ64" s="99">
        <f>AZ50/AY50-1</f>
        <v>2.2587182301780917E-3</v>
      </c>
      <c r="BA64" s="99">
        <f>BA50/AZ50-1</f>
        <v>-4.1913266918005565E-3</v>
      </c>
      <c r="BB64" s="808"/>
      <c r="BC64" s="99">
        <f>BC50/BA50-1</f>
        <v>-2.8362944162436565E-2</v>
      </c>
      <c r="BD64" s="99">
        <f>BD50/BC50-1</f>
        <v>0.10307146433313741</v>
      </c>
      <c r="BE64" s="99">
        <f>BE50/BD50-1</f>
        <v>-4.8841615029403651E-2</v>
      </c>
      <c r="BF64" s="99">
        <f>BF50/BE50-1</f>
        <v>-3.6141828668644571E-2</v>
      </c>
      <c r="BG64" s="808"/>
      <c r="BH64" s="99">
        <f>BH50/BF50-1</f>
        <v>4.2749208945906947E-2</v>
      </c>
      <c r="BI64" s="99">
        <f>BI50/BH50-1</f>
        <v>0.18491835765745313</v>
      </c>
      <c r="BJ64" s="99">
        <f>BJ50/BI50-1</f>
        <v>-4.1880803470322858E-2</v>
      </c>
      <c r="BK64" s="99">
        <f>BK50/BJ50-1</f>
        <v>-5.0493663290724911E-2</v>
      </c>
      <c r="BL64" s="808"/>
      <c r="BM64" s="99">
        <f>BM50/BK50-1</f>
        <v>-1.6660283416315425E-3</v>
      </c>
      <c r="BN64" s="99">
        <f>BN50/BM50-1</f>
        <v>-0.16264170487023577</v>
      </c>
      <c r="BO64" s="99">
        <f>BO50/BN50-1</f>
        <v>9.831859623402206E-2</v>
      </c>
      <c r="BP64" s="99">
        <f>BP50/BO50-1</f>
        <v>-0.10991532140324534</v>
      </c>
      <c r="BQ64" s="808"/>
      <c r="BR64" s="99">
        <f>BR50/BP50-1</f>
        <v>0.1163183053707002</v>
      </c>
      <c r="BS64" s="99">
        <f>BS50/BR50-1</f>
        <v>0.11958438287153661</v>
      </c>
      <c r="BT64" s="99">
        <f>BT50/BS50-1</f>
        <v>2.4129591090612523E-2</v>
      </c>
      <c r="BU64" s="99">
        <f>BU50/BT50-1</f>
        <v>-1.5268014059753976E-2</v>
      </c>
      <c r="BV64" s="808"/>
      <c r="BW64" s="99">
        <f>BW50/BU50-1</f>
        <v>0.22902026398958908</v>
      </c>
      <c r="BX64" s="99">
        <f>BX50/BW50-1</f>
        <v>-9.2407992860276233E-2</v>
      </c>
      <c r="BY64" s="99">
        <f>BY50/BX50-1</f>
        <v>3.3333333333333437E-2</v>
      </c>
      <c r="BZ64" s="99">
        <f>BZ50/BY50-1</f>
        <v>0</v>
      </c>
      <c r="CA64" s="808"/>
      <c r="CB64" s="99">
        <f>CB50/BZ50-1</f>
        <v>-0.19354838709677424</v>
      </c>
      <c r="CC64" s="99">
        <f>CC50/CB50-1</f>
        <v>0</v>
      </c>
      <c r="CD64" s="99">
        <f>CD50/CC50-1</f>
        <v>0</v>
      </c>
      <c r="CE64" s="99">
        <f>CE50/CD50-1</f>
        <v>0</v>
      </c>
      <c r="CF64" s="808"/>
      <c r="CI64" s="729" t="s">
        <v>744</v>
      </c>
      <c r="CJ64" s="812">
        <f>CJ56</f>
        <v>0</v>
      </c>
      <c r="CK64" s="812">
        <f>CK63*0.666</f>
        <v>77.337252000000007</v>
      </c>
      <c r="CL64" s="812">
        <f>CL63</f>
        <v>123.25999999999999</v>
      </c>
      <c r="CM64" s="812">
        <f>CM63</f>
        <v>113.28499999999998</v>
      </c>
      <c r="CN64" s="816">
        <f>SUM(CK64:CM64)</f>
        <v>313.88225199999999</v>
      </c>
    </row>
    <row r="65" spans="2:93" s="181" customFormat="1">
      <c r="B65" s="98"/>
      <c r="C65" s="12" t="s">
        <v>701</v>
      </c>
      <c r="D65" s="808"/>
      <c r="F65" s="99"/>
      <c r="G65" s="99"/>
      <c r="H65" s="99"/>
      <c r="I65" s="808"/>
      <c r="J65" s="99"/>
      <c r="K65" s="99"/>
      <c r="L65" s="99"/>
      <c r="M65" s="99"/>
      <c r="N65" s="808"/>
      <c r="O65" s="99"/>
      <c r="P65" s="99"/>
      <c r="Q65" s="99"/>
      <c r="R65" s="99"/>
      <c r="S65" s="808"/>
      <c r="T65" s="99"/>
      <c r="U65" s="99"/>
      <c r="V65" s="99"/>
      <c r="W65" s="99"/>
      <c r="X65" s="808"/>
      <c r="Y65" s="99"/>
      <c r="Z65" s="99"/>
      <c r="AA65" s="99"/>
      <c r="AB65" s="99"/>
      <c r="AC65" s="808"/>
      <c r="AD65" s="99"/>
      <c r="AE65" s="99"/>
      <c r="AF65" s="99"/>
      <c r="AG65" s="99"/>
      <c r="AH65" s="808"/>
      <c r="AI65" s="99"/>
      <c r="AJ65" s="99"/>
      <c r="AK65" s="99"/>
      <c r="AL65" s="99"/>
      <c r="AM65" s="808"/>
      <c r="AN65" s="99"/>
      <c r="AO65" s="99"/>
      <c r="AP65" s="99"/>
      <c r="AQ65" s="99"/>
      <c r="AR65" s="808"/>
      <c r="AS65" s="99"/>
      <c r="AT65" s="99"/>
      <c r="AU65" s="99"/>
      <c r="AV65" s="99"/>
      <c r="AW65" s="105"/>
      <c r="AX65" s="99"/>
      <c r="AY65" s="99"/>
      <c r="AZ65" s="99"/>
      <c r="BA65" s="99"/>
      <c r="BB65" s="808"/>
      <c r="BC65" s="99"/>
      <c r="BD65" s="99"/>
      <c r="BE65" s="99"/>
      <c r="BF65" s="99"/>
      <c r="BG65" s="808"/>
      <c r="BH65" s="12"/>
      <c r="BI65" s="12"/>
      <c r="BJ65" s="12"/>
      <c r="BK65" s="12"/>
      <c r="BL65" s="23"/>
      <c r="BM65" s="12"/>
      <c r="BN65" s="12"/>
      <c r="BO65" s="12"/>
      <c r="BP65" s="12"/>
      <c r="BQ65" s="23"/>
      <c r="BR65" s="12"/>
      <c r="BS65" s="12">
        <v>5643</v>
      </c>
      <c r="BT65" s="12">
        <v>8036</v>
      </c>
      <c r="BU65" s="12">
        <v>9922</v>
      </c>
      <c r="BV65" s="23">
        <f>SUM(BS65:BU65)</f>
        <v>23601</v>
      </c>
      <c r="BW65" s="12">
        <v>13109</v>
      </c>
      <c r="BX65" s="12"/>
      <c r="BY65" s="12"/>
      <c r="BZ65" s="12"/>
      <c r="CA65" s="23"/>
      <c r="CB65" s="12"/>
      <c r="CC65" s="12"/>
      <c r="CD65" s="12"/>
      <c r="CE65" s="12"/>
      <c r="CF65" s="23"/>
      <c r="CI65" s="729"/>
      <c r="CJ65" s="812"/>
      <c r="CK65" s="812"/>
      <c r="CL65" s="812"/>
      <c r="CM65" s="812"/>
      <c r="CN65" s="816"/>
    </row>
    <row r="66" spans="2:93" s="7" customFormat="1" ht="13.15">
      <c r="B66" s="983" t="s">
        <v>47</v>
      </c>
      <c r="C66" s="168"/>
      <c r="D66" s="833">
        <f>'Income Statement'!D14</f>
        <v>85411</v>
      </c>
      <c r="E66" s="168">
        <f>'Income Statement'!E14</f>
        <v>24849</v>
      </c>
      <c r="F66" s="168">
        <f>'Income Statement'!F14</f>
        <v>25900</v>
      </c>
      <c r="G66" s="168">
        <f>'Income Statement'!G14</f>
        <v>28353</v>
      </c>
      <c r="H66" s="168">
        <f>'Income Statement'!H14</f>
        <v>28356</v>
      </c>
      <c r="I66" s="833">
        <f>'Income Statement'!I14</f>
        <v>107458</v>
      </c>
      <c r="J66" s="168">
        <f>'Income Statement'!J14</f>
        <v>29138</v>
      </c>
      <c r="K66" s="168">
        <f>'Income Statement'!K14</f>
        <v>30224</v>
      </c>
      <c r="L66" s="168">
        <f>'Income Statement'!L14</f>
        <v>32744</v>
      </c>
      <c r="M66" s="168">
        <f>'Income Statement'!M14</f>
        <v>32406</v>
      </c>
      <c r="N66" s="833">
        <f>'Income Statement'!N14</f>
        <v>124512</v>
      </c>
      <c r="O66" s="168">
        <f>'Income Statement'!O14</f>
        <v>33416</v>
      </c>
      <c r="P66" s="168">
        <f>'Income Statement'!P14</f>
        <v>33212</v>
      </c>
      <c r="Q66" s="168">
        <f>'Income Statement'!Q14</f>
        <v>34729</v>
      </c>
      <c r="R66" s="168">
        <f>'Income Statement'!R14</f>
        <v>34298</v>
      </c>
      <c r="S66" s="833">
        <f>'Income Statement'!S14</f>
        <v>135655</v>
      </c>
      <c r="T66" s="168">
        <f>'Income Statement'!T14</f>
        <v>35512</v>
      </c>
      <c r="U66" s="168">
        <f>'Income Statement'!U14</f>
        <v>35056</v>
      </c>
      <c r="V66" s="168">
        <f>'Income Statement'!V14</f>
        <v>37011</v>
      </c>
      <c r="W66" s="168">
        <f>'Income Statement'!W14</f>
        <v>38919</v>
      </c>
      <c r="X66" s="833">
        <f>'Income Statement'!X14</f>
        <v>146498</v>
      </c>
      <c r="Y66" s="168">
        <f>'Income Statement'!Y14</f>
        <v>39850</v>
      </c>
      <c r="Z66" s="168">
        <f>'Income Statement'!Z14</f>
        <v>42060</v>
      </c>
      <c r="AA66" s="834">
        <f>'Income Statement'!AA14</f>
        <v>44452</v>
      </c>
      <c r="AB66" s="834">
        <f>'Income Statement'!AB14</f>
        <v>45489</v>
      </c>
      <c r="AC66" s="835">
        <f>SUM(Y66:AB66)</f>
        <v>171851</v>
      </c>
      <c r="AD66" s="834">
        <f>'Income Statement'!AD14</f>
        <v>46050</v>
      </c>
      <c r="AE66" s="834">
        <f>'Income Statement'!AE14</f>
        <v>46639</v>
      </c>
      <c r="AF66" s="834">
        <f>'Income Statement'!AF14</f>
        <v>49291</v>
      </c>
      <c r="AG66" s="834">
        <f>'Income Statement'!AG14</f>
        <v>49740</v>
      </c>
      <c r="AH66" s="835">
        <f>SUM(AD66:AG66)</f>
        <v>191720</v>
      </c>
      <c r="AI66" s="834">
        <f>'Income Statement'!AI14</f>
        <v>50240</v>
      </c>
      <c r="AJ66" s="834">
        <f>'Income Statement'!AJ14</f>
        <v>51951</v>
      </c>
      <c r="AK66" s="834">
        <f>'Income Statement'!AK14</f>
        <v>54713</v>
      </c>
      <c r="AL66" s="834">
        <f>'Income Statement'!AL14</f>
        <v>55792</v>
      </c>
      <c r="AM66" s="835">
        <f>SUM(AI66:AL66)</f>
        <v>212696</v>
      </c>
      <c r="AN66" s="834">
        <f>'Income Statement'!AN14</f>
        <v>57348</v>
      </c>
      <c r="AO66" s="834">
        <f>'Income Statement'!AO14</f>
        <v>59463</v>
      </c>
      <c r="AP66" s="834">
        <f>'Income Statement'!AP14</f>
        <v>61018</v>
      </c>
      <c r="AQ66" s="834">
        <f>'Income Statement'!AQ14-3186-37</f>
        <v>67708</v>
      </c>
      <c r="AR66" s="835">
        <f>SUM(AN66:AQ66)</f>
        <v>245537</v>
      </c>
      <c r="AS66" s="834">
        <f>'Income Statement'!AS14</f>
        <v>81727</v>
      </c>
      <c r="AT66" s="834">
        <f>'Income Statement'!AT14</f>
        <v>83520</v>
      </c>
      <c r="AU66" s="834">
        <f>'Income Statement'!AU14</f>
        <v>86260</v>
      </c>
      <c r="AV66" s="834">
        <f>'Income Statement'!AV14</f>
        <v>86969</v>
      </c>
      <c r="AW66" s="835">
        <f>SUM(AS66:AV66)</f>
        <v>338476</v>
      </c>
      <c r="AX66" s="834">
        <f>'Income Statement'!AX14</f>
        <v>87174</v>
      </c>
      <c r="AY66" s="834">
        <f>'Income Statement'!AY14</f>
        <v>89707</v>
      </c>
      <c r="AZ66" s="834">
        <f>'Income Statement'!AZ14</f>
        <v>92547</v>
      </c>
      <c r="BA66" s="834">
        <f>'Income Statement'!BA14</f>
        <v>93248</v>
      </c>
      <c r="BB66" s="835">
        <f>SUM(AX66:BA66)</f>
        <v>362676</v>
      </c>
      <c r="BC66" s="834">
        <f>BC67+BC69</f>
        <v>93897</v>
      </c>
      <c r="BD66" s="834">
        <f>BD67+BD69</f>
        <v>96076</v>
      </c>
      <c r="BE66" s="834">
        <f>BE67+BE69</f>
        <v>96215</v>
      </c>
      <c r="BF66" s="834">
        <f>BF67+BF69</f>
        <v>98333</v>
      </c>
      <c r="BG66" s="835">
        <f>SUM(BC66:BF66)</f>
        <v>384521</v>
      </c>
      <c r="BH66" s="834">
        <f>BH67+BH69</f>
        <v>100152</v>
      </c>
      <c r="BI66" s="834">
        <f>BI67+BI69</f>
        <v>106689</v>
      </c>
      <c r="BJ66" s="834">
        <f>BJ67+BJ69</f>
        <v>109833</v>
      </c>
      <c r="BK66" s="834">
        <f>BK67+BK69</f>
        <v>113644</v>
      </c>
      <c r="BL66" s="835">
        <f>SUM(BH66:BK66)</f>
        <v>430318</v>
      </c>
      <c r="BM66" s="834">
        <f>BM67+BM69</f>
        <v>114365</v>
      </c>
      <c r="BN66" s="834">
        <f>BN67+BN69</f>
        <v>116760</v>
      </c>
      <c r="BO66" s="834">
        <f>BO67+BO69</f>
        <v>117979</v>
      </c>
      <c r="BP66" s="834">
        <f>BP67+BP69</f>
        <v>118409</v>
      </c>
      <c r="BQ66" s="835">
        <f>SUM(BM66:BP66)</f>
        <v>467513</v>
      </c>
      <c r="BR66" s="834">
        <f>BR67+BR69+BR77</f>
        <v>119112</v>
      </c>
      <c r="BS66" s="834">
        <f>BS67+BS69+BS77</f>
        <v>119621</v>
      </c>
      <c r="BT66" s="834">
        <f>BT67+BT69+BT77</f>
        <v>117833</v>
      </c>
      <c r="BU66" s="834">
        <f>BU67+BU69+BU77</f>
        <v>116806</v>
      </c>
      <c r="BV66" s="835">
        <f>SUM(BR66:BU66)</f>
        <v>473372</v>
      </c>
      <c r="BW66" s="834">
        <f>BW67+BW69</f>
        <v>116215.51</v>
      </c>
      <c r="BX66" s="834">
        <f>BX67+BX69</f>
        <v>116609.7</v>
      </c>
      <c r="BY66" s="834">
        <f>BY67+BY69</f>
        <v>114924.06999999999</v>
      </c>
      <c r="BZ66" s="834">
        <f>BZ67+BZ69</f>
        <v>113353.92</v>
      </c>
      <c r="CA66" s="835">
        <f>SUM(BW66:BZ66)</f>
        <v>461103.19999999995</v>
      </c>
      <c r="CB66" s="834">
        <f>CB67+CB69</f>
        <v>120483.1704</v>
      </c>
      <c r="CC66" s="834">
        <f>CC67+CC69</f>
        <v>120878.088</v>
      </c>
      <c r="CD66" s="834">
        <f>CD67+CD69</f>
        <v>121201.0328</v>
      </c>
      <c r="CE66" s="834">
        <f>CE67+CE69</f>
        <v>117584.5376</v>
      </c>
      <c r="CF66" s="835">
        <f>SUM(CB66:CE66)</f>
        <v>480146.82879999996</v>
      </c>
      <c r="CI66" s="840"/>
      <c r="CK66" s="22"/>
      <c r="CL66" s="22"/>
      <c r="CM66" s="22"/>
      <c r="CN66" s="841"/>
    </row>
    <row r="67" spans="2:93" s="1005" customFormat="1" ht="12.75">
      <c r="B67" s="999"/>
      <c r="C67" s="1000" t="s">
        <v>366</v>
      </c>
      <c r="D67" s="1001"/>
      <c r="E67" s="1000"/>
      <c r="F67" s="1000"/>
      <c r="G67" s="1000"/>
      <c r="H67" s="1000"/>
      <c r="I67" s="1001"/>
      <c r="J67" s="1000">
        <v>25812</v>
      </c>
      <c r="K67" s="1000">
        <v>26686</v>
      </c>
      <c r="L67" s="1000">
        <v>29222</v>
      </c>
      <c r="M67" s="1000"/>
      <c r="N67" s="1001">
        <v>110404</v>
      </c>
      <c r="O67" s="1000">
        <v>29709</v>
      </c>
      <c r="P67" s="1000">
        <v>29506</v>
      </c>
      <c r="Q67" s="1000">
        <v>30987</v>
      </c>
      <c r="R67" s="1000">
        <f>S67-Q67-P67-O67</f>
        <v>30562</v>
      </c>
      <c r="S67" s="1001">
        <v>120764</v>
      </c>
      <c r="T67" s="1000">
        <v>31632</v>
      </c>
      <c r="U67" s="1000">
        <v>31315</v>
      </c>
      <c r="V67" s="1000">
        <v>33152</v>
      </c>
      <c r="W67" s="1000">
        <f>X67-V67-U67-T67</f>
        <v>34900</v>
      </c>
      <c r="X67" s="1001">
        <v>130999</v>
      </c>
      <c r="Y67" s="1000">
        <v>35745</v>
      </c>
      <c r="Z67" s="1000">
        <v>37985</v>
      </c>
      <c r="AA67" s="1000">
        <v>40282</v>
      </c>
      <c r="AB67" s="1000">
        <f>+AB73+AB77</f>
        <v>41239</v>
      </c>
      <c r="AC67" s="1003">
        <f>SUM(Y67:AB67)</f>
        <v>155251</v>
      </c>
      <c r="AD67" s="1002">
        <f>+AD73+AD77</f>
        <v>41882</v>
      </c>
      <c r="AE67" s="1002">
        <f>+AE73+AE77</f>
        <v>42566</v>
      </c>
      <c r="AF67" s="1002">
        <f>+AF73+AF77</f>
        <v>45182</v>
      </c>
      <c r="AG67" s="1002">
        <f>+AG73+AG77</f>
        <v>45916</v>
      </c>
      <c r="AH67" s="1003">
        <f>SUM(AD67:AG67)</f>
        <v>175546</v>
      </c>
      <c r="AI67" s="1002">
        <f>93858-AJ67</f>
        <v>46093</v>
      </c>
      <c r="AJ67" s="1002">
        <v>47765</v>
      </c>
      <c r="AK67" s="1002">
        <f>AK66-AK69</f>
        <v>50486</v>
      </c>
      <c r="AL67" s="1002">
        <f>+AM67-AK67-AJ67-AI67</f>
        <v>51537</v>
      </c>
      <c r="AM67" s="1003">
        <v>195881</v>
      </c>
      <c r="AN67" s="1002">
        <v>53014</v>
      </c>
      <c r="AO67" s="1002">
        <v>54992</v>
      </c>
      <c r="AP67" s="1002">
        <v>56451</v>
      </c>
      <c r="AQ67" s="1002">
        <f>AR67-AP67-AO67-AN67</f>
        <v>63129</v>
      </c>
      <c r="AR67" s="1003">
        <v>227586</v>
      </c>
      <c r="AS67" s="1002">
        <v>71400</v>
      </c>
      <c r="AT67" s="1002">
        <v>74110</v>
      </c>
      <c r="AU67" s="1002">
        <v>78292</v>
      </c>
      <c r="AV67" s="1002">
        <f>AW67-AU67-AT67-AS67</f>
        <v>80578</v>
      </c>
      <c r="AW67" s="1003">
        <v>304380</v>
      </c>
      <c r="AX67" s="1002">
        <v>82166</v>
      </c>
      <c r="AY67" s="1002">
        <v>84306</v>
      </c>
      <c r="AZ67" s="1002">
        <v>86576</v>
      </c>
      <c r="BA67" s="1002">
        <f>339951-AZ67-AY67-AX67</f>
        <v>86903</v>
      </c>
      <c r="BB67" s="1003">
        <f>SUM(AX67:BA67)</f>
        <v>339951</v>
      </c>
      <c r="BC67" s="1002">
        <f>+BC73+BC77</f>
        <v>87813</v>
      </c>
      <c r="BD67" s="1002">
        <f>+BD73+BD77</f>
        <v>89795</v>
      </c>
      <c r="BE67" s="1002">
        <f>+BE73+BE77</f>
        <v>90072</v>
      </c>
      <c r="BF67" s="1002">
        <f>+BF73+BF77</f>
        <v>92224</v>
      </c>
      <c r="BG67" s="1003">
        <f>SUM(BC67:BF67)</f>
        <v>359904</v>
      </c>
      <c r="BH67" s="1002">
        <f>+BH73+BH77</f>
        <v>94012</v>
      </c>
      <c r="BI67" s="1002">
        <f>+BI73+BI77</f>
        <v>100483</v>
      </c>
      <c r="BJ67" s="1002">
        <f>+BJ73+BJ77</f>
        <v>103438</v>
      </c>
      <c r="BK67" s="1002">
        <f>+BK73+BK77</f>
        <v>107130</v>
      </c>
      <c r="BL67" s="1003">
        <f>SUM(BH67:BK67)</f>
        <v>405063</v>
      </c>
      <c r="BM67" s="1002">
        <v>104841</v>
      </c>
      <c r="BN67" s="1002">
        <v>107336</v>
      </c>
      <c r="BO67" s="1002">
        <v>108270</v>
      </c>
      <c r="BP67" s="1002">
        <f>429224-BO67-BN67-BM67</f>
        <v>108777</v>
      </c>
      <c r="BQ67" s="1003">
        <f>SUM(BM67:BP67)</f>
        <v>429224</v>
      </c>
      <c r="BR67" s="1002">
        <v>109783</v>
      </c>
      <c r="BS67" s="1002">
        <v>110010</v>
      </c>
      <c r="BT67" s="1002">
        <v>110231</v>
      </c>
      <c r="BU67" s="1002">
        <f>BV67-BT67-BS67-BR67</f>
        <v>108702</v>
      </c>
      <c r="BV67" s="1003">
        <v>438726</v>
      </c>
      <c r="BW67" s="1002">
        <f>+BW73+BW77</f>
        <v>106691.51</v>
      </c>
      <c r="BX67" s="1002">
        <f>+BX73+BX77</f>
        <v>106709.7</v>
      </c>
      <c r="BY67" s="1002">
        <f>+BY73+BY77</f>
        <v>106924.06999999999</v>
      </c>
      <c r="BZ67" s="1002">
        <f>+BZ73+BZ77</f>
        <v>104353.92</v>
      </c>
      <c r="CA67" s="1003">
        <f>SUM(BW67:BZ67)</f>
        <v>424679.19999999995</v>
      </c>
      <c r="CB67" s="1002">
        <f>+CB73+CB77</f>
        <v>110959.1704</v>
      </c>
      <c r="CC67" s="1002">
        <f>+CC73+CC77</f>
        <v>110978.088</v>
      </c>
      <c r="CD67" s="1002">
        <f>+CD73+CD77</f>
        <v>111201.0328</v>
      </c>
      <c r="CE67" s="1002">
        <f>+CE73+CE77</f>
        <v>107484.5376</v>
      </c>
      <c r="CF67" s="1003">
        <f>SUM(CB67:CE67)</f>
        <v>440622.82879999996</v>
      </c>
      <c r="CN67" s="1010"/>
    </row>
    <row r="68" spans="2:93" s="97" customFormat="1" ht="10.15">
      <c r="B68" s="98"/>
      <c r="C68" s="99" t="s">
        <v>21</v>
      </c>
      <c r="D68" s="100" t="e">
        <f>D67/#REF!-1</f>
        <v>#REF!</v>
      </c>
      <c r="E68" s="99" t="e">
        <f>E67/#REF!-1</f>
        <v>#REF!</v>
      </c>
      <c r="F68" s="99" t="e">
        <f t="shared" ref="F68:AK68" si="60">F67/A67-1</f>
        <v>#DIV/0!</v>
      </c>
      <c r="G68" s="99" t="e">
        <f t="shared" si="60"/>
        <v>#DIV/0!</v>
      </c>
      <c r="H68" s="99" t="e">
        <f t="shared" si="60"/>
        <v>#VALUE!</v>
      </c>
      <c r="I68" s="100" t="e">
        <f t="shared" si="60"/>
        <v>#DIV/0!</v>
      </c>
      <c r="J68" s="99" t="e">
        <f t="shared" si="60"/>
        <v>#DIV/0!</v>
      </c>
      <c r="K68" s="99" t="e">
        <f t="shared" si="60"/>
        <v>#DIV/0!</v>
      </c>
      <c r="L68" s="99" t="e">
        <f t="shared" si="60"/>
        <v>#DIV/0!</v>
      </c>
      <c r="M68" s="99" t="e">
        <f t="shared" si="60"/>
        <v>#DIV/0!</v>
      </c>
      <c r="N68" s="100" t="e">
        <f t="shared" si="60"/>
        <v>#DIV/0!</v>
      </c>
      <c r="O68" s="99">
        <f t="shared" si="60"/>
        <v>0.15097629009762903</v>
      </c>
      <c r="P68" s="99">
        <f t="shared" si="60"/>
        <v>0.10567338679457383</v>
      </c>
      <c r="Q68" s="99">
        <f t="shared" si="60"/>
        <v>6.0399698857025452E-2</v>
      </c>
      <c r="R68" s="99" t="e">
        <f t="shared" si="60"/>
        <v>#DIV/0!</v>
      </c>
      <c r="S68" s="100">
        <f t="shared" si="60"/>
        <v>9.3837179812325644E-2</v>
      </c>
      <c r="T68" s="99">
        <f t="shared" si="60"/>
        <v>6.4727860244370383E-2</v>
      </c>
      <c r="U68" s="99">
        <f t="shared" si="60"/>
        <v>6.1309564156442731E-2</v>
      </c>
      <c r="V68" s="99">
        <f t="shared" si="60"/>
        <v>6.9868009165133804E-2</v>
      </c>
      <c r="W68" s="99">
        <f t="shared" si="60"/>
        <v>0.14194097244944692</v>
      </c>
      <c r="X68" s="100">
        <f t="shared" si="60"/>
        <v>8.4752078433970368E-2</v>
      </c>
      <c r="Y68" s="99">
        <f t="shared" si="60"/>
        <v>0.13002655538694996</v>
      </c>
      <c r="Z68" s="99">
        <f t="shared" si="60"/>
        <v>0.21299696631007503</v>
      </c>
      <c r="AA68" s="99">
        <f t="shared" si="60"/>
        <v>0.21506998069498073</v>
      </c>
      <c r="AB68" s="99">
        <f t="shared" si="60"/>
        <v>0.18163323782234952</v>
      </c>
      <c r="AC68" s="100">
        <f t="shared" si="60"/>
        <v>0.18513118420751296</v>
      </c>
      <c r="AD68" s="99">
        <f t="shared" si="60"/>
        <v>0.1716883480207021</v>
      </c>
      <c r="AE68" s="99">
        <f t="shared" si="60"/>
        <v>0.12060023693563249</v>
      </c>
      <c r="AF68" s="99">
        <f t="shared" si="60"/>
        <v>0.1216424209324265</v>
      </c>
      <c r="AG68" s="99">
        <f t="shared" si="60"/>
        <v>0.11341206139819104</v>
      </c>
      <c r="AH68" s="100">
        <f t="shared" si="60"/>
        <v>0.13072379565993142</v>
      </c>
      <c r="AI68" s="99">
        <f t="shared" si="60"/>
        <v>0.10054438660999954</v>
      </c>
      <c r="AJ68" s="99">
        <f t="shared" si="60"/>
        <v>0.12213973593948224</v>
      </c>
      <c r="AK68" s="99">
        <f t="shared" si="60"/>
        <v>0.1173918817228099</v>
      </c>
      <c r="AL68" s="99">
        <f t="shared" ref="AL68:BQ68" si="61">AL67/AG67-1</f>
        <v>0.12241920027876985</v>
      </c>
      <c r="AM68" s="100">
        <f t="shared" si="61"/>
        <v>0.11583858361910848</v>
      </c>
      <c r="AN68" s="99">
        <f t="shared" si="61"/>
        <v>0.15015295164124698</v>
      </c>
      <c r="AO68" s="99">
        <f t="shared" si="61"/>
        <v>0.15130325552182566</v>
      </c>
      <c r="AP68" s="99">
        <f t="shared" si="61"/>
        <v>0.11815156677098604</v>
      </c>
      <c r="AQ68" s="99">
        <f t="shared" si="61"/>
        <v>0.22492578147738529</v>
      </c>
      <c r="AR68" s="100">
        <f t="shared" si="61"/>
        <v>0.16185847529877839</v>
      </c>
      <c r="AS68" s="99">
        <f t="shared" si="61"/>
        <v>0.34681404911910052</v>
      </c>
      <c r="AT68" s="99">
        <f t="shared" si="61"/>
        <v>0.34765056735525168</v>
      </c>
      <c r="AU68" s="99">
        <f t="shared" si="61"/>
        <v>0.38690191493507653</v>
      </c>
      <c r="AV68" s="99">
        <f t="shared" si="61"/>
        <v>0.27640228737980954</v>
      </c>
      <c r="AW68" s="100">
        <f t="shared" si="61"/>
        <v>0.33742848857135321</v>
      </c>
      <c r="AX68" s="99">
        <f t="shared" si="61"/>
        <v>0.15078431372549028</v>
      </c>
      <c r="AY68" s="236">
        <f t="shared" si="61"/>
        <v>0.1375792740520847</v>
      </c>
      <c r="AZ68" s="99">
        <f t="shared" si="61"/>
        <v>0.10580902263321934</v>
      </c>
      <c r="BA68" s="99">
        <f t="shared" si="61"/>
        <v>7.8495370944922982E-2</v>
      </c>
      <c r="BB68" s="100">
        <f t="shared" si="61"/>
        <v>0.1168637886851962</v>
      </c>
      <c r="BC68" s="99">
        <f t="shared" si="61"/>
        <v>6.872672394907875E-2</v>
      </c>
      <c r="BD68" s="99">
        <f t="shared" si="61"/>
        <v>6.5108058738405417E-2</v>
      </c>
      <c r="BE68" s="99">
        <f t="shared" si="61"/>
        <v>4.0380705969321751E-2</v>
      </c>
      <c r="BF68" s="99">
        <f t="shared" si="61"/>
        <v>6.1229186564330407E-2</v>
      </c>
      <c r="BG68" s="100">
        <f t="shared" si="61"/>
        <v>5.8693752923215436E-2</v>
      </c>
      <c r="BH68" s="99">
        <f t="shared" si="61"/>
        <v>7.0593192351929623E-2</v>
      </c>
      <c r="BI68" s="99">
        <f t="shared" si="61"/>
        <v>0.11902667186368943</v>
      </c>
      <c r="BJ68" s="99">
        <f t="shared" si="61"/>
        <v>0.14839239719335651</v>
      </c>
      <c r="BK68" s="99">
        <f t="shared" si="61"/>
        <v>0.16162820957668278</v>
      </c>
      <c r="BL68" s="100">
        <f t="shared" si="61"/>
        <v>0.12547512670045347</v>
      </c>
      <c r="BM68" s="99">
        <f t="shared" si="61"/>
        <v>0.1151874228821852</v>
      </c>
      <c r="BN68" s="99">
        <f t="shared" si="61"/>
        <v>6.8200591144770728E-2</v>
      </c>
      <c r="BO68" s="99">
        <f t="shared" si="61"/>
        <v>4.6713973588043078E-2</v>
      </c>
      <c r="BP68" s="99">
        <f t="shared" si="61"/>
        <v>1.5373844861383379E-2</v>
      </c>
      <c r="BQ68" s="100">
        <f t="shared" si="61"/>
        <v>5.9647511621649052E-2</v>
      </c>
      <c r="BR68" s="99">
        <f t="shared" ref="BR68:CF68" si="62">BR67/BM67-1</f>
        <v>4.7138047138047146E-2</v>
      </c>
      <c r="BS68" s="99">
        <f t="shared" si="62"/>
        <v>2.4912424536036371E-2</v>
      </c>
      <c r="BT68" s="99">
        <f t="shared" si="62"/>
        <v>1.8112127089683128E-2</v>
      </c>
      <c r="BU68" s="99">
        <f t="shared" si="62"/>
        <v>-6.8948399018176065E-4</v>
      </c>
      <c r="BV68" s="100">
        <f t="shared" si="62"/>
        <v>2.2137625109500014E-2</v>
      </c>
      <c r="BW68" s="99">
        <f t="shared" si="62"/>
        <v>-2.8160006558392459E-2</v>
      </c>
      <c r="BX68" s="99">
        <f t="shared" si="62"/>
        <v>-3.0000000000000027E-2</v>
      </c>
      <c r="BY68" s="99">
        <f t="shared" si="62"/>
        <v>-3.0000000000000027E-2</v>
      </c>
      <c r="BZ68" s="99">
        <f t="shared" si="62"/>
        <v>-4.0000000000000036E-2</v>
      </c>
      <c r="CA68" s="100">
        <f t="shared" si="62"/>
        <v>-3.2017249946435955E-2</v>
      </c>
      <c r="CB68" s="99">
        <f t="shared" si="62"/>
        <v>4.0000000000000036E-2</v>
      </c>
      <c r="CC68" s="99">
        <f t="shared" si="62"/>
        <v>4.0000000000000036E-2</v>
      </c>
      <c r="CD68" s="99">
        <f t="shared" si="62"/>
        <v>4.0000000000000036E-2</v>
      </c>
      <c r="CE68" s="99">
        <f t="shared" si="62"/>
        <v>3.0000000000000027E-2</v>
      </c>
      <c r="CF68" s="100">
        <f t="shared" si="62"/>
        <v>3.7542758863631676E-2</v>
      </c>
      <c r="CK68" s="97">
        <f>100/90</f>
        <v>1.1111111111111112</v>
      </c>
      <c r="CO68" s="810"/>
    </row>
    <row r="69" spans="2:93" s="1005" customFormat="1" ht="12.75">
      <c r="B69" s="999"/>
      <c r="C69" s="1000" t="s">
        <v>367</v>
      </c>
      <c r="D69" s="1001"/>
      <c r="E69" s="1000"/>
      <c r="F69" s="1000"/>
      <c r="G69" s="1000"/>
      <c r="H69" s="1000"/>
      <c r="I69" s="1001"/>
      <c r="J69" s="1000">
        <v>3326</v>
      </c>
      <c r="K69" s="1000">
        <v>3538</v>
      </c>
      <c r="L69" s="1000">
        <v>3522</v>
      </c>
      <c r="M69" s="1000"/>
      <c r="N69" s="1001">
        <v>14108</v>
      </c>
      <c r="O69" s="1000">
        <v>3707</v>
      </c>
      <c r="P69" s="1000">
        <v>3706</v>
      </c>
      <c r="Q69" s="1000">
        <v>3742</v>
      </c>
      <c r="R69" s="1000">
        <f>S69-Q69-P69-O69</f>
        <v>3736</v>
      </c>
      <c r="S69" s="1001">
        <v>14891</v>
      </c>
      <c r="T69" s="1000">
        <v>3880</v>
      </c>
      <c r="U69" s="1000">
        <v>3741</v>
      </c>
      <c r="V69" s="1000">
        <v>3859</v>
      </c>
      <c r="W69" s="1000">
        <f>X69-V69-U69-T69</f>
        <v>4019</v>
      </c>
      <c r="X69" s="1001">
        <v>15499</v>
      </c>
      <c r="Y69" s="1000">
        <v>4105</v>
      </c>
      <c r="Z69" s="1000">
        <v>4075</v>
      </c>
      <c r="AA69" s="1007">
        <v>4170</v>
      </c>
      <c r="AB69" s="1000">
        <v>4250</v>
      </c>
      <c r="AC69" s="1003">
        <f>SUM(Y69:AB69)</f>
        <v>16600</v>
      </c>
      <c r="AD69" s="1002">
        <v>4168</v>
      </c>
      <c r="AE69" s="1000">
        <v>4300</v>
      </c>
      <c r="AF69" s="1000">
        <v>4109</v>
      </c>
      <c r="AG69" s="1000">
        <f>AH69-AF69-AE69-AD69</f>
        <v>3963</v>
      </c>
      <c r="AH69" s="1003">
        <v>16540</v>
      </c>
      <c r="AI69" s="1004">
        <f>8333-AJ69</f>
        <v>4147</v>
      </c>
      <c r="AJ69" s="1007">
        <v>4186</v>
      </c>
      <c r="AK69" s="1007">
        <v>4227</v>
      </c>
      <c r="AL69" s="1002">
        <f>+AM69-AK69-AJ69-AI69</f>
        <v>4255</v>
      </c>
      <c r="AM69" s="1003">
        <v>16815</v>
      </c>
      <c r="AN69" s="1002">
        <v>4334</v>
      </c>
      <c r="AO69" s="1002">
        <v>4471</v>
      </c>
      <c r="AP69" s="1002">
        <v>4567</v>
      </c>
      <c r="AQ69" s="1002">
        <f>AR69-AP69-AO69-AN69</f>
        <v>4579</v>
      </c>
      <c r="AR69" s="1003">
        <v>17951</v>
      </c>
      <c r="AS69" s="1004">
        <v>4632</v>
      </c>
      <c r="AT69" s="1007">
        <v>4633</v>
      </c>
      <c r="AU69" s="1007">
        <v>4708</v>
      </c>
      <c r="AV69" s="1007">
        <f>AW69-AU69-AT69-AS69</f>
        <v>4616</v>
      </c>
      <c r="AW69" s="1003">
        <v>18589</v>
      </c>
      <c r="AX69" s="1004">
        <v>4693</v>
      </c>
      <c r="AY69" s="1007">
        <v>5106</v>
      </c>
      <c r="AZ69" s="1000">
        <v>5709</v>
      </c>
      <c r="BA69" s="1000">
        <f>21618-AZ69-AY69-AX69</f>
        <v>6110</v>
      </c>
      <c r="BB69" s="1003">
        <f>SUM(AX69:BA69)</f>
        <v>21618</v>
      </c>
      <c r="BC69" s="1002">
        <f>BC75</f>
        <v>6084</v>
      </c>
      <c r="BD69" s="1002">
        <f>BD75</f>
        <v>6281</v>
      </c>
      <c r="BE69" s="1002">
        <f>BE75</f>
        <v>6143</v>
      </c>
      <c r="BF69" s="1002">
        <f>BF75</f>
        <v>6109</v>
      </c>
      <c r="BG69" s="1003">
        <f>SUM(BC69:BF69)</f>
        <v>24617</v>
      </c>
      <c r="BH69" s="1002">
        <f>BH75</f>
        <v>6140</v>
      </c>
      <c r="BI69" s="1002">
        <f>BI75</f>
        <v>6206</v>
      </c>
      <c r="BJ69" s="1002">
        <f>BJ75</f>
        <v>6395</v>
      </c>
      <c r="BK69" s="1002">
        <f>BK75</f>
        <v>6514</v>
      </c>
      <c r="BL69" s="1003">
        <f>SUM(BH69:BK69)</f>
        <v>25255</v>
      </c>
      <c r="BM69" s="1002">
        <v>9524</v>
      </c>
      <c r="BN69" s="1002">
        <v>9424</v>
      </c>
      <c r="BO69" s="1002">
        <v>9709</v>
      </c>
      <c r="BP69" s="1002">
        <f>38289-BO69-BN69-BM69</f>
        <v>9632</v>
      </c>
      <c r="BQ69" s="1003">
        <f>SUM(BM69:BP69)</f>
        <v>38289</v>
      </c>
      <c r="BR69" s="1002">
        <v>9329</v>
      </c>
      <c r="BS69" s="1002">
        <v>9456</v>
      </c>
      <c r="BT69" s="1002">
        <v>7399</v>
      </c>
      <c r="BU69" s="1002">
        <v>7902</v>
      </c>
      <c r="BV69" s="1003">
        <v>35001</v>
      </c>
      <c r="BW69" s="1002">
        <v>9524</v>
      </c>
      <c r="BX69" s="1002">
        <f>BX75</f>
        <v>9900</v>
      </c>
      <c r="BY69" s="1002">
        <f>BY75</f>
        <v>8000</v>
      </c>
      <c r="BZ69" s="1002">
        <f>BZ75</f>
        <v>9000</v>
      </c>
      <c r="CA69" s="1003">
        <f>SUM(BW69:BZ69)</f>
        <v>36424</v>
      </c>
      <c r="CB69" s="1002">
        <v>9524</v>
      </c>
      <c r="CC69" s="1002">
        <f>CC75</f>
        <v>9900</v>
      </c>
      <c r="CD69" s="1002">
        <f>CD75</f>
        <v>10000</v>
      </c>
      <c r="CE69" s="1002">
        <f>CE75</f>
        <v>10100</v>
      </c>
      <c r="CF69" s="1003">
        <f>SUM(CB69:CE69)</f>
        <v>39524</v>
      </c>
      <c r="CN69" s="1010"/>
    </row>
    <row r="70" spans="2:93" s="97" customFormat="1" ht="10.15">
      <c r="B70" s="98"/>
      <c r="C70" s="99" t="s">
        <v>21</v>
      </c>
      <c r="D70" s="100" t="e">
        <f>D69/#REF!-1</f>
        <v>#REF!</v>
      </c>
      <c r="E70" s="99" t="e">
        <f>E69/#REF!-1</f>
        <v>#REF!</v>
      </c>
      <c r="F70" s="99" t="e">
        <f t="shared" ref="F70:AK70" si="63">F69/A69-1</f>
        <v>#DIV/0!</v>
      </c>
      <c r="G70" s="99" t="e">
        <f t="shared" si="63"/>
        <v>#DIV/0!</v>
      </c>
      <c r="H70" s="99" t="e">
        <f t="shared" si="63"/>
        <v>#VALUE!</v>
      </c>
      <c r="I70" s="100" t="e">
        <f t="shared" si="63"/>
        <v>#DIV/0!</v>
      </c>
      <c r="J70" s="99" t="e">
        <f t="shared" si="63"/>
        <v>#DIV/0!</v>
      </c>
      <c r="K70" s="99" t="e">
        <f t="shared" si="63"/>
        <v>#DIV/0!</v>
      </c>
      <c r="L70" s="99" t="e">
        <f t="shared" si="63"/>
        <v>#DIV/0!</v>
      </c>
      <c r="M70" s="99" t="e">
        <f t="shared" si="63"/>
        <v>#DIV/0!</v>
      </c>
      <c r="N70" s="100" t="e">
        <f t="shared" si="63"/>
        <v>#DIV/0!</v>
      </c>
      <c r="O70" s="99">
        <f t="shared" si="63"/>
        <v>0.11455201443174978</v>
      </c>
      <c r="P70" s="99">
        <f t="shared" si="63"/>
        <v>4.7484454494064465E-2</v>
      </c>
      <c r="Q70" s="99">
        <f t="shared" si="63"/>
        <v>6.2464508801817198E-2</v>
      </c>
      <c r="R70" s="99" t="e">
        <f t="shared" si="63"/>
        <v>#DIV/0!</v>
      </c>
      <c r="S70" s="100">
        <f t="shared" si="63"/>
        <v>5.5500425290615274E-2</v>
      </c>
      <c r="T70" s="99">
        <f t="shared" si="63"/>
        <v>4.6668465066091125E-2</v>
      </c>
      <c r="U70" s="99">
        <f t="shared" si="63"/>
        <v>9.4441446303292764E-3</v>
      </c>
      <c r="V70" s="99">
        <f t="shared" si="63"/>
        <v>3.1266702298236249E-2</v>
      </c>
      <c r="W70" s="99">
        <f t="shared" si="63"/>
        <v>7.5749464668094291E-2</v>
      </c>
      <c r="X70" s="100">
        <f t="shared" si="63"/>
        <v>4.0830031562688829E-2</v>
      </c>
      <c r="Y70" s="99">
        <f t="shared" si="63"/>
        <v>5.7989690721649501E-2</v>
      </c>
      <c r="Z70" s="99">
        <f t="shared" si="63"/>
        <v>8.9280940924886476E-2</v>
      </c>
      <c r="AA70" s="99">
        <f t="shared" si="63"/>
        <v>8.0590826639025614E-2</v>
      </c>
      <c r="AB70" s="99">
        <f t="shared" si="63"/>
        <v>5.7476984324458913E-2</v>
      </c>
      <c r="AC70" s="100">
        <f t="shared" si="63"/>
        <v>7.103684108652164E-2</v>
      </c>
      <c r="AD70" s="99">
        <f t="shared" si="63"/>
        <v>1.5347137637027997E-2</v>
      </c>
      <c r="AE70" s="99">
        <f t="shared" si="63"/>
        <v>5.5214723926380271E-2</v>
      </c>
      <c r="AF70" s="99">
        <f t="shared" si="63"/>
        <v>-1.4628297362110354E-2</v>
      </c>
      <c r="AG70" s="99">
        <f t="shared" si="63"/>
        <v>-6.7529411764705838E-2</v>
      </c>
      <c r="AH70" s="100">
        <f t="shared" si="63"/>
        <v>-3.6144578313253017E-3</v>
      </c>
      <c r="AI70" s="99">
        <f t="shared" si="63"/>
        <v>-5.0383877159309032E-3</v>
      </c>
      <c r="AJ70" s="99">
        <f t="shared" si="63"/>
        <v>-2.6511627906976698E-2</v>
      </c>
      <c r="AK70" s="99">
        <f t="shared" si="63"/>
        <v>2.8717449501095116E-2</v>
      </c>
      <c r="AL70" s="99">
        <f t="shared" ref="AL70:BQ70" si="64">AL69/AG69-1</f>
        <v>7.3681554377996505E-2</v>
      </c>
      <c r="AM70" s="100">
        <f t="shared" si="64"/>
        <v>1.6626360338573232E-2</v>
      </c>
      <c r="AN70" s="99">
        <f t="shared" si="64"/>
        <v>4.5092838196286511E-2</v>
      </c>
      <c r="AO70" s="99">
        <f t="shared" si="64"/>
        <v>6.8084089823220229E-2</v>
      </c>
      <c r="AP70" s="99">
        <f t="shared" si="64"/>
        <v>8.0435296900875253E-2</v>
      </c>
      <c r="AQ70" s="99">
        <f t="shared" si="64"/>
        <v>7.6145710928319676E-2</v>
      </c>
      <c r="AR70" s="100">
        <f t="shared" si="64"/>
        <v>6.7558727326791468E-2</v>
      </c>
      <c r="AS70" s="99">
        <f t="shared" si="64"/>
        <v>6.8758652514997687E-2</v>
      </c>
      <c r="AT70" s="99">
        <f t="shared" si="64"/>
        <v>3.6233504808767636E-2</v>
      </c>
      <c r="AU70" s="99">
        <f t="shared" si="64"/>
        <v>3.0873658857017761E-2</v>
      </c>
      <c r="AV70" s="99">
        <f t="shared" si="64"/>
        <v>8.0803668923346006E-3</v>
      </c>
      <c r="AW70" s="100">
        <f t="shared" si="64"/>
        <v>3.5541195476575194E-2</v>
      </c>
      <c r="AX70" s="99">
        <f t="shared" si="64"/>
        <v>1.3169257340241769E-2</v>
      </c>
      <c r="AY70" s="236">
        <f t="shared" si="64"/>
        <v>0.10209367580401474</v>
      </c>
      <c r="AZ70" s="99">
        <f t="shared" si="64"/>
        <v>0.21261682242990654</v>
      </c>
      <c r="BA70" s="99">
        <f t="shared" si="64"/>
        <v>0.32365684575389952</v>
      </c>
      <c r="BB70" s="100">
        <f t="shared" si="64"/>
        <v>0.16294582817795478</v>
      </c>
      <c r="BC70" s="99">
        <f t="shared" si="64"/>
        <v>0.29639889196675906</v>
      </c>
      <c r="BD70" s="99">
        <f t="shared" si="64"/>
        <v>0.23012142577359973</v>
      </c>
      <c r="BE70" s="99">
        <f t="shared" si="64"/>
        <v>7.6020318794885355E-2</v>
      </c>
      <c r="BF70" s="99">
        <f t="shared" si="64"/>
        <v>-1.6366612111295975E-4</v>
      </c>
      <c r="BG70" s="100">
        <f t="shared" si="64"/>
        <v>0.13872698677028406</v>
      </c>
      <c r="BH70" s="99">
        <f t="shared" si="64"/>
        <v>9.2044707429321804E-3</v>
      </c>
      <c r="BI70" s="99">
        <f t="shared" si="64"/>
        <v>-1.1940773762139756E-2</v>
      </c>
      <c r="BJ70" s="99">
        <f t="shared" si="64"/>
        <v>4.1022301806934669E-2</v>
      </c>
      <c r="BK70" s="99">
        <f t="shared" si="64"/>
        <v>6.6295629399246936E-2</v>
      </c>
      <c r="BL70" s="100">
        <f t="shared" si="64"/>
        <v>2.591704919364668E-2</v>
      </c>
      <c r="BM70" s="99">
        <f t="shared" si="64"/>
        <v>0.55114006514657987</v>
      </c>
      <c r="BN70" s="99">
        <f t="shared" si="64"/>
        <v>0.51853045439896883</v>
      </c>
      <c r="BO70" s="99">
        <f t="shared" si="64"/>
        <v>0.51821735731039875</v>
      </c>
      <c r="BP70" s="99">
        <f t="shared" si="64"/>
        <v>0.47866134479582434</v>
      </c>
      <c r="BQ70" s="100">
        <f t="shared" si="64"/>
        <v>0.51609582260938436</v>
      </c>
      <c r="BR70" s="99">
        <f t="shared" ref="BR70:CF70" si="65">BR69/BM69-1</f>
        <v>-2.0474590508189783E-2</v>
      </c>
      <c r="BS70" s="99">
        <f t="shared" si="65"/>
        <v>3.3955857385399302E-3</v>
      </c>
      <c r="BT70" s="99">
        <f t="shared" si="65"/>
        <v>-0.23792357606344627</v>
      </c>
      <c r="BU70" s="99">
        <f t="shared" si="65"/>
        <v>-0.17960963455149503</v>
      </c>
      <c r="BV70" s="100">
        <f t="shared" si="65"/>
        <v>-8.587322729765734E-2</v>
      </c>
      <c r="BW70" s="99">
        <f t="shared" si="65"/>
        <v>2.0902561903741068E-2</v>
      </c>
      <c r="BX70" s="99">
        <f t="shared" si="65"/>
        <v>4.695431472081224E-2</v>
      </c>
      <c r="BY70" s="99">
        <f t="shared" si="65"/>
        <v>8.1227192863900566E-2</v>
      </c>
      <c r="BZ70" s="99">
        <f t="shared" si="65"/>
        <v>0.13895216400911159</v>
      </c>
      <c r="CA70" s="100">
        <f t="shared" si="65"/>
        <v>4.0655981257678331E-2</v>
      </c>
      <c r="CB70" s="99">
        <f t="shared" si="65"/>
        <v>0</v>
      </c>
      <c r="CC70" s="99">
        <f t="shared" si="65"/>
        <v>0</v>
      </c>
      <c r="CD70" s="99">
        <f t="shared" si="65"/>
        <v>0.25</v>
      </c>
      <c r="CE70" s="99">
        <f t="shared" si="65"/>
        <v>0.12222222222222223</v>
      </c>
      <c r="CF70" s="100">
        <f t="shared" si="65"/>
        <v>8.5108719525587517E-2</v>
      </c>
    </row>
    <row r="71" spans="2:93" s="7" customFormat="1" ht="12.75">
      <c r="B71" s="11"/>
      <c r="C71" s="12" t="s">
        <v>354</v>
      </c>
      <c r="D71" s="9"/>
      <c r="I71" s="9"/>
      <c r="N71" s="9"/>
      <c r="S71" s="9"/>
      <c r="X71" s="9"/>
      <c r="Y71" s="12">
        <f>T66*(1+Y72)</f>
        <v>37891.303999999996</v>
      </c>
      <c r="Z71" s="12">
        <f>U66*(1+Z72)</f>
        <v>38701.824000000001</v>
      </c>
      <c r="AA71" s="235">
        <f>V66*(1+AA72)</f>
        <v>40601.066999999995</v>
      </c>
      <c r="AB71" s="22">
        <f>W66*(1+AB72)</f>
        <v>42849.818999999996</v>
      </c>
      <c r="AC71" s="23">
        <f>SUM(Y71:AB71)</f>
        <v>160044.014</v>
      </c>
      <c r="AD71" s="22">
        <f>AD66-AD77</f>
        <v>46050</v>
      </c>
      <c r="AE71" s="22">
        <f>AE66-AE77</f>
        <v>46639</v>
      </c>
      <c r="AF71" s="22">
        <f>AF66-AF77</f>
        <v>49291</v>
      </c>
      <c r="AG71" s="22">
        <f>AG66-AG77</f>
        <v>49374</v>
      </c>
      <c r="AH71" s="23">
        <f>SUM(AD71:AG71)</f>
        <v>191354</v>
      </c>
      <c r="AI71" s="22">
        <f>AI66-AI77</f>
        <v>50240</v>
      </c>
      <c r="AJ71" s="22">
        <f>AJ66-AJ77</f>
        <v>51951</v>
      </c>
      <c r="AK71" s="22">
        <f>AK66-AK77</f>
        <v>54713</v>
      </c>
      <c r="AL71" s="22">
        <f>AL66-AL77</f>
        <v>55792</v>
      </c>
      <c r="AM71" s="23">
        <f>SUM(AI71:AL71)</f>
        <v>212696</v>
      </c>
      <c r="AN71" s="22">
        <f>AN66-AN77</f>
        <v>57348</v>
      </c>
      <c r="AO71" s="22">
        <f>AO66-AO77</f>
        <v>59463</v>
      </c>
      <c r="AP71" s="22">
        <f>AP66-AP77</f>
        <v>61018</v>
      </c>
      <c r="AQ71" s="22">
        <f>AQ66-AQ77</f>
        <v>59508.72000000003</v>
      </c>
      <c r="AR71" s="23">
        <f>SUM(AN71:AQ71)</f>
        <v>237337.72000000003</v>
      </c>
      <c r="AS71" s="22">
        <f>AS66-AS77</f>
        <v>68518</v>
      </c>
      <c r="AT71" s="22">
        <f>AT66-AT77</f>
        <v>68543</v>
      </c>
      <c r="AU71" s="22">
        <f>AU66-AU77</f>
        <v>69375</v>
      </c>
      <c r="AV71" s="22">
        <f>AV66-AV77</f>
        <v>86969</v>
      </c>
      <c r="AW71" s="23">
        <f>SUM(AS71:AV71)</f>
        <v>293405</v>
      </c>
      <c r="AX71" s="22">
        <f>AX66-AX77</f>
        <v>87174</v>
      </c>
      <c r="AY71" s="235">
        <f>AY66-AY77</f>
        <v>89707</v>
      </c>
      <c r="AZ71" s="22">
        <f>AZ66-AZ77</f>
        <v>92547</v>
      </c>
      <c r="BA71" s="22">
        <f>BA66-BA77</f>
        <v>93248</v>
      </c>
      <c r="BB71" s="23">
        <f>SUM(AX71:BA71)</f>
        <v>362676</v>
      </c>
      <c r="BC71" s="22">
        <f>BC66-BC77</f>
        <v>93897</v>
      </c>
      <c r="BD71" s="22">
        <f>BD66-BD77</f>
        <v>96076</v>
      </c>
      <c r="BE71" s="22">
        <f>BE66-BE77</f>
        <v>96215</v>
      </c>
      <c r="BF71" s="22">
        <f>BF66-BF77</f>
        <v>98333</v>
      </c>
      <c r="BG71" s="23">
        <f>SUM(BC71:BF71)</f>
        <v>384521</v>
      </c>
      <c r="BH71" s="22">
        <f>BH66-BH77</f>
        <v>100152</v>
      </c>
      <c r="BI71" s="22">
        <f>BI66-BI77</f>
        <v>106689</v>
      </c>
      <c r="BJ71" s="22">
        <f>BJ66-BJ77</f>
        <v>109833</v>
      </c>
      <c r="BK71" s="22">
        <f>BK66-BK77</f>
        <v>113644</v>
      </c>
      <c r="BL71" s="23">
        <f>SUM(BH71:BK71)</f>
        <v>430318</v>
      </c>
      <c r="BM71" s="22">
        <f>BM66-BM77</f>
        <v>114365</v>
      </c>
      <c r="BN71" s="22">
        <f>BN66-BN77</f>
        <v>116760</v>
      </c>
      <c r="BO71" s="22">
        <f>BO66-BO77</f>
        <v>117979</v>
      </c>
      <c r="BP71" s="22">
        <f>BP66-BP77</f>
        <v>118409</v>
      </c>
      <c r="BQ71" s="23">
        <f>SUM(BM71:BP71)</f>
        <v>467513</v>
      </c>
      <c r="BR71" s="22">
        <f>BR66-BR77</f>
        <v>119112</v>
      </c>
      <c r="BS71" s="22">
        <f>BS66-BS77</f>
        <v>119466</v>
      </c>
      <c r="BT71" s="22">
        <f>BT66-BT77</f>
        <v>117630</v>
      </c>
      <c r="BU71" s="22">
        <f>BU66-BU77</f>
        <v>116604</v>
      </c>
      <c r="BV71" s="23">
        <f>SUM(BR71:BU71)</f>
        <v>472812</v>
      </c>
      <c r="BW71" s="22">
        <f>BW66-BW77</f>
        <v>116013.51</v>
      </c>
      <c r="BX71" s="22">
        <f>BX66-BX77</f>
        <v>116609.7</v>
      </c>
      <c r="BY71" s="22">
        <f>BY66-BY77</f>
        <v>114924.06999999999</v>
      </c>
      <c r="BZ71" s="22">
        <f>BZ66-BZ77</f>
        <v>113353.92</v>
      </c>
      <c r="CA71" s="23">
        <f>SUM(BW71:BZ71)</f>
        <v>460901.19999999995</v>
      </c>
      <c r="CB71" s="22">
        <f>CB66-CB77</f>
        <v>120483.1704</v>
      </c>
      <c r="CC71" s="22">
        <f>CC66-CC77</f>
        <v>120878.088</v>
      </c>
      <c r="CD71" s="22">
        <f>CD66-CD77</f>
        <v>121201.0328</v>
      </c>
      <c r="CE71" s="22">
        <f>CE66-CE77</f>
        <v>117584.5376</v>
      </c>
      <c r="CF71" s="23">
        <f>SUM(CB71:CE71)</f>
        <v>480146.82879999996</v>
      </c>
      <c r="CI71" s="10"/>
      <c r="CJ71" s="10"/>
      <c r="CK71" s="10"/>
      <c r="CL71" s="10"/>
      <c r="CM71" s="10"/>
      <c r="CN71" s="10"/>
    </row>
    <row r="72" spans="2:93" s="97" customFormat="1" ht="10.15">
      <c r="B72" s="98"/>
      <c r="C72" s="99" t="s">
        <v>21</v>
      </c>
      <c r="D72" s="100"/>
      <c r="E72" s="99"/>
      <c r="F72" s="99"/>
      <c r="G72" s="99"/>
      <c r="H72" s="99"/>
      <c r="I72" s="100"/>
      <c r="J72" s="99"/>
      <c r="K72" s="99"/>
      <c r="L72" s="99"/>
      <c r="M72" s="99"/>
      <c r="N72" s="100"/>
      <c r="O72" s="99"/>
      <c r="P72" s="99"/>
      <c r="Q72" s="99"/>
      <c r="R72" s="99"/>
      <c r="S72" s="100"/>
      <c r="T72" s="99"/>
      <c r="U72" s="99"/>
      <c r="V72" s="99"/>
      <c r="W72" s="99"/>
      <c r="X72" s="100"/>
      <c r="Y72" s="99">
        <v>6.7000000000000004E-2</v>
      </c>
      <c r="Z72" s="99">
        <v>0.104</v>
      </c>
      <c r="AA72" s="236">
        <v>9.7000000000000003E-2</v>
      </c>
      <c r="AB72" s="99">
        <v>0.10100000000000001</v>
      </c>
      <c r="AC72" s="100">
        <f t="shared" ref="AC72:AH72" si="66">AC71/X66-1</f>
        <v>9.2465521713607002E-2</v>
      </c>
      <c r="AD72" s="99">
        <f t="shared" si="66"/>
        <v>0.15558343789209528</v>
      </c>
      <c r="AE72" s="99">
        <f t="shared" si="66"/>
        <v>0.10886828340465993</v>
      </c>
      <c r="AF72" s="99">
        <f t="shared" si="66"/>
        <v>0.10885899397102494</v>
      </c>
      <c r="AG72" s="99">
        <f t="shared" si="66"/>
        <v>8.5405262810789528E-2</v>
      </c>
      <c r="AH72" s="100">
        <f t="shared" si="66"/>
        <v>0.11348784703027626</v>
      </c>
      <c r="AI72" s="99">
        <f t="shared" ref="AI72:BN72" si="67">AI71/AD66-1</f>
        <v>9.0988056460369116E-2</v>
      </c>
      <c r="AJ72" s="99">
        <f t="shared" si="67"/>
        <v>0.11389609554235736</v>
      </c>
      <c r="AK72" s="99">
        <f t="shared" si="67"/>
        <v>0.10999979712320718</v>
      </c>
      <c r="AL72" s="99">
        <f t="shared" si="67"/>
        <v>0.12167269802975467</v>
      </c>
      <c r="AM72" s="100">
        <f t="shared" si="67"/>
        <v>0.10940955560191945</v>
      </c>
      <c r="AN72" s="99">
        <f t="shared" si="67"/>
        <v>0.14148089171974521</v>
      </c>
      <c r="AO72" s="99">
        <f t="shared" si="67"/>
        <v>0.14459779407518614</v>
      </c>
      <c r="AP72" s="99">
        <f t="shared" si="67"/>
        <v>0.11523769488055846</v>
      </c>
      <c r="AQ72" s="99">
        <f t="shared" si="67"/>
        <v>6.6617436191569235E-2</v>
      </c>
      <c r="AR72" s="100">
        <f t="shared" si="67"/>
        <v>0.11585417685334942</v>
      </c>
      <c r="AS72" s="99">
        <f t="shared" si="67"/>
        <v>0.19477575503940847</v>
      </c>
      <c r="AT72" s="99">
        <f t="shared" si="67"/>
        <v>0.15269999831828196</v>
      </c>
      <c r="AU72" s="99">
        <f t="shared" si="67"/>
        <v>0.13695958569602418</v>
      </c>
      <c r="AV72" s="99">
        <f t="shared" si="67"/>
        <v>0.28447155432149818</v>
      </c>
      <c r="AW72" s="100">
        <f t="shared" si="67"/>
        <v>0.19495228824983601</v>
      </c>
      <c r="AX72" s="99">
        <f t="shared" si="67"/>
        <v>6.6648720741003586E-2</v>
      </c>
      <c r="AY72" s="236">
        <f t="shared" si="67"/>
        <v>7.4078065134099536E-2</v>
      </c>
      <c r="AZ72" s="99">
        <f t="shared" si="67"/>
        <v>7.2884303269186157E-2</v>
      </c>
      <c r="BA72" s="99">
        <f t="shared" si="67"/>
        <v>7.2198139566972186E-2</v>
      </c>
      <c r="BB72" s="100">
        <f t="shared" si="67"/>
        <v>7.149694513052629E-2</v>
      </c>
      <c r="BC72" s="99">
        <f t="shared" si="67"/>
        <v>7.7121618831302863E-2</v>
      </c>
      <c r="BD72" s="99">
        <f t="shared" si="67"/>
        <v>7.0997803961786676E-2</v>
      </c>
      <c r="BE72" s="99">
        <f t="shared" si="67"/>
        <v>3.9633915740110437E-2</v>
      </c>
      <c r="BF72" s="99">
        <f t="shared" si="67"/>
        <v>5.4532000686341897E-2</v>
      </c>
      <c r="BG72" s="100">
        <f t="shared" si="67"/>
        <v>6.0232824890535941E-2</v>
      </c>
      <c r="BH72" s="99">
        <f t="shared" si="67"/>
        <v>6.6615546822582195E-2</v>
      </c>
      <c r="BI72" s="99">
        <f t="shared" si="67"/>
        <v>0.11046463216620173</v>
      </c>
      <c r="BJ72" s="99">
        <f t="shared" si="67"/>
        <v>0.14153718235202417</v>
      </c>
      <c r="BK72" s="99">
        <f t="shared" si="67"/>
        <v>0.15570561256139848</v>
      </c>
      <c r="BL72" s="100">
        <f t="shared" si="67"/>
        <v>0.11910142749030617</v>
      </c>
      <c r="BM72" s="99">
        <f t="shared" si="67"/>
        <v>0.14191429027877622</v>
      </c>
      <c r="BN72" s="99">
        <f t="shared" si="67"/>
        <v>9.4395860866631098E-2</v>
      </c>
      <c r="BO72" s="99">
        <f t="shared" ref="BO72:CF72" si="68">BO71/BJ66-1</f>
        <v>7.4167144665082452E-2</v>
      </c>
      <c r="BP72" s="99">
        <f t="shared" si="68"/>
        <v>4.1929182358945383E-2</v>
      </c>
      <c r="BQ72" s="100">
        <f t="shared" si="68"/>
        <v>8.6436077505472664E-2</v>
      </c>
      <c r="BR72" s="99">
        <f t="shared" si="68"/>
        <v>4.150745420364621E-2</v>
      </c>
      <c r="BS72" s="99">
        <f t="shared" si="68"/>
        <v>2.3175745118191093E-2</v>
      </c>
      <c r="BT72" s="99">
        <f t="shared" si="68"/>
        <v>-2.9581535697030814E-3</v>
      </c>
      <c r="BU72" s="99">
        <f t="shared" si="68"/>
        <v>-1.5243773699634366E-2</v>
      </c>
      <c r="BV72" s="100">
        <f t="shared" si="68"/>
        <v>1.1334444175883807E-2</v>
      </c>
      <c r="BW72" s="99">
        <f t="shared" si="68"/>
        <v>-2.6013248035462455E-2</v>
      </c>
      <c r="BX72" s="99">
        <f t="shared" si="68"/>
        <v>-2.5173673518863793E-2</v>
      </c>
      <c r="BY72" s="99">
        <f t="shared" si="68"/>
        <v>-2.468688737450464E-2</v>
      </c>
      <c r="BZ72" s="99">
        <f t="shared" si="68"/>
        <v>-2.9553961269112916E-2</v>
      </c>
      <c r="CA72" s="100">
        <f t="shared" si="68"/>
        <v>-2.6344608468604092E-2</v>
      </c>
      <c r="CB72" s="99">
        <f t="shared" si="68"/>
        <v>3.6721952173165207E-2</v>
      </c>
      <c r="CC72" s="99">
        <f t="shared" si="68"/>
        <v>3.6604056094818871E-2</v>
      </c>
      <c r="CD72" s="99">
        <f t="shared" si="68"/>
        <v>5.4618347575055459E-2</v>
      </c>
      <c r="CE72" s="99">
        <f t="shared" si="68"/>
        <v>3.7322199355787511E-2</v>
      </c>
      <c r="CF72" s="100">
        <f t="shared" si="68"/>
        <v>4.1300144522961491E-2</v>
      </c>
    </row>
    <row r="73" spans="2:93" s="10" customFormat="1" ht="12.75">
      <c r="B73" s="11"/>
      <c r="C73" s="12" t="s">
        <v>361</v>
      </c>
      <c r="D73" s="13"/>
      <c r="E73" s="12"/>
      <c r="F73" s="12"/>
      <c r="G73" s="12"/>
      <c r="H73" s="12"/>
      <c r="I73" s="13"/>
      <c r="J73" s="12"/>
      <c r="K73" s="12"/>
      <c r="L73" s="12"/>
      <c r="M73" s="12"/>
      <c r="N73" s="13"/>
      <c r="O73" s="12"/>
      <c r="P73" s="12"/>
      <c r="Q73" s="12"/>
      <c r="R73" s="12"/>
      <c r="S73" s="13"/>
      <c r="T73" s="12"/>
      <c r="U73" s="12"/>
      <c r="V73" s="12"/>
      <c r="W73" s="12"/>
      <c r="X73" s="13"/>
      <c r="Y73" s="12">
        <f>Y71-Y75</f>
        <v>33786.303999999996</v>
      </c>
      <c r="Z73" s="12">
        <f>Z71-Z75</f>
        <v>34626.824000000001</v>
      </c>
      <c r="AA73" s="81">
        <f>AA71-AA75</f>
        <v>36431.066999999995</v>
      </c>
      <c r="AB73" s="12">
        <f>AB71-AB75</f>
        <v>38599.818999999996</v>
      </c>
      <c r="AC73" s="23">
        <f>SUM(Y73:AB73)</f>
        <v>143444.014</v>
      </c>
      <c r="AD73" s="12">
        <v>41882</v>
      </c>
      <c r="AE73" s="12">
        <v>42566</v>
      </c>
      <c r="AF73" s="12">
        <v>45182</v>
      </c>
      <c r="AG73" s="12">
        <f>AH73-AF73-AE73-AD73</f>
        <v>45550</v>
      </c>
      <c r="AH73" s="23">
        <v>175180</v>
      </c>
      <c r="AI73" s="12">
        <f>AI67</f>
        <v>46093</v>
      </c>
      <c r="AJ73" s="12">
        <f>AJ67</f>
        <v>47765</v>
      </c>
      <c r="AK73" s="12">
        <f>AK67</f>
        <v>50486</v>
      </c>
      <c r="AL73" s="12">
        <f>+AL67</f>
        <v>51537</v>
      </c>
      <c r="AM73" s="23">
        <f>SUM(AI73:AL73)</f>
        <v>195881</v>
      </c>
      <c r="AN73" s="12">
        <f>+AN67</f>
        <v>53014</v>
      </c>
      <c r="AO73" s="12">
        <f>+AO67</f>
        <v>54992</v>
      </c>
      <c r="AP73" s="12">
        <f>+AP67</f>
        <v>56451</v>
      </c>
      <c r="AQ73" s="12">
        <f>+AQ67-AQ77</f>
        <v>54929.72000000003</v>
      </c>
      <c r="AR73" s="23">
        <f>SUM(AN73:AQ73)</f>
        <v>219386.72000000003</v>
      </c>
      <c r="AS73" s="12">
        <f>AS67</f>
        <v>71400</v>
      </c>
      <c r="AT73" s="12">
        <f>AT67</f>
        <v>74110</v>
      </c>
      <c r="AU73" s="12">
        <f>AU67</f>
        <v>78292</v>
      </c>
      <c r="AV73" s="12">
        <f>AV67</f>
        <v>80578</v>
      </c>
      <c r="AW73" s="23">
        <f>SUM(AS73:AV73)</f>
        <v>304380</v>
      </c>
      <c r="AX73" s="12">
        <f>AX67</f>
        <v>82166</v>
      </c>
      <c r="AY73" s="12">
        <f>AY67</f>
        <v>84306</v>
      </c>
      <c r="AZ73" s="12">
        <f>AZ67</f>
        <v>86576</v>
      </c>
      <c r="BA73" s="12">
        <f>BA67</f>
        <v>86903</v>
      </c>
      <c r="BB73" s="23">
        <f>SUM(AX73:BA73)</f>
        <v>339951</v>
      </c>
      <c r="BC73" s="12">
        <v>87813</v>
      </c>
      <c r="BD73" s="12">
        <v>89795</v>
      </c>
      <c r="BE73" s="12">
        <v>90072</v>
      </c>
      <c r="BF73" s="12">
        <f>359904-BE73-BD73-BC73</f>
        <v>92224</v>
      </c>
      <c r="BG73" s="23">
        <f>SUM(BC73:BF73)</f>
        <v>359904</v>
      </c>
      <c r="BH73" s="12">
        <v>94012</v>
      </c>
      <c r="BI73" s="12">
        <v>100483</v>
      </c>
      <c r="BJ73" s="12">
        <v>103438</v>
      </c>
      <c r="BK73" s="12">
        <f>405063-BJ73-BI73-BH73</f>
        <v>107130</v>
      </c>
      <c r="BL73" s="23">
        <f>SUM(BH73:BK73)</f>
        <v>405063</v>
      </c>
      <c r="BM73" s="12">
        <v>104841</v>
      </c>
      <c r="BN73" s="12">
        <f>BI67*(1+BN74)</f>
        <v>105507.15000000001</v>
      </c>
      <c r="BO73" s="12">
        <f>BJ67*(1+BO74)</f>
        <v>106541.14</v>
      </c>
      <c r="BP73" s="12">
        <f>BK67*(1+BP74)</f>
        <v>108201.3</v>
      </c>
      <c r="BQ73" s="23">
        <f>SUM(BM73:BP73)</f>
        <v>425090.59</v>
      </c>
      <c r="BR73" s="12">
        <f>BM67*(1+BR74)</f>
        <v>111131.46</v>
      </c>
      <c r="BS73" s="12">
        <f>BN67*(1+BS74)</f>
        <v>113776.16</v>
      </c>
      <c r="BT73" s="12">
        <v>110231</v>
      </c>
      <c r="BU73" s="12">
        <f>BP67*(1+BU74)</f>
        <v>109864.77</v>
      </c>
      <c r="BV73" s="23">
        <f>SUM(BR73:BU73)</f>
        <v>445003.39</v>
      </c>
      <c r="BW73" s="12">
        <f>BR67*(1+BW74)</f>
        <v>106489.51</v>
      </c>
      <c r="BX73" s="12">
        <f>BS67*(1+BX74)</f>
        <v>106709.7</v>
      </c>
      <c r="BY73" s="12">
        <f>BT67*(1+BY74)</f>
        <v>106924.06999999999</v>
      </c>
      <c r="BZ73" s="12">
        <f>BU67*(1+BZ74)</f>
        <v>104353.92</v>
      </c>
      <c r="CA73" s="23">
        <f>SUM(BW73:BZ73)</f>
        <v>424477.19999999995</v>
      </c>
      <c r="CB73" s="12">
        <f>BW67*(1+CB74)</f>
        <v>110959.1704</v>
      </c>
      <c r="CC73" s="12">
        <f>BX67*(1+CC74)</f>
        <v>110978.088</v>
      </c>
      <c r="CD73" s="12">
        <f>BY67*(1+CD74)</f>
        <v>111201.0328</v>
      </c>
      <c r="CE73" s="12">
        <f>BZ67*(1+CE74)</f>
        <v>107484.5376</v>
      </c>
      <c r="CF73" s="23">
        <f>SUM(CB73:CE73)</f>
        <v>440622.82879999996</v>
      </c>
    </row>
    <row r="74" spans="2:93" s="97" customFormat="1" ht="10.15">
      <c r="B74" s="98"/>
      <c r="C74" s="99" t="s">
        <v>21</v>
      </c>
      <c r="D74" s="100" t="e">
        <f>D73/#REF!-1</f>
        <v>#REF!</v>
      </c>
      <c r="E74" s="99" t="e">
        <f>E73/#REF!-1</f>
        <v>#REF!</v>
      </c>
      <c r="F74" s="99" t="e">
        <f t="shared" ref="F74:Z74" si="69">F73/A73-1</f>
        <v>#DIV/0!</v>
      </c>
      <c r="G74" s="99" t="e">
        <f t="shared" si="69"/>
        <v>#DIV/0!</v>
      </c>
      <c r="H74" s="99" t="e">
        <f t="shared" si="69"/>
        <v>#VALUE!</v>
      </c>
      <c r="I74" s="100" t="e">
        <f t="shared" si="69"/>
        <v>#DIV/0!</v>
      </c>
      <c r="J74" s="99" t="e">
        <f t="shared" si="69"/>
        <v>#DIV/0!</v>
      </c>
      <c r="K74" s="99" t="e">
        <f t="shared" si="69"/>
        <v>#DIV/0!</v>
      </c>
      <c r="L74" s="99" t="e">
        <f t="shared" si="69"/>
        <v>#DIV/0!</v>
      </c>
      <c r="M74" s="99" t="e">
        <f t="shared" si="69"/>
        <v>#DIV/0!</v>
      </c>
      <c r="N74" s="100" t="e">
        <f t="shared" si="69"/>
        <v>#DIV/0!</v>
      </c>
      <c r="O74" s="99" t="e">
        <f t="shared" si="69"/>
        <v>#DIV/0!</v>
      </c>
      <c r="P74" s="99" t="e">
        <f t="shared" si="69"/>
        <v>#DIV/0!</v>
      </c>
      <c r="Q74" s="99" t="e">
        <f t="shared" si="69"/>
        <v>#DIV/0!</v>
      </c>
      <c r="R74" s="99" t="e">
        <f t="shared" si="69"/>
        <v>#DIV/0!</v>
      </c>
      <c r="S74" s="100" t="e">
        <f t="shared" si="69"/>
        <v>#DIV/0!</v>
      </c>
      <c r="T74" s="99" t="e">
        <f t="shared" si="69"/>
        <v>#DIV/0!</v>
      </c>
      <c r="U74" s="99" t="e">
        <f t="shared" si="69"/>
        <v>#DIV/0!</v>
      </c>
      <c r="V74" s="99" t="e">
        <f t="shared" si="69"/>
        <v>#DIV/0!</v>
      </c>
      <c r="W74" s="99" t="e">
        <f t="shared" si="69"/>
        <v>#DIV/0!</v>
      </c>
      <c r="X74" s="100" t="e">
        <f t="shared" si="69"/>
        <v>#DIV/0!</v>
      </c>
      <c r="Y74" s="99" t="e">
        <f t="shared" si="69"/>
        <v>#DIV/0!</v>
      </c>
      <c r="Z74" s="99" t="e">
        <f t="shared" si="69"/>
        <v>#DIV/0!</v>
      </c>
      <c r="AA74" s="236">
        <v>7.2999999999999995E-2</v>
      </c>
      <c r="AB74" s="99">
        <v>6.5000000000000002E-2</v>
      </c>
      <c r="AC74" s="100">
        <f>AC73/X67-1</f>
        <v>9.5000832067420271E-2</v>
      </c>
      <c r="AD74" s="99">
        <f>AD73/Y73-1</f>
        <v>0.23961472672477013</v>
      </c>
      <c r="AE74" s="99">
        <f>AE73/Z73-1</f>
        <v>0.22927820351066552</v>
      </c>
      <c r="AF74" s="99">
        <f>AF73/AA73-1</f>
        <v>0.24020523472452804</v>
      </c>
      <c r="AG74" s="99">
        <f>AG73/AB73-1</f>
        <v>0.18005734690103092</v>
      </c>
      <c r="AH74" s="100">
        <f>AH73/AC67-1</f>
        <v>0.1283663229222356</v>
      </c>
      <c r="AI74" s="99">
        <f>AI73/AD73-1</f>
        <v>0.10054438660999954</v>
      </c>
      <c r="AJ74" s="99">
        <f>AJ73/AE73-1</f>
        <v>0.12213973593948224</v>
      </c>
      <c r="AK74" s="99">
        <f>AK73/AF73-1</f>
        <v>0.1173918817228099</v>
      </c>
      <c r="AL74" s="99">
        <f>AL73/AG73-1</f>
        <v>0.13143798024149289</v>
      </c>
      <c r="AM74" s="100">
        <f>AM73/AH67-1</f>
        <v>0.11583858361910848</v>
      </c>
      <c r="AN74" s="99">
        <f>AN73/AI73-1</f>
        <v>0.15015295164124698</v>
      </c>
      <c r="AO74" s="99">
        <f>AO73/AJ73-1</f>
        <v>0.15130325552182566</v>
      </c>
      <c r="AP74" s="99">
        <f>AP73/AK73-1</f>
        <v>0.11815156677098604</v>
      </c>
      <c r="AQ74" s="99">
        <f>AQ73/AL73-1</f>
        <v>6.5830762364903483E-2</v>
      </c>
      <c r="AR74" s="100">
        <f>AR73/AM67-1</f>
        <v>0.12000000000000011</v>
      </c>
      <c r="AS74" s="99">
        <f>AS73/AN73-1</f>
        <v>0.34681404911910052</v>
      </c>
      <c r="AT74" s="99">
        <f>AT73/AO73-1</f>
        <v>0.34765056735525168</v>
      </c>
      <c r="AU74" s="99">
        <f>AU73/AP73-1</f>
        <v>0.38690191493507653</v>
      </c>
      <c r="AV74" s="99">
        <f>AV73/AQ73-1</f>
        <v>0.46692901402009612</v>
      </c>
      <c r="AW74" s="100">
        <f>AW73/AR67-1</f>
        <v>0.33742848857135321</v>
      </c>
      <c r="AX74" s="99">
        <f>AX73/AS73-1</f>
        <v>0.15078431372549028</v>
      </c>
      <c r="AY74" s="99">
        <f>AY73/AT73-1</f>
        <v>0.1375792740520847</v>
      </c>
      <c r="AZ74" s="99">
        <f>AZ73/AU73-1</f>
        <v>0.10580902263321934</v>
      </c>
      <c r="BA74" s="99">
        <f>BA73/AV73-1</f>
        <v>7.8495370944922982E-2</v>
      </c>
      <c r="BB74" s="100">
        <f>BB73/AW67-1</f>
        <v>0.1168637886851962</v>
      </c>
      <c r="BC74" s="99">
        <f>BC73/AX73-1</f>
        <v>6.872672394907875E-2</v>
      </c>
      <c r="BD74" s="99">
        <f>BD73/AY73-1</f>
        <v>6.5108058738405417E-2</v>
      </c>
      <c r="BE74" s="99">
        <f>BE73/AZ73-1</f>
        <v>4.0380705969321751E-2</v>
      </c>
      <c r="BF74" s="99">
        <f>BF73/BA73-1</f>
        <v>6.1229186564330407E-2</v>
      </c>
      <c r="BG74" s="100">
        <f>BG73/BB67-1</f>
        <v>5.8693752923215436E-2</v>
      </c>
      <c r="BH74" s="99">
        <f>BH73/BC73-1</f>
        <v>7.0593192351929623E-2</v>
      </c>
      <c r="BI74" s="236">
        <f>BI73/BD73-1</f>
        <v>0.11902667186368943</v>
      </c>
      <c r="BJ74" s="484">
        <f>BJ73/BE73-1</f>
        <v>0.14839239719335651</v>
      </c>
      <c r="BK74" s="484">
        <f>BK73/BF73-1</f>
        <v>0.16162820957668278</v>
      </c>
      <c r="BL74" s="100">
        <f>BL73/BG67-1</f>
        <v>0.12547512670045347</v>
      </c>
      <c r="BM74" s="484">
        <v>0.06</v>
      </c>
      <c r="BN74" s="484">
        <v>0.05</v>
      </c>
      <c r="BO74" s="484">
        <v>0.03</v>
      </c>
      <c r="BP74" s="484">
        <v>0.01</v>
      </c>
      <c r="BQ74" s="100">
        <f>BQ73/BL67-1</f>
        <v>4.9443148349763044E-2</v>
      </c>
      <c r="BR74" s="484">
        <v>0.06</v>
      </c>
      <c r="BS74" s="484">
        <v>0.06</v>
      </c>
      <c r="BT74" s="484">
        <v>0.06</v>
      </c>
      <c r="BU74" s="484">
        <v>0.01</v>
      </c>
      <c r="BV74" s="100">
        <v>0.05</v>
      </c>
      <c r="BW74" s="484">
        <v>-0.03</v>
      </c>
      <c r="BX74" s="484">
        <v>-0.03</v>
      </c>
      <c r="BY74" s="484">
        <v>-0.03</v>
      </c>
      <c r="BZ74" s="484">
        <v>-0.04</v>
      </c>
      <c r="CA74" s="100">
        <f>CA73/BV73-1</f>
        <v>-4.6125918276712641E-2</v>
      </c>
      <c r="CB74" s="484">
        <v>0.04</v>
      </c>
      <c r="CC74" s="484">
        <v>0.04</v>
      </c>
      <c r="CD74" s="484">
        <v>0.04</v>
      </c>
      <c r="CE74" s="484">
        <v>0.03</v>
      </c>
      <c r="CF74" s="100">
        <f>CF73/CA73-1</f>
        <v>3.8036504198576626E-2</v>
      </c>
    </row>
    <row r="75" spans="2:93" s="10" customFormat="1" ht="12.75">
      <c r="B75" s="11"/>
      <c r="C75" s="12" t="s">
        <v>362</v>
      </c>
      <c r="D75" s="13"/>
      <c r="E75" s="12"/>
      <c r="F75" s="12"/>
      <c r="G75" s="12"/>
      <c r="H75" s="12"/>
      <c r="I75" s="13"/>
      <c r="J75" s="12"/>
      <c r="K75" s="12"/>
      <c r="L75" s="12"/>
      <c r="M75" s="12"/>
      <c r="N75" s="13"/>
      <c r="O75" s="12"/>
      <c r="P75" s="12"/>
      <c r="Q75" s="12"/>
      <c r="R75" s="12"/>
      <c r="S75" s="13"/>
      <c r="T75" s="12"/>
      <c r="U75" s="12"/>
      <c r="V75" s="12"/>
      <c r="W75" s="12"/>
      <c r="X75" s="13"/>
      <c r="Y75" s="12">
        <v>4105</v>
      </c>
      <c r="Z75" s="12">
        <f>Z69</f>
        <v>4075</v>
      </c>
      <c r="AA75" s="81">
        <f>AA69</f>
        <v>4170</v>
      </c>
      <c r="AB75" s="12">
        <f>AB69</f>
        <v>4250</v>
      </c>
      <c r="AC75" s="23">
        <f>SUM(Y75:AB75)</f>
        <v>16600</v>
      </c>
      <c r="AD75" s="12">
        <v>4168</v>
      </c>
      <c r="AE75" s="12">
        <v>4073</v>
      </c>
      <c r="AF75" s="12">
        <f>AF69</f>
        <v>4109</v>
      </c>
      <c r="AG75" s="12">
        <f>AG69</f>
        <v>3963</v>
      </c>
      <c r="AH75" s="23">
        <f>SUM(AD75:AG75)</f>
        <v>16313</v>
      </c>
      <c r="AI75" s="12">
        <f>AI69</f>
        <v>4147</v>
      </c>
      <c r="AJ75" s="12">
        <f>AJ69</f>
        <v>4186</v>
      </c>
      <c r="AK75" s="12">
        <f>AK69</f>
        <v>4227</v>
      </c>
      <c r="AL75" s="12">
        <f>+AL69</f>
        <v>4255</v>
      </c>
      <c r="AM75" s="23">
        <f>SUM(AI75:AL75)</f>
        <v>16815</v>
      </c>
      <c r="AN75" s="12">
        <f>+AN69</f>
        <v>4334</v>
      </c>
      <c r="AO75" s="12">
        <f>AO69</f>
        <v>4471</v>
      </c>
      <c r="AP75" s="12">
        <f>AP69</f>
        <v>4567</v>
      </c>
      <c r="AQ75" s="12">
        <f>AQ69</f>
        <v>4579</v>
      </c>
      <c r="AR75" s="23">
        <f>SUM(AN75:AQ75)</f>
        <v>17951</v>
      </c>
      <c r="AS75" s="12">
        <f>+AS69</f>
        <v>4632</v>
      </c>
      <c r="AT75" s="12">
        <f>AT69</f>
        <v>4633</v>
      </c>
      <c r="AU75" s="12">
        <f>AU69</f>
        <v>4708</v>
      </c>
      <c r="AV75" s="12">
        <f>AV69</f>
        <v>4616</v>
      </c>
      <c r="AW75" s="23">
        <f>SUM(AS75:AV75)</f>
        <v>18589</v>
      </c>
      <c r="AX75" s="12">
        <f>+AX69</f>
        <v>4693</v>
      </c>
      <c r="AY75" s="81">
        <f>AY69</f>
        <v>5106</v>
      </c>
      <c r="AZ75" s="12">
        <f>AZ69</f>
        <v>5709</v>
      </c>
      <c r="BA75" s="12">
        <f>BA69</f>
        <v>6110</v>
      </c>
      <c r="BB75" s="23">
        <f>SUM(AX75:BA75)</f>
        <v>21618</v>
      </c>
      <c r="BC75" s="12">
        <v>6084</v>
      </c>
      <c r="BD75" s="12">
        <v>6281</v>
      </c>
      <c r="BE75" s="12">
        <v>6143</v>
      </c>
      <c r="BF75" s="12">
        <f>24617-BE75-BD75-BC75</f>
        <v>6109</v>
      </c>
      <c r="BG75" s="23">
        <f>SUM(BC75:BF75)</f>
        <v>24617</v>
      </c>
      <c r="BH75" s="12">
        <v>6140</v>
      </c>
      <c r="BI75" s="12">
        <v>6206</v>
      </c>
      <c r="BJ75" s="12">
        <v>6395</v>
      </c>
      <c r="BK75" s="12">
        <f>25255-BJ75-BI75-BH75</f>
        <v>6514</v>
      </c>
      <c r="BL75" s="23">
        <f>SUM(BH75:BK75)</f>
        <v>25255</v>
      </c>
      <c r="BM75" s="12">
        <v>9524</v>
      </c>
      <c r="BN75" s="12">
        <v>9600</v>
      </c>
      <c r="BO75" s="12">
        <v>9700</v>
      </c>
      <c r="BP75" s="12">
        <v>9800</v>
      </c>
      <c r="BQ75" s="23">
        <f>SUM(BM75:BP75)</f>
        <v>38624</v>
      </c>
      <c r="BR75" s="12">
        <v>9800</v>
      </c>
      <c r="BS75" s="12">
        <v>9900</v>
      </c>
      <c r="BT75" s="12">
        <v>7399</v>
      </c>
      <c r="BU75" s="12">
        <f>BV75-BT75-BS75-BR75</f>
        <v>7902</v>
      </c>
      <c r="BV75" s="23">
        <v>35001</v>
      </c>
      <c r="BW75" s="12">
        <v>9800</v>
      </c>
      <c r="BX75" s="12">
        <v>9900</v>
      </c>
      <c r="BY75" s="12">
        <v>8000</v>
      </c>
      <c r="BZ75" s="12">
        <v>9000</v>
      </c>
      <c r="CA75" s="23">
        <f>SUM(BW75:BZ75)</f>
        <v>36700</v>
      </c>
      <c r="CB75" s="12">
        <v>9800</v>
      </c>
      <c r="CC75" s="12">
        <v>9900</v>
      </c>
      <c r="CD75" s="12">
        <v>10000</v>
      </c>
      <c r="CE75" s="12">
        <v>10100</v>
      </c>
      <c r="CF75" s="23">
        <f>SUM(CB75:CE75)</f>
        <v>39800</v>
      </c>
      <c r="CI75" s="7"/>
      <c r="CJ75" s="7"/>
      <c r="CK75" s="7"/>
      <c r="CL75" s="7"/>
      <c r="CM75" s="7"/>
      <c r="CN75" s="7"/>
    </row>
    <row r="76" spans="2:93" s="97" customFormat="1" ht="10.15">
      <c r="B76" s="98"/>
      <c r="C76" s="99" t="s">
        <v>21</v>
      </c>
      <c r="D76" s="100" t="e">
        <f>D75/#REF!-1</f>
        <v>#REF!</v>
      </c>
      <c r="E76" s="99" t="e">
        <f>E75/#REF!-1</f>
        <v>#REF!</v>
      </c>
      <c r="F76" s="99" t="e">
        <f t="shared" ref="F76:Z76" si="70">F75/A75-1</f>
        <v>#DIV/0!</v>
      </c>
      <c r="G76" s="99" t="e">
        <f t="shared" si="70"/>
        <v>#DIV/0!</v>
      </c>
      <c r="H76" s="99" t="e">
        <f t="shared" si="70"/>
        <v>#VALUE!</v>
      </c>
      <c r="I76" s="100" t="e">
        <f t="shared" si="70"/>
        <v>#DIV/0!</v>
      </c>
      <c r="J76" s="99" t="e">
        <f t="shared" si="70"/>
        <v>#DIV/0!</v>
      </c>
      <c r="K76" s="99" t="e">
        <f t="shared" si="70"/>
        <v>#DIV/0!</v>
      </c>
      <c r="L76" s="99" t="e">
        <f t="shared" si="70"/>
        <v>#DIV/0!</v>
      </c>
      <c r="M76" s="99" t="e">
        <f t="shared" si="70"/>
        <v>#DIV/0!</v>
      </c>
      <c r="N76" s="100" t="e">
        <f t="shared" si="70"/>
        <v>#DIV/0!</v>
      </c>
      <c r="O76" s="99" t="e">
        <f t="shared" si="70"/>
        <v>#DIV/0!</v>
      </c>
      <c r="P76" s="99" t="e">
        <f t="shared" si="70"/>
        <v>#DIV/0!</v>
      </c>
      <c r="Q76" s="99" t="e">
        <f t="shared" si="70"/>
        <v>#DIV/0!</v>
      </c>
      <c r="R76" s="99" t="e">
        <f t="shared" si="70"/>
        <v>#DIV/0!</v>
      </c>
      <c r="S76" s="100" t="e">
        <f t="shared" si="70"/>
        <v>#DIV/0!</v>
      </c>
      <c r="T76" s="99" t="e">
        <f t="shared" si="70"/>
        <v>#DIV/0!</v>
      </c>
      <c r="U76" s="99" t="e">
        <f t="shared" si="70"/>
        <v>#DIV/0!</v>
      </c>
      <c r="V76" s="99" t="e">
        <f t="shared" si="70"/>
        <v>#DIV/0!</v>
      </c>
      <c r="W76" s="99" t="e">
        <f t="shared" si="70"/>
        <v>#DIV/0!</v>
      </c>
      <c r="X76" s="100" t="e">
        <f t="shared" si="70"/>
        <v>#DIV/0!</v>
      </c>
      <c r="Y76" s="99" t="e">
        <f t="shared" si="70"/>
        <v>#DIV/0!</v>
      </c>
      <c r="Z76" s="99" t="e">
        <f t="shared" si="70"/>
        <v>#DIV/0!</v>
      </c>
      <c r="AA76" s="236"/>
      <c r="AB76" s="99"/>
      <c r="AC76" s="100"/>
      <c r="AD76" s="99"/>
      <c r="AE76" s="99"/>
      <c r="AF76" s="99"/>
      <c r="AG76" s="99"/>
      <c r="AH76" s="100"/>
      <c r="AI76" s="99"/>
      <c r="AJ76" s="99"/>
      <c r="AK76" s="99"/>
      <c r="AL76" s="99"/>
      <c r="AM76" s="100"/>
      <c r="AN76" s="99"/>
      <c r="AO76" s="99"/>
      <c r="AP76" s="99"/>
      <c r="AQ76" s="99"/>
      <c r="AR76" s="100"/>
      <c r="AS76" s="99"/>
      <c r="AT76" s="99"/>
      <c r="AU76" s="99"/>
      <c r="AV76" s="99"/>
      <c r="AW76" s="100"/>
      <c r="AX76" s="99"/>
      <c r="AY76" s="236"/>
      <c r="AZ76" s="99"/>
      <c r="BA76" s="99"/>
      <c r="BB76" s="100"/>
      <c r="BC76" s="99"/>
      <c r="BD76" s="99"/>
      <c r="BE76" s="99"/>
      <c r="BF76" s="99"/>
      <c r="BG76" s="100"/>
      <c r="BH76" s="99"/>
      <c r="BI76" s="99"/>
      <c r="BJ76" s="99"/>
      <c r="BK76" s="99"/>
      <c r="BL76" s="100"/>
      <c r="BM76" s="99"/>
      <c r="BN76" s="99"/>
      <c r="BO76" s="99"/>
      <c r="BP76" s="99"/>
      <c r="BQ76" s="100"/>
      <c r="BR76" s="99"/>
      <c r="BS76" s="99"/>
      <c r="BT76" s="99"/>
      <c r="BU76" s="99"/>
      <c r="BV76" s="100"/>
      <c r="BW76" s="99"/>
      <c r="BX76" s="99"/>
      <c r="BY76" s="99"/>
      <c r="BZ76" s="99"/>
      <c r="CA76" s="100"/>
      <c r="CB76" s="99"/>
      <c r="CC76" s="99"/>
      <c r="CD76" s="99"/>
      <c r="CE76" s="99"/>
      <c r="CF76" s="100"/>
    </row>
    <row r="77" spans="2:93" s="7" customFormat="1" ht="12.75">
      <c r="B77" s="11"/>
      <c r="C77" s="12" t="s">
        <v>355</v>
      </c>
      <c r="D77" s="9"/>
      <c r="I77" s="9"/>
      <c r="N77" s="9"/>
      <c r="S77" s="9"/>
      <c r="X77" s="9"/>
      <c r="Y77" s="22">
        <f>Y66-Y71</f>
        <v>1958.6960000000036</v>
      </c>
      <c r="Z77" s="22">
        <f>Z66-Z71</f>
        <v>3358.1759999999995</v>
      </c>
      <c r="AA77" s="81">
        <f>AA66-AA71</f>
        <v>3850.9330000000045</v>
      </c>
      <c r="AB77" s="838">
        <f>AB66-AB71</f>
        <v>2639.1810000000041</v>
      </c>
      <c r="AC77" s="23">
        <f>SUM(Y77:AB77)</f>
        <v>11806.986000000012</v>
      </c>
      <c r="AD77" s="7">
        <v>0</v>
      </c>
      <c r="AE77" s="7">
        <v>0</v>
      </c>
      <c r="AF77" s="7">
        <v>0</v>
      </c>
      <c r="AG77" s="7">
        <v>366</v>
      </c>
      <c r="AH77" s="23">
        <f>SUM(AD77:AG77)</f>
        <v>366</v>
      </c>
      <c r="AI77" s="7">
        <v>0</v>
      </c>
      <c r="AJ77" s="7">
        <v>0</v>
      </c>
      <c r="AK77" s="7">
        <v>0</v>
      </c>
      <c r="AL77" s="7">
        <v>0</v>
      </c>
      <c r="AM77" s="23">
        <f>SUM(AI77:AL77)</f>
        <v>0</v>
      </c>
      <c r="AN77" s="7">
        <v>0</v>
      </c>
      <c r="AO77" s="7">
        <v>0</v>
      </c>
      <c r="AP77" s="7">
        <v>0</v>
      </c>
      <c r="AQ77" s="22">
        <v>8199.2799999999697</v>
      </c>
      <c r="AR77" s="23">
        <f>SUM(AN77:AQ77)</f>
        <v>8199.2799999999697</v>
      </c>
      <c r="AS77" s="12">
        <v>13209</v>
      </c>
      <c r="AT77" s="12">
        <v>14977</v>
      </c>
      <c r="AU77" s="35">
        <v>16885</v>
      </c>
      <c r="AV77" s="837"/>
      <c r="AW77" s="23">
        <f>SUM(AS77:AV77)</f>
        <v>45071</v>
      </c>
      <c r="AX77" s="12"/>
      <c r="AY77" s="12"/>
      <c r="AZ77" s="12"/>
      <c r="BA77" s="35"/>
      <c r="BB77" s="23">
        <f>SUM(AX77:BA77)</f>
        <v>0</v>
      </c>
      <c r="BC77" s="12"/>
      <c r="BD77" s="12"/>
      <c r="BE77" s="12"/>
      <c r="BF77" s="35"/>
      <c r="BG77" s="23">
        <f>SUM(BC77:BF77)</f>
        <v>0</v>
      </c>
      <c r="BH77" s="12"/>
      <c r="BI77" s="12"/>
      <c r="BJ77" s="12"/>
      <c r="BK77" s="35"/>
      <c r="BL77" s="23">
        <f>SUM(BH77:BK77)</f>
        <v>0</v>
      </c>
      <c r="BM77" s="12"/>
      <c r="BN77" s="12"/>
      <c r="BO77" s="12"/>
      <c r="BP77" s="35"/>
      <c r="BQ77" s="23">
        <f>SUM(BM77:BP77)</f>
        <v>0</v>
      </c>
      <c r="BR77" s="12"/>
      <c r="BS77" s="12">
        <f>358-203</f>
        <v>155</v>
      </c>
      <c r="BT77" s="12">
        <v>203</v>
      </c>
      <c r="BU77" s="35">
        <v>202</v>
      </c>
      <c r="BV77" s="23">
        <f>SUM(BS77:BU77)</f>
        <v>560</v>
      </c>
      <c r="BW77" s="12">
        <v>202</v>
      </c>
      <c r="BX77" s="12"/>
      <c r="BY77" s="12"/>
      <c r="BZ77" s="35"/>
      <c r="CA77" s="23">
        <f>SUM(BW77:BZ77)</f>
        <v>202</v>
      </c>
      <c r="CB77" s="12"/>
      <c r="CC77" s="12"/>
      <c r="CD77" s="12"/>
      <c r="CE77" s="35"/>
      <c r="CF77" s="23">
        <f>SUM(CB77:CE77)</f>
        <v>0</v>
      </c>
      <c r="CI77" s="842"/>
      <c r="CJ77" s="842"/>
      <c r="CK77" s="842"/>
      <c r="CL77" s="842"/>
      <c r="CM77" s="842"/>
      <c r="CN77" s="842"/>
    </row>
    <row r="78" spans="2:93" s="97" customFormat="1" ht="10.15">
      <c r="B78" s="98"/>
      <c r="C78" s="99" t="s">
        <v>21</v>
      </c>
      <c r="D78" s="100"/>
      <c r="E78" s="99"/>
      <c r="F78" s="99"/>
      <c r="G78" s="99"/>
      <c r="H78" s="99"/>
      <c r="I78" s="100"/>
      <c r="J78" s="99"/>
      <c r="K78" s="99"/>
      <c r="L78" s="99"/>
      <c r="M78" s="99"/>
      <c r="N78" s="100"/>
      <c r="O78" s="99"/>
      <c r="P78" s="99"/>
      <c r="Q78" s="99"/>
      <c r="R78" s="99"/>
      <c r="S78" s="100"/>
      <c r="T78" s="99"/>
      <c r="U78" s="99"/>
      <c r="V78" s="99"/>
      <c r="W78" s="99"/>
      <c r="X78" s="100"/>
      <c r="Y78" s="99">
        <v>5.5E-2</v>
      </c>
      <c r="Z78" s="99">
        <v>9.6000000000000002E-2</v>
      </c>
      <c r="AA78" s="236">
        <v>9.6000000000000002E-2</v>
      </c>
      <c r="AB78" s="99">
        <v>9.6000000000000002E-2</v>
      </c>
      <c r="AC78" s="100"/>
      <c r="AD78" s="99"/>
      <c r="AE78" s="99"/>
      <c r="AF78" s="99"/>
      <c r="AG78" s="99"/>
      <c r="AH78" s="100"/>
      <c r="AI78" s="99"/>
      <c r="AJ78" s="99"/>
      <c r="AK78" s="99"/>
      <c r="AL78" s="99"/>
      <c r="AM78" s="100"/>
      <c r="AN78" s="99"/>
      <c r="AO78" s="99"/>
      <c r="AP78" s="99"/>
      <c r="AQ78" s="99"/>
      <c r="AR78" s="100"/>
      <c r="AS78" s="99"/>
      <c r="AT78" s="99"/>
      <c r="AU78" s="99"/>
      <c r="AV78" s="99"/>
      <c r="AW78" s="100"/>
      <c r="AX78" s="99"/>
      <c r="AY78" s="99"/>
      <c r="AZ78" s="99"/>
      <c r="BA78" s="99"/>
      <c r="BB78" s="100"/>
      <c r="BC78" s="99"/>
      <c r="BD78" s="99"/>
      <c r="BE78" s="99"/>
      <c r="BF78" s="99"/>
      <c r="BG78" s="100"/>
      <c r="BH78" s="99"/>
      <c r="BI78" s="99"/>
      <c r="BJ78" s="99"/>
      <c r="BK78" s="99"/>
      <c r="BL78" s="100"/>
      <c r="BM78" s="99"/>
      <c r="BN78" s="99"/>
      <c r="BO78" s="99"/>
      <c r="BP78" s="99"/>
      <c r="BQ78" s="100"/>
      <c r="BR78" s="99"/>
      <c r="BS78" s="99"/>
      <c r="BT78" s="99"/>
      <c r="BU78" s="99"/>
      <c r="BV78" s="100"/>
      <c r="BW78" s="99"/>
      <c r="BX78" s="99"/>
      <c r="BY78" s="99"/>
      <c r="BZ78" s="99"/>
      <c r="CA78" s="100"/>
      <c r="CB78" s="99"/>
      <c r="CC78" s="99"/>
      <c r="CD78" s="99"/>
      <c r="CE78" s="99"/>
      <c r="CF78" s="100"/>
      <c r="CI78" s="181"/>
      <c r="CJ78" s="181"/>
      <c r="CK78" s="181"/>
      <c r="CL78" s="181"/>
      <c r="CM78" s="181"/>
      <c r="CN78" s="181"/>
    </row>
    <row r="79" spans="2:93" s="181" customFormat="1">
      <c r="B79" s="98"/>
      <c r="C79" s="99" t="s">
        <v>356</v>
      </c>
      <c r="D79" s="808"/>
      <c r="I79" s="808"/>
      <c r="J79" s="99">
        <f t="shared" ref="J79:AC79" si="71">J66/E66-1</f>
        <v>0.17260251921606495</v>
      </c>
      <c r="K79" s="99">
        <f t="shared" si="71"/>
        <v>0.16694980694980699</v>
      </c>
      <c r="L79" s="99">
        <f t="shared" si="71"/>
        <v>0.15486897330088523</v>
      </c>
      <c r="M79" s="99">
        <f t="shared" si="71"/>
        <v>0.14282691493863742</v>
      </c>
      <c r="N79" s="100">
        <f t="shared" si="71"/>
        <v>0.15870386569636508</v>
      </c>
      <c r="O79" s="99">
        <f t="shared" si="71"/>
        <v>0.14681858741162745</v>
      </c>
      <c r="P79" s="99">
        <f t="shared" si="71"/>
        <v>9.8861831656961385E-2</v>
      </c>
      <c r="Q79" s="99">
        <f t="shared" si="71"/>
        <v>6.0621793305643878E-2</v>
      </c>
      <c r="R79" s="99">
        <f t="shared" si="71"/>
        <v>5.8384249830278234E-2</v>
      </c>
      <c r="S79" s="100">
        <f t="shared" si="71"/>
        <v>8.9493382163968072E-2</v>
      </c>
      <c r="T79" s="99">
        <f t="shared" si="71"/>
        <v>6.2724443380416606E-2</v>
      </c>
      <c r="U79" s="99">
        <f t="shared" si="71"/>
        <v>5.5522100445622113E-2</v>
      </c>
      <c r="V79" s="99">
        <f t="shared" si="71"/>
        <v>6.5708773647384033E-2</v>
      </c>
      <c r="W79" s="99">
        <f t="shared" si="71"/>
        <v>0.13473088809843148</v>
      </c>
      <c r="X79" s="100">
        <f t="shared" si="71"/>
        <v>7.9930706571818222E-2</v>
      </c>
      <c r="Y79" s="99">
        <f t="shared" si="71"/>
        <v>0.12215589096643398</v>
      </c>
      <c r="Z79" s="99">
        <f t="shared" si="71"/>
        <v>0.19979461433135559</v>
      </c>
      <c r="AA79" s="236">
        <f t="shared" si="71"/>
        <v>0.20104833698089752</v>
      </c>
      <c r="AB79" s="99">
        <f t="shared" si="71"/>
        <v>0.16881214830802427</v>
      </c>
      <c r="AC79" s="100">
        <f t="shared" si="71"/>
        <v>0.17306038307690197</v>
      </c>
      <c r="AD79" s="99">
        <f t="shared" ref="AD79:BI79" si="72">AD66/Y66-1</f>
        <v>0.15558343789209528</v>
      </c>
      <c r="AE79" s="99">
        <f t="shared" si="72"/>
        <v>0.10886828340465993</v>
      </c>
      <c r="AF79" s="99">
        <f t="shared" si="72"/>
        <v>0.10885899397102494</v>
      </c>
      <c r="AG79" s="99">
        <f t="shared" si="72"/>
        <v>9.3451164017674504E-2</v>
      </c>
      <c r="AH79" s="100">
        <f t="shared" si="72"/>
        <v>0.11561759896654666</v>
      </c>
      <c r="AI79" s="99">
        <f t="shared" si="72"/>
        <v>9.0988056460369116E-2</v>
      </c>
      <c r="AJ79" s="99">
        <f t="shared" si="72"/>
        <v>0.11389609554235736</v>
      </c>
      <c r="AK79" s="99">
        <f t="shared" si="72"/>
        <v>0.10999979712320718</v>
      </c>
      <c r="AL79" s="99">
        <f t="shared" si="72"/>
        <v>0.12167269802975467</v>
      </c>
      <c r="AM79" s="100">
        <f t="shared" si="72"/>
        <v>0.10940955560191945</v>
      </c>
      <c r="AN79" s="99">
        <f t="shared" si="72"/>
        <v>0.14148089171974521</v>
      </c>
      <c r="AO79" s="99">
        <f t="shared" si="72"/>
        <v>0.14459779407518614</v>
      </c>
      <c r="AP79" s="99">
        <f t="shared" si="72"/>
        <v>0.11523769488055846</v>
      </c>
      <c r="AQ79" s="99">
        <f t="shared" si="72"/>
        <v>0.2135790077430455</v>
      </c>
      <c r="AR79" s="100">
        <f t="shared" si="72"/>
        <v>0.1544034678602324</v>
      </c>
      <c r="AS79" s="99">
        <f t="shared" si="72"/>
        <v>0.4251063681383831</v>
      </c>
      <c r="AT79" s="99">
        <f t="shared" si="72"/>
        <v>0.4045709096412895</v>
      </c>
      <c r="AU79" s="99">
        <f t="shared" si="72"/>
        <v>0.41368120882362591</v>
      </c>
      <c r="AV79" s="99">
        <f t="shared" si="72"/>
        <v>0.28447155432149818</v>
      </c>
      <c r="AW79" s="100">
        <f t="shared" si="72"/>
        <v>0.37851321796714954</v>
      </c>
      <c r="AX79" s="99">
        <f t="shared" si="72"/>
        <v>6.6648720741003586E-2</v>
      </c>
      <c r="AY79" s="99">
        <f t="shared" si="72"/>
        <v>7.4078065134099536E-2</v>
      </c>
      <c r="AZ79" s="99">
        <f t="shared" si="72"/>
        <v>7.2884303269186157E-2</v>
      </c>
      <c r="BA79" s="99">
        <f t="shared" si="72"/>
        <v>7.2198139566972186E-2</v>
      </c>
      <c r="BB79" s="100">
        <f t="shared" si="72"/>
        <v>7.149694513052629E-2</v>
      </c>
      <c r="BC79" s="99">
        <f t="shared" si="72"/>
        <v>7.7121618831302863E-2</v>
      </c>
      <c r="BD79" s="99">
        <f t="shared" si="72"/>
        <v>7.0997803961786676E-2</v>
      </c>
      <c r="BE79" s="99">
        <f t="shared" si="72"/>
        <v>3.9633915740110437E-2</v>
      </c>
      <c r="BF79" s="99">
        <f t="shared" si="72"/>
        <v>5.4532000686341897E-2</v>
      </c>
      <c r="BG79" s="100">
        <f t="shared" si="72"/>
        <v>6.0232824890535941E-2</v>
      </c>
      <c r="BH79" s="99">
        <f t="shared" si="72"/>
        <v>6.6615546822582195E-2</v>
      </c>
      <c r="BI79" s="99">
        <f t="shared" si="72"/>
        <v>0.11046463216620173</v>
      </c>
      <c r="BJ79" s="99">
        <f t="shared" ref="BJ79:CF79" si="73">BJ66/BE66-1</f>
        <v>0.14153718235202417</v>
      </c>
      <c r="BK79" s="99">
        <f t="shared" si="73"/>
        <v>0.15570561256139848</v>
      </c>
      <c r="BL79" s="100">
        <f t="shared" si="73"/>
        <v>0.11910142749030617</v>
      </c>
      <c r="BM79" s="99">
        <f t="shared" si="73"/>
        <v>0.14191429027877622</v>
      </c>
      <c r="BN79" s="99">
        <f t="shared" si="73"/>
        <v>9.4395860866631098E-2</v>
      </c>
      <c r="BO79" s="99">
        <f t="shared" si="73"/>
        <v>7.4167144665082452E-2</v>
      </c>
      <c r="BP79" s="99">
        <f t="shared" si="73"/>
        <v>4.1929182358945383E-2</v>
      </c>
      <c r="BQ79" s="100">
        <f t="shared" si="73"/>
        <v>8.6436077505472664E-2</v>
      </c>
      <c r="BR79" s="99">
        <f t="shared" si="73"/>
        <v>4.150745420364621E-2</v>
      </c>
      <c r="BS79" s="99">
        <f t="shared" si="73"/>
        <v>2.450325453922586E-2</v>
      </c>
      <c r="BT79" s="99">
        <f t="shared" si="73"/>
        <v>-1.2375083701336997E-3</v>
      </c>
      <c r="BU79" s="99">
        <f t="shared" si="73"/>
        <v>-1.3537822293913426E-2</v>
      </c>
      <c r="BV79" s="100">
        <f t="shared" si="73"/>
        <v>1.2532271829874153E-2</v>
      </c>
      <c r="BW79" s="99">
        <f t="shared" si="73"/>
        <v>-2.4317365168916694E-2</v>
      </c>
      <c r="BX79" s="99">
        <f t="shared" si="73"/>
        <v>-2.5173673518863793E-2</v>
      </c>
      <c r="BY79" s="99">
        <f t="shared" si="73"/>
        <v>-2.468688737450464E-2</v>
      </c>
      <c r="BZ79" s="99">
        <f t="shared" si="73"/>
        <v>-2.9553961269112916E-2</v>
      </c>
      <c r="CA79" s="100">
        <f t="shared" si="73"/>
        <v>-2.5917882764506683E-2</v>
      </c>
      <c r="CB79" s="99">
        <f t="shared" si="73"/>
        <v>3.6721952173165207E-2</v>
      </c>
      <c r="CC79" s="99">
        <f t="shared" si="73"/>
        <v>3.6604056094818871E-2</v>
      </c>
      <c r="CD79" s="99">
        <f t="shared" si="73"/>
        <v>5.4618347575055459E-2</v>
      </c>
      <c r="CE79" s="99">
        <f t="shared" si="73"/>
        <v>3.7322199355787511E-2</v>
      </c>
      <c r="CF79" s="100">
        <f t="shared" si="73"/>
        <v>4.1300144522961491E-2</v>
      </c>
      <c r="CI79" s="729"/>
      <c r="CJ79" s="729"/>
      <c r="CK79" s="729"/>
      <c r="CL79" s="729"/>
      <c r="CM79" s="729"/>
      <c r="CN79" s="729"/>
    </row>
    <row r="80" spans="2:93" s="181" customFormat="1">
      <c r="B80" s="98"/>
      <c r="C80" s="99" t="s">
        <v>357</v>
      </c>
      <c r="D80" s="808"/>
      <c r="F80" s="99">
        <f>F66/E66-1</f>
        <v>4.2295464606221689E-2</v>
      </c>
      <c r="G80" s="99">
        <f>G66/F66-1</f>
        <v>9.4710424710424679E-2</v>
      </c>
      <c r="H80" s="99">
        <f>H66/G66-1</f>
        <v>1.0580890911016105E-4</v>
      </c>
      <c r="I80" s="808"/>
      <c r="J80" s="99">
        <f>J66/H66-1</f>
        <v>2.7577937649880147E-2</v>
      </c>
      <c r="K80" s="99">
        <f>K66/J66-1</f>
        <v>3.7270917701969886E-2</v>
      </c>
      <c r="L80" s="99">
        <f>L66/K66-1</f>
        <v>8.3377448385389075E-2</v>
      </c>
      <c r="M80" s="99">
        <f>M66/L66-1</f>
        <v>-1.0322501832396802E-2</v>
      </c>
      <c r="N80" s="808"/>
      <c r="O80" s="99">
        <f>O66/M66-1</f>
        <v>3.116706782694556E-2</v>
      </c>
      <c r="P80" s="99">
        <f>P66/O66-1</f>
        <v>-6.1048599473305654E-3</v>
      </c>
      <c r="Q80" s="99">
        <f>Q66/P66-1</f>
        <v>4.5676261592195511E-2</v>
      </c>
      <c r="R80" s="99">
        <f>R66/Q66-1</f>
        <v>-1.2410377494313063E-2</v>
      </c>
      <c r="S80" s="808"/>
      <c r="T80" s="99">
        <f>T66/R66-1</f>
        <v>3.5395649892121961E-2</v>
      </c>
      <c r="U80" s="99">
        <f>U66/T66-1</f>
        <v>-1.2840729894120329E-2</v>
      </c>
      <c r="V80" s="99">
        <f>V66/U66-1</f>
        <v>5.5767914194431834E-2</v>
      </c>
      <c r="W80" s="99">
        <f>W66/V66-1</f>
        <v>5.1552241225581552E-2</v>
      </c>
      <c r="X80" s="808"/>
      <c r="Y80" s="99">
        <f>Y66/W66-1</f>
        <v>2.3921477941365454E-2</v>
      </c>
      <c r="Z80" s="99">
        <f>Z66/Y66-1</f>
        <v>5.5457967377666284E-2</v>
      </c>
      <c r="AA80" s="236">
        <f>AA66/Z66-1</f>
        <v>5.6871136471707162E-2</v>
      </c>
      <c r="AB80" s="99">
        <f>AB66/AA66-1</f>
        <v>2.3328534149194669E-2</v>
      </c>
      <c r="AC80" s="808"/>
      <c r="AD80" s="99">
        <f>AD66/AB66-1</f>
        <v>1.2332651849897847E-2</v>
      </c>
      <c r="AE80" s="99">
        <f>AE66/AD66-1</f>
        <v>1.2790445168295417E-2</v>
      </c>
      <c r="AF80" s="99">
        <f>AF66/AE66-1</f>
        <v>5.6862282638993067E-2</v>
      </c>
      <c r="AG80" s="99">
        <f>AG66/AF66-1</f>
        <v>9.1091680022721278E-3</v>
      </c>
      <c r="AH80" s="808"/>
      <c r="AI80" s="99">
        <f>AI66/AG66-1</f>
        <v>1.0052271813429936E-2</v>
      </c>
      <c r="AJ80" s="99">
        <f>AJ66/AI66-1</f>
        <v>3.4056528662420371E-2</v>
      </c>
      <c r="AK80" s="99">
        <f>AK66/AJ66-1</f>
        <v>5.3165482858847701E-2</v>
      </c>
      <c r="AL80" s="99">
        <f>AL66/AK66-1</f>
        <v>1.9721090051724399E-2</v>
      </c>
      <c r="AM80" s="808"/>
      <c r="AN80" s="99">
        <f>AN66/AL66-1</f>
        <v>2.7889303125896214E-2</v>
      </c>
      <c r="AO80" s="99">
        <f>AO66/AN66-1</f>
        <v>3.6880100439422581E-2</v>
      </c>
      <c r="AP80" s="99">
        <f>AP66/AO66-1</f>
        <v>2.6150715571027439E-2</v>
      </c>
      <c r="AQ80" s="99">
        <f>AQ66/AP66-1</f>
        <v>0.10963977842603811</v>
      </c>
      <c r="AR80" s="808"/>
      <c r="AS80" s="99">
        <f>AS66/AQ66-1</f>
        <v>0.20705086548118401</v>
      </c>
      <c r="AT80" s="99">
        <f>AT66/AS66-1</f>
        <v>2.1938894123117114E-2</v>
      </c>
      <c r="AU80" s="99">
        <f>AU66/AT66-1</f>
        <v>3.2806513409961768E-2</v>
      </c>
      <c r="AV80" s="99">
        <f>AV66/AU66-1</f>
        <v>8.2193368884766471E-3</v>
      </c>
      <c r="AW80" s="808"/>
      <c r="AX80" s="99">
        <f>AX66/AV66-1</f>
        <v>2.3571617472892825E-3</v>
      </c>
      <c r="AY80" s="99">
        <f>AY66/AX66-1</f>
        <v>2.905682887099359E-2</v>
      </c>
      <c r="AZ80" s="99">
        <f>AZ66/AY66-1</f>
        <v>3.1658621958152722E-2</v>
      </c>
      <c r="BA80" s="99">
        <f>BA66/AZ66-1</f>
        <v>7.5745296984235377E-3</v>
      </c>
      <c r="BB80" s="808"/>
      <c r="BC80" s="99">
        <f>BC66/BA66-1</f>
        <v>6.9599347975290993E-3</v>
      </c>
      <c r="BD80" s="99">
        <f>BD66/BC66-1</f>
        <v>2.320627922084828E-2</v>
      </c>
      <c r="BE80" s="99">
        <f>BE66/BD66-1</f>
        <v>1.4467713060493104E-3</v>
      </c>
      <c r="BF80" s="99">
        <f>BF66/BE66-1</f>
        <v>2.2013199605051215E-2</v>
      </c>
      <c r="BG80" s="808"/>
      <c r="BH80" s="99">
        <f>BH66/BF66-1</f>
        <v>1.8498367791077275E-2</v>
      </c>
      <c r="BI80" s="99">
        <f>BI66/BH66-1</f>
        <v>6.5270788401629476E-2</v>
      </c>
      <c r="BJ80" s="99">
        <f>BJ66/BI66-1</f>
        <v>2.946882996372624E-2</v>
      </c>
      <c r="BK80" s="99">
        <f>BK66/BJ66-1</f>
        <v>3.469813261952237E-2</v>
      </c>
      <c r="BL80" s="808"/>
      <c r="BM80" s="99">
        <f>BM66/BK66-1</f>
        <v>6.3443736580901522E-3</v>
      </c>
      <c r="BN80" s="99">
        <f>BN66/BM66-1</f>
        <v>2.0941721680584058E-2</v>
      </c>
      <c r="BO80" s="99">
        <f>BO66/BN66-1</f>
        <v>1.0440219253168959E-2</v>
      </c>
      <c r="BP80" s="99">
        <f>BP66/BO66-1</f>
        <v>3.6447164325854597E-3</v>
      </c>
      <c r="BQ80" s="808"/>
      <c r="BR80" s="99">
        <f>BR66/BP66-1</f>
        <v>5.937048704068193E-3</v>
      </c>
      <c r="BS80" s="99">
        <f>BS66/BR66-1</f>
        <v>4.2732890053058803E-3</v>
      </c>
      <c r="BT80" s="99">
        <f>BT66/BS66-1</f>
        <v>-1.494720826610707E-2</v>
      </c>
      <c r="BU80" s="99">
        <f>BU66/BT66-1</f>
        <v>-8.7157247969583684E-3</v>
      </c>
      <c r="BV80" s="808"/>
      <c r="BW80" s="99">
        <f>BW66/BU66-1</f>
        <v>-5.0553053781484669E-3</v>
      </c>
      <c r="BX80" s="99">
        <f>BX66/BW66-1</f>
        <v>3.3918880534964391E-3</v>
      </c>
      <c r="BY80" s="99">
        <f>BY66/BX66-1</f>
        <v>-1.4455315466895158E-2</v>
      </c>
      <c r="BZ80" s="99">
        <f>BZ66/BY66-1</f>
        <v>-1.3662499074388768E-2</v>
      </c>
      <c r="CA80" s="808"/>
      <c r="CB80" s="99">
        <f>CB66/BZ66-1</f>
        <v>6.2893726127865701E-2</v>
      </c>
      <c r="CC80" s="99">
        <f>CC66/CB66-1</f>
        <v>3.2777822719047833E-3</v>
      </c>
      <c r="CD80" s="99">
        <f>CD66/CC66-1</f>
        <v>2.6716570831266662E-3</v>
      </c>
      <c r="CE80" s="99">
        <f>CE66/CD66-1</f>
        <v>-2.9838815036896338E-2</v>
      </c>
      <c r="CF80" s="808"/>
      <c r="CI80" s="729"/>
      <c r="CJ80" s="729"/>
      <c r="CK80" s="729"/>
      <c r="CL80" s="729"/>
      <c r="CM80" s="729"/>
      <c r="CN80" s="729"/>
    </row>
    <row r="81" spans="2:92" s="181" customFormat="1">
      <c r="B81" s="98"/>
      <c r="C81" s="12" t="s">
        <v>701</v>
      </c>
      <c r="D81" s="808"/>
      <c r="F81" s="99"/>
      <c r="G81" s="99"/>
      <c r="H81" s="99"/>
      <c r="I81" s="808"/>
      <c r="J81" s="99"/>
      <c r="K81" s="99"/>
      <c r="L81" s="99"/>
      <c r="M81" s="99"/>
      <c r="N81" s="808"/>
      <c r="O81" s="99"/>
      <c r="P81" s="99"/>
      <c r="Q81" s="99"/>
      <c r="R81" s="99"/>
      <c r="S81" s="808"/>
      <c r="T81" s="99"/>
      <c r="U81" s="99"/>
      <c r="V81" s="99"/>
      <c r="W81" s="99"/>
      <c r="X81" s="808"/>
      <c r="Y81" s="99"/>
      <c r="Z81" s="99"/>
      <c r="AA81" s="236"/>
      <c r="AB81" s="99"/>
      <c r="AC81" s="808"/>
      <c r="AD81" s="99"/>
      <c r="AE81" s="99"/>
      <c r="AF81" s="99"/>
      <c r="AG81" s="99"/>
      <c r="AH81" s="808"/>
      <c r="AI81" s="99"/>
      <c r="AJ81" s="99"/>
      <c r="AK81" s="99"/>
      <c r="AL81" s="99"/>
      <c r="AM81" s="808"/>
      <c r="AN81" s="99"/>
      <c r="AO81" s="99"/>
      <c r="AP81" s="99"/>
      <c r="AQ81" s="99"/>
      <c r="AR81" s="808"/>
      <c r="AS81" s="99"/>
      <c r="AT81" s="99"/>
      <c r="AU81" s="99"/>
      <c r="AV81" s="99"/>
      <c r="AW81" s="808"/>
      <c r="AX81" s="99"/>
      <c r="AY81" s="99"/>
      <c r="AZ81" s="99"/>
      <c r="BA81" s="99"/>
      <c r="BB81" s="808"/>
      <c r="BC81" s="99"/>
      <c r="BD81" s="99"/>
      <c r="BE81" s="99"/>
      <c r="BF81" s="99"/>
      <c r="BG81" s="808"/>
      <c r="BH81" s="12"/>
      <c r="BI81" s="12"/>
      <c r="BJ81" s="12"/>
      <c r="BK81" s="12"/>
      <c r="BL81" s="23"/>
      <c r="BM81" s="12"/>
      <c r="BN81" s="12"/>
      <c r="BO81" s="12"/>
      <c r="BP81" s="12"/>
      <c r="BQ81" s="23"/>
      <c r="BR81" s="12"/>
      <c r="BS81" s="12">
        <v>155</v>
      </c>
      <c r="BT81" s="12">
        <v>203</v>
      </c>
      <c r="BU81" s="12">
        <v>202</v>
      </c>
      <c r="BV81" s="23"/>
      <c r="BW81" s="12">
        <v>202</v>
      </c>
      <c r="BX81" s="12"/>
      <c r="BY81" s="12"/>
      <c r="BZ81" s="12"/>
      <c r="CA81" s="23"/>
      <c r="CB81" s="12"/>
      <c r="CC81" s="12"/>
      <c r="CD81" s="12"/>
      <c r="CE81" s="12"/>
      <c r="CF81" s="23"/>
      <c r="CI81" s="729"/>
      <c r="CJ81" s="729"/>
      <c r="CK81" s="729"/>
      <c r="CL81" s="729"/>
      <c r="CM81" s="729"/>
      <c r="CN81" s="729"/>
    </row>
    <row r="82" spans="2:92" s="7" customFormat="1" ht="12.75">
      <c r="B82" s="167" t="s">
        <v>51</v>
      </c>
      <c r="C82" s="168"/>
      <c r="D82" s="833">
        <f>'Income Statement'!D17</f>
        <v>21318</v>
      </c>
      <c r="E82" s="168">
        <f>'Income Statement'!E17</f>
        <v>4582</v>
      </c>
      <c r="F82" s="168">
        <f>'Income Statement'!F17</f>
        <v>4378</v>
      </c>
      <c r="G82" s="168">
        <f>'Income Statement'!G17</f>
        <v>5289</v>
      </c>
      <c r="H82" s="168">
        <f>'Income Statement'!H17</f>
        <v>4849</v>
      </c>
      <c r="I82" s="833">
        <f>'Income Statement'!I17</f>
        <v>19098</v>
      </c>
      <c r="J82" s="168">
        <f>'Income Statement'!J17</f>
        <v>4892</v>
      </c>
      <c r="K82" s="168">
        <f>'Income Statement'!K17</f>
        <v>5054</v>
      </c>
      <c r="L82" s="168">
        <f>'Income Statement'!L17</f>
        <v>4692</v>
      </c>
      <c r="M82" s="168">
        <f>'Income Statement'!M17</f>
        <v>4102</v>
      </c>
      <c r="N82" s="833">
        <f>'Income Statement'!N17</f>
        <v>18740</v>
      </c>
      <c r="O82" s="168">
        <f>'Income Statement'!O17</f>
        <v>4275</v>
      </c>
      <c r="P82" s="168">
        <f>'Income Statement'!P17</f>
        <v>4925</v>
      </c>
      <c r="Q82" s="168">
        <f>'Income Statement'!Q17</f>
        <v>5612</v>
      </c>
      <c r="R82" s="168">
        <f>'Income Statement'!R17</f>
        <v>5742</v>
      </c>
      <c r="S82" s="833">
        <f>'Income Statement'!S17</f>
        <v>20554</v>
      </c>
      <c r="T82" s="168">
        <f>'Income Statement'!T17</f>
        <v>6197</v>
      </c>
      <c r="U82" s="168">
        <f>'Income Statement'!U17</f>
        <v>5987</v>
      </c>
      <c r="V82" s="168">
        <f>'Income Statement'!V17</f>
        <v>5761</v>
      </c>
      <c r="W82" s="168">
        <f>'Income Statement'!W17</f>
        <v>5283</v>
      </c>
      <c r="X82" s="833">
        <f>'Income Statement'!X17</f>
        <v>23228</v>
      </c>
      <c r="Y82" s="168">
        <f>'Income Statement'!Y17</f>
        <v>5682</v>
      </c>
      <c r="Z82" s="168">
        <f>'Income Statement'!Z17</f>
        <v>5771</v>
      </c>
      <c r="AA82" s="843">
        <f>'Income Statement'!AA17</f>
        <v>5594</v>
      </c>
      <c r="AB82" s="168">
        <f>'Income Statement'!AB17</f>
        <v>5496</v>
      </c>
      <c r="AC82" s="835">
        <f>SUM(Y82:AB82)</f>
        <v>22543</v>
      </c>
      <c r="AD82" s="168">
        <f>'Income Statement'!AD17</f>
        <v>5591</v>
      </c>
      <c r="AE82" s="834">
        <f>'Income Statement'!AE17</f>
        <v>5056</v>
      </c>
      <c r="AF82" s="834">
        <f>'Income Statement'!AF17</f>
        <v>5207</v>
      </c>
      <c r="AG82" s="834">
        <f>'Income Statement'!AG17</f>
        <v>4971</v>
      </c>
      <c r="AH82" s="835">
        <f>SUM(AD82:AG82)</f>
        <v>20825</v>
      </c>
      <c r="AI82" s="834">
        <f>'Income Statement'!AI17</f>
        <v>4851</v>
      </c>
      <c r="AJ82" s="834">
        <f>'Income Statement'!AJ17</f>
        <v>5444</v>
      </c>
      <c r="AK82" s="834">
        <f>'Income Statement'!AK17</f>
        <v>5802</v>
      </c>
      <c r="AL82" s="834">
        <f>'Income Statement'!AL17</f>
        <v>5705</v>
      </c>
      <c r="AM82" s="835">
        <f>SUM(AI82:AL82)</f>
        <v>21802</v>
      </c>
      <c r="AN82" s="834">
        <f>'Income Statement'!AN17</f>
        <v>6089</v>
      </c>
      <c r="AO82" s="834">
        <f>'Income Statement'!AO17</f>
        <v>6691</v>
      </c>
      <c r="AP82" s="834">
        <f>'Income Statement'!AP17</f>
        <v>6557</v>
      </c>
      <c r="AQ82" s="834">
        <f>'Income Statement'!AQ17</f>
        <v>5728</v>
      </c>
      <c r="AR82" s="835">
        <f>SUM(AN82:AQ82)</f>
        <v>25065</v>
      </c>
      <c r="AS82" s="834">
        <f>'Income Statement'!AS17</f>
        <v>6558</v>
      </c>
      <c r="AT82" s="834">
        <f>'Income Statement'!AT17</f>
        <v>6984</v>
      </c>
      <c r="AU82" s="834">
        <f>'Income Statement'!AU17</f>
        <v>6541</v>
      </c>
      <c r="AV82" s="834">
        <f>'Income Statement'!AV17</f>
        <v>6204</v>
      </c>
      <c r="AW82" s="835">
        <f>SUM(AS82:AV82)</f>
        <v>26287</v>
      </c>
      <c r="AX82" s="834">
        <f>'Income Statement'!AX17</f>
        <v>6612</v>
      </c>
      <c r="AY82" s="834">
        <f>'Income Statement'!AY17</f>
        <v>6366</v>
      </c>
      <c r="AZ82" s="834">
        <f>'Income Statement'!AZ17</f>
        <v>6290</v>
      </c>
      <c r="BA82" s="834">
        <f>'Income Statement'!BA17</f>
        <v>5755</v>
      </c>
      <c r="BB82" s="835">
        <f>SUM(AX82:BA82)</f>
        <v>25023</v>
      </c>
      <c r="BC82" s="834">
        <f>'Income Statement'!BC17</f>
        <v>5394</v>
      </c>
      <c r="BD82" s="834">
        <f>'Income Statement'!BD17</f>
        <v>5532</v>
      </c>
      <c r="BE82" s="834">
        <f>'Income Statement'!BE17</f>
        <v>5544</v>
      </c>
      <c r="BF82" s="834">
        <f>'Income Statement'!BF17</f>
        <v>5376</v>
      </c>
      <c r="BG82" s="835">
        <f>SUM(BC82:BF82)</f>
        <v>21846</v>
      </c>
      <c r="BH82" s="834">
        <f>'Income Statement'!BH17</f>
        <v>5214</v>
      </c>
      <c r="BI82" s="834">
        <f>'Income Statement'!BI17</f>
        <v>6233</v>
      </c>
      <c r="BJ82" s="834">
        <f>'Income Statement'!BJ17</f>
        <v>6008</v>
      </c>
      <c r="BK82" s="834">
        <f>'Income Statement'!BK17</f>
        <v>6024</v>
      </c>
      <c r="BL82" s="835">
        <f>SUM(BH82:BK82)</f>
        <v>23479</v>
      </c>
      <c r="BM82" s="834">
        <f>'Income Statement'!BM17</f>
        <v>5763</v>
      </c>
      <c r="BN82" s="834">
        <f>'Income Statement'!BN17</f>
        <v>4696</v>
      </c>
      <c r="BO82" s="834">
        <f>'Income Statement'!BO17</f>
        <v>5394</v>
      </c>
      <c r="BP82" s="834">
        <f>'Income Statement'!BP17</f>
        <v>5274</v>
      </c>
      <c r="BQ82" s="835">
        <f>SUM(BM82:BP82)</f>
        <v>21127</v>
      </c>
      <c r="BR82" s="834">
        <f>'Income Statement'!BR17</f>
        <v>6465</v>
      </c>
      <c r="BS82" s="834">
        <f>'Income Statement'!BS17</f>
        <v>6265</v>
      </c>
      <c r="BT82" s="834">
        <f>'Income Statement'!BT17</f>
        <v>7146</v>
      </c>
      <c r="BU82" s="834">
        <f>'Income Statement'!BU17</f>
        <v>7912</v>
      </c>
      <c r="BV82" s="835">
        <f>SUM(BR82:BU82)</f>
        <v>27788</v>
      </c>
      <c r="BW82" s="834">
        <v>8000</v>
      </c>
      <c r="BX82" s="834">
        <v>8000</v>
      </c>
      <c r="BY82" s="834">
        <v>8000</v>
      </c>
      <c r="BZ82" s="834">
        <v>8000</v>
      </c>
      <c r="CA82" s="835">
        <f>SUM(BW82:BZ82)</f>
        <v>32000</v>
      </c>
      <c r="CB82" s="834">
        <v>5500</v>
      </c>
      <c r="CC82" s="834">
        <v>5500</v>
      </c>
      <c r="CD82" s="834">
        <v>5500</v>
      </c>
      <c r="CE82" s="834">
        <v>5500</v>
      </c>
      <c r="CF82" s="835">
        <f>SUM(CB82:CE82)</f>
        <v>22000</v>
      </c>
      <c r="CI82" s="840"/>
      <c r="CJ82" s="840"/>
      <c r="CK82" s="840"/>
      <c r="CL82" s="840"/>
      <c r="CM82" s="840"/>
      <c r="CN82" s="840"/>
    </row>
    <row r="83" spans="2:92" s="7" customFormat="1" ht="12.75">
      <c r="B83" s="11"/>
      <c r="C83" s="12" t="s">
        <v>354</v>
      </c>
      <c r="D83" s="9"/>
      <c r="I83" s="9"/>
      <c r="N83" s="9"/>
      <c r="S83" s="9"/>
      <c r="X83" s="9"/>
      <c r="AA83" s="279"/>
      <c r="AC83" s="9"/>
      <c r="AH83" s="9"/>
      <c r="AM83" s="9"/>
      <c r="AR83" s="9"/>
      <c r="AW83" s="9"/>
      <c r="BB83" s="9"/>
      <c r="BG83" s="9"/>
      <c r="BL83" s="9"/>
      <c r="BQ83" s="9"/>
      <c r="BR83" s="12"/>
      <c r="BS83" s="12"/>
      <c r="BT83" s="12"/>
      <c r="BU83" s="12"/>
      <c r="BV83" s="9"/>
      <c r="CA83" s="9">
        <f>CA82/BV82-1</f>
        <v>0.15157621995105797</v>
      </c>
      <c r="CF83" s="9"/>
    </row>
    <row r="84" spans="2:92" s="97" customFormat="1" ht="10.15">
      <c r="B84" s="98"/>
      <c r="C84" s="99" t="s">
        <v>21</v>
      </c>
      <c r="D84" s="100"/>
      <c r="E84" s="99"/>
      <c r="F84" s="99"/>
      <c r="G84" s="99"/>
      <c r="H84" s="99"/>
      <c r="I84" s="100"/>
      <c r="J84" s="99"/>
      <c r="K84" s="99"/>
      <c r="L84" s="99"/>
      <c r="M84" s="99"/>
      <c r="N84" s="100"/>
      <c r="O84" s="99"/>
      <c r="P84" s="99"/>
      <c r="Q84" s="99"/>
      <c r="R84" s="99"/>
      <c r="S84" s="100"/>
      <c r="T84" s="99"/>
      <c r="U84" s="99"/>
      <c r="V84" s="99"/>
      <c r="W84" s="99"/>
      <c r="X84" s="100"/>
      <c r="Y84" s="99"/>
      <c r="Z84" s="99"/>
      <c r="AA84" s="236"/>
      <c r="AB84" s="99"/>
      <c r="AC84" s="100"/>
      <c r="AD84" s="99"/>
      <c r="AE84" s="99"/>
      <c r="AF84" s="99"/>
      <c r="AG84" s="99"/>
      <c r="AH84" s="100"/>
      <c r="AI84" s="99"/>
      <c r="AJ84" s="99"/>
      <c r="AK84" s="99"/>
      <c r="AL84" s="99"/>
      <c r="AM84" s="100"/>
      <c r="AN84" s="99"/>
      <c r="AO84" s="99"/>
      <c r="AP84" s="99"/>
      <c r="AQ84" s="99"/>
      <c r="AR84" s="100"/>
      <c r="AS84" s="99"/>
      <c r="AT84" s="99"/>
      <c r="AU84" s="99"/>
      <c r="AV84" s="99"/>
      <c r="AW84" s="100"/>
      <c r="AX84" s="99"/>
      <c r="AY84" s="99"/>
      <c r="AZ84" s="99"/>
      <c r="BA84" s="99"/>
      <c r="BB84" s="100"/>
      <c r="BC84" s="99"/>
      <c r="BD84" s="99"/>
      <c r="BE84" s="99"/>
      <c r="BF84" s="99"/>
      <c r="BG84" s="100"/>
      <c r="BH84" s="99"/>
      <c r="BI84" s="99"/>
      <c r="BJ84" s="99"/>
      <c r="BK84" s="99"/>
      <c r="BL84" s="100"/>
      <c r="BM84" s="99"/>
      <c r="BN84" s="99"/>
      <c r="BO84" s="99"/>
      <c r="BP84" s="99"/>
      <c r="BQ84" s="100"/>
      <c r="BR84" s="99"/>
      <c r="BS84" s="99"/>
      <c r="BT84" s="99"/>
      <c r="BU84" s="99"/>
      <c r="BV84" s="100"/>
      <c r="BW84" s="99"/>
      <c r="BX84" s="99"/>
      <c r="BY84" s="99"/>
      <c r="BZ84" s="99"/>
      <c r="CA84" s="100"/>
      <c r="CB84" s="99"/>
      <c r="CC84" s="99"/>
      <c r="CD84" s="99"/>
      <c r="CE84" s="99"/>
      <c r="CF84" s="100"/>
    </row>
    <row r="85" spans="2:92" s="7" customFormat="1" ht="12.75">
      <c r="B85" s="11"/>
      <c r="C85" s="12" t="s">
        <v>355</v>
      </c>
      <c r="D85" s="9"/>
      <c r="I85" s="9"/>
      <c r="N85" s="9"/>
      <c r="S85" s="9"/>
      <c r="X85" s="9"/>
      <c r="AA85" s="279"/>
      <c r="AC85" s="9"/>
      <c r="AH85" s="9"/>
      <c r="AM85" s="9"/>
      <c r="AR85" s="9"/>
      <c r="AW85" s="9"/>
      <c r="BB85" s="9"/>
      <c r="BG85" s="9"/>
      <c r="BL85" s="9"/>
      <c r="BQ85" s="9"/>
      <c r="BV85" s="9"/>
      <c r="CA85" s="9"/>
      <c r="CF85" s="9"/>
      <c r="CI85" s="842"/>
      <c r="CJ85" s="842"/>
      <c r="CK85" s="842"/>
      <c r="CL85" s="842"/>
      <c r="CM85" s="842"/>
      <c r="CN85" s="842"/>
    </row>
    <row r="86" spans="2:92" s="97" customFormat="1" ht="10.15">
      <c r="B86" s="98"/>
      <c r="C86" s="99" t="s">
        <v>21</v>
      </c>
      <c r="D86" s="100"/>
      <c r="E86" s="99"/>
      <c r="F86" s="99"/>
      <c r="G86" s="99"/>
      <c r="H86" s="99"/>
      <c r="I86" s="100"/>
      <c r="J86" s="99"/>
      <c r="K86" s="99"/>
      <c r="L86" s="99"/>
      <c r="M86" s="99"/>
      <c r="N86" s="100"/>
      <c r="O86" s="99"/>
      <c r="P86" s="99"/>
      <c r="Q86" s="99"/>
      <c r="R86" s="99"/>
      <c r="S86" s="100"/>
      <c r="T86" s="99"/>
      <c r="U86" s="99"/>
      <c r="V86" s="99"/>
      <c r="W86" s="99"/>
      <c r="X86" s="100"/>
      <c r="Y86" s="99"/>
      <c r="Z86" s="99"/>
      <c r="AA86" s="236"/>
      <c r="AB86" s="99"/>
      <c r="AC86" s="100"/>
      <c r="AD86" s="99"/>
      <c r="AE86" s="99"/>
      <c r="AF86" s="99"/>
      <c r="AG86" s="99"/>
      <c r="AH86" s="100"/>
      <c r="AI86" s="99"/>
      <c r="AJ86" s="99"/>
      <c r="AK86" s="99"/>
      <c r="AL86" s="99"/>
      <c r="AM86" s="100"/>
      <c r="AN86" s="99"/>
      <c r="AO86" s="99"/>
      <c r="AP86" s="99"/>
      <c r="AQ86" s="99"/>
      <c r="AR86" s="100"/>
      <c r="AS86" s="99"/>
      <c r="AT86" s="99"/>
      <c r="AU86" s="99"/>
      <c r="AV86" s="99"/>
      <c r="AW86" s="100"/>
      <c r="AX86" s="99"/>
      <c r="AY86" s="99"/>
      <c r="AZ86" s="99"/>
      <c r="BA86" s="99"/>
      <c r="BB86" s="100"/>
      <c r="BC86" s="99"/>
      <c r="BD86" s="99"/>
      <c r="BE86" s="99"/>
      <c r="BF86" s="99"/>
      <c r="BG86" s="100"/>
      <c r="BH86" s="99"/>
      <c r="BI86" s="99"/>
      <c r="BJ86" s="99"/>
      <c r="BK86" s="99"/>
      <c r="BL86" s="100"/>
      <c r="BM86" s="99"/>
      <c r="BN86" s="99"/>
      <c r="BO86" s="99"/>
      <c r="BP86" s="99"/>
      <c r="BQ86" s="100"/>
      <c r="BR86" s="99"/>
      <c r="BS86" s="99"/>
      <c r="BT86" s="99"/>
      <c r="BU86" s="99"/>
      <c r="BV86" s="100"/>
      <c r="BW86" s="99"/>
      <c r="BX86" s="99"/>
      <c r="BY86" s="99"/>
      <c r="BZ86" s="99"/>
      <c r="CA86" s="100"/>
      <c r="CB86" s="99"/>
      <c r="CC86" s="99"/>
      <c r="CD86" s="99"/>
      <c r="CE86" s="99"/>
      <c r="CF86" s="100"/>
      <c r="CI86" s="181"/>
      <c r="CJ86" s="181"/>
      <c r="CK86" s="181"/>
      <c r="CL86" s="181"/>
      <c r="CM86" s="181"/>
      <c r="CN86" s="181"/>
    </row>
    <row r="87" spans="2:92" s="181" customFormat="1">
      <c r="B87" s="98"/>
      <c r="C87" s="99" t="s">
        <v>356</v>
      </c>
      <c r="D87" s="808"/>
      <c r="I87" s="808"/>
      <c r="J87" s="99">
        <f t="shared" ref="J87:AO87" si="74">J82/E82-1</f>
        <v>6.76560453950239E-2</v>
      </c>
      <c r="K87" s="99">
        <f t="shared" si="74"/>
        <v>0.15440840566468705</v>
      </c>
      <c r="L87" s="99">
        <f t="shared" si="74"/>
        <v>-0.11287577992058995</v>
      </c>
      <c r="M87" s="99">
        <f t="shared" si="74"/>
        <v>-0.1540523819344195</v>
      </c>
      <c r="N87" s="100">
        <f t="shared" si="74"/>
        <v>-1.874541836841559E-2</v>
      </c>
      <c r="O87" s="99">
        <f t="shared" si="74"/>
        <v>-0.12612428454619784</v>
      </c>
      <c r="P87" s="99">
        <f t="shared" si="74"/>
        <v>-2.5524337158686183E-2</v>
      </c>
      <c r="Q87" s="99">
        <f t="shared" si="74"/>
        <v>0.19607843137254899</v>
      </c>
      <c r="R87" s="99">
        <f t="shared" si="74"/>
        <v>0.3998049731838127</v>
      </c>
      <c r="S87" s="100">
        <f t="shared" si="74"/>
        <v>9.6798292422625387E-2</v>
      </c>
      <c r="T87" s="99">
        <f t="shared" si="74"/>
        <v>0.44959064327485376</v>
      </c>
      <c r="U87" s="99">
        <f t="shared" si="74"/>
        <v>0.21563451776649756</v>
      </c>
      <c r="V87" s="99">
        <f t="shared" si="74"/>
        <v>2.6550249465431275E-2</v>
      </c>
      <c r="W87" s="99">
        <f t="shared" si="74"/>
        <v>-7.9937304075235138E-2</v>
      </c>
      <c r="X87" s="100">
        <f t="shared" si="74"/>
        <v>0.13009633161428424</v>
      </c>
      <c r="Y87" s="99">
        <f t="shared" si="74"/>
        <v>-8.3104728094239189E-2</v>
      </c>
      <c r="Z87" s="99">
        <f t="shared" si="74"/>
        <v>-3.6078169366961732E-2</v>
      </c>
      <c r="AA87" s="99">
        <f t="shared" si="74"/>
        <v>-2.898802291268876E-2</v>
      </c>
      <c r="AB87" s="99">
        <f t="shared" si="74"/>
        <v>4.0318001135718262E-2</v>
      </c>
      <c r="AC87" s="100">
        <f t="shared" si="74"/>
        <v>-2.9490270363354609E-2</v>
      </c>
      <c r="AD87" s="99">
        <f t="shared" si="74"/>
        <v>-1.601548750439985E-2</v>
      </c>
      <c r="AE87" s="99">
        <f t="shared" si="74"/>
        <v>-0.12389533876277936</v>
      </c>
      <c r="AF87" s="99">
        <f t="shared" si="74"/>
        <v>-6.9181265641759082E-2</v>
      </c>
      <c r="AG87" s="99">
        <f t="shared" si="74"/>
        <v>-9.5524017467248923E-2</v>
      </c>
      <c r="AH87" s="100">
        <f>AH82/AC82-1</f>
        <v>-7.6209909949873533E-2</v>
      </c>
      <c r="AI87" s="99">
        <f t="shared" si="74"/>
        <v>-0.13235557145412269</v>
      </c>
      <c r="AJ87" s="99">
        <f t="shared" si="74"/>
        <v>7.6740506329114E-2</v>
      </c>
      <c r="AK87" s="99">
        <f t="shared" si="74"/>
        <v>0.11426925292874968</v>
      </c>
      <c r="AL87" s="99">
        <f t="shared" si="74"/>
        <v>0.14765640716153694</v>
      </c>
      <c r="AM87" s="100">
        <f>AM82/AH82-1</f>
        <v>4.6914765906362454E-2</v>
      </c>
      <c r="AN87" s="99">
        <f t="shared" si="74"/>
        <v>0.2552051123479695</v>
      </c>
      <c r="AO87" s="99">
        <f t="shared" si="74"/>
        <v>0.22905951506245414</v>
      </c>
      <c r="AP87" s="99">
        <f t="shared" ref="AP87:AY87" si="75">AP82/AK82-1</f>
        <v>0.13012754222681844</v>
      </c>
      <c r="AQ87" s="99">
        <f t="shared" si="75"/>
        <v>4.0315512708151147E-3</v>
      </c>
      <c r="AR87" s="100">
        <f t="shared" si="75"/>
        <v>0.14966516833318044</v>
      </c>
      <c r="AS87" s="98">
        <f t="shared" si="75"/>
        <v>7.7024141895220888E-2</v>
      </c>
      <c r="AT87" s="99">
        <f t="shared" si="75"/>
        <v>4.3790165894485034E-2</v>
      </c>
      <c r="AU87" s="99">
        <f t="shared" si="75"/>
        <v>-2.4401403080677175E-3</v>
      </c>
      <c r="AV87" s="99">
        <f t="shared" si="75"/>
        <v>8.3100558659217949E-2</v>
      </c>
      <c r="AW87" s="100">
        <f t="shared" si="75"/>
        <v>4.8753241571912964E-2</v>
      </c>
      <c r="AX87" s="98">
        <f t="shared" si="75"/>
        <v>8.2342177493137658E-3</v>
      </c>
      <c r="AY87" s="99">
        <f t="shared" si="75"/>
        <v>-8.8487972508591084E-2</v>
      </c>
      <c r="AZ87" s="99">
        <v>0.04</v>
      </c>
      <c r="BA87" s="99">
        <f>BA82/AV82-1</f>
        <v>-7.2372662798194765E-2</v>
      </c>
      <c r="BB87" s="100">
        <f>BB82/AW82-1</f>
        <v>-4.8084604557385835E-2</v>
      </c>
      <c r="BC87" s="98">
        <f>BC82/AX82-1</f>
        <v>-0.18421052631578949</v>
      </c>
      <c r="BD87" s="99">
        <f>BD82/AY82-1</f>
        <v>-0.13100848256361919</v>
      </c>
      <c r="BE87" s="99">
        <v>0.04</v>
      </c>
      <c r="BF87" s="99">
        <f>BF82/BA82-1</f>
        <v>-6.5855777584708952E-2</v>
      </c>
      <c r="BG87" s="100">
        <f>BG82/BB82-1</f>
        <v>-0.12696319386164734</v>
      </c>
      <c r="BH87" s="98">
        <f>BH82/BC82-1</f>
        <v>-3.3370411568409364E-2</v>
      </c>
      <c r="BI87" s="99">
        <f>BI82/BD82-1</f>
        <v>0.12671728127259585</v>
      </c>
      <c r="BJ87" s="99">
        <v>0.04</v>
      </c>
      <c r="BK87" s="99">
        <f>BK82/BF82-1</f>
        <v>0.12053571428571419</v>
      </c>
      <c r="BL87" s="100">
        <f>BL82/BG82-1</f>
        <v>7.4750526412157736E-2</v>
      </c>
      <c r="BM87" s="98">
        <f>BM82/BH82-1</f>
        <v>0.10529344073647873</v>
      </c>
      <c r="BN87" s="99">
        <f>BN82/BI82-1</f>
        <v>-0.24659072677683302</v>
      </c>
      <c r="BO87" s="99">
        <v>0.04</v>
      </c>
      <c r="BP87" s="99">
        <f>BP82/BK82-1</f>
        <v>-0.12450199203187251</v>
      </c>
      <c r="BQ87" s="100">
        <f>BQ82/BL82-1</f>
        <v>-0.10017462413220324</v>
      </c>
      <c r="BR87" s="98">
        <f>BR82/BM82-1</f>
        <v>0.12181155648099939</v>
      </c>
      <c r="BS87" s="99">
        <f>BS82/BN82-1</f>
        <v>0.33411413969335602</v>
      </c>
      <c r="BT87" s="99">
        <v>0.04</v>
      </c>
      <c r="BU87" s="99">
        <f>BU82/BP82-1</f>
        <v>0.50018960940462653</v>
      </c>
      <c r="BV87" s="100">
        <f>BV82/BQ82-1</f>
        <v>0.31528376011738524</v>
      </c>
      <c r="BW87" s="98">
        <f>BW82/BR82-1</f>
        <v>0.23743232791956692</v>
      </c>
      <c r="BX87" s="99">
        <f>BX82/BS82-1</f>
        <v>0.27693535514764567</v>
      </c>
      <c r="BY87" s="99">
        <v>0.04</v>
      </c>
      <c r="BZ87" s="99">
        <f>BZ82/BU82-1</f>
        <v>1.1122345803842304E-2</v>
      </c>
      <c r="CA87" s="100">
        <f>CA82/BV82-1</f>
        <v>0.15157621995105797</v>
      </c>
      <c r="CB87" s="98">
        <f>CB82/BW82-1</f>
        <v>-0.3125</v>
      </c>
      <c r="CC87" s="99">
        <f>CC82/BX82-1</f>
        <v>-0.3125</v>
      </c>
      <c r="CD87" s="99">
        <v>0.04</v>
      </c>
      <c r="CE87" s="99">
        <f>CE82/BZ82-1</f>
        <v>-0.3125</v>
      </c>
      <c r="CF87" s="100">
        <f>CF82/CA82-1</f>
        <v>-0.3125</v>
      </c>
      <c r="CI87" s="729"/>
      <c r="CJ87" s="729"/>
      <c r="CK87" s="729"/>
      <c r="CL87" s="729"/>
      <c r="CM87" s="729"/>
      <c r="CN87" s="729"/>
    </row>
    <row r="88" spans="2:92" s="181" customFormat="1" ht="11.65">
      <c r="B88" s="98"/>
      <c r="C88" s="99" t="s">
        <v>357</v>
      </c>
      <c r="D88" s="808"/>
      <c r="F88" s="99">
        <f>F82/E82-1</f>
        <v>-4.4522042776080295E-2</v>
      </c>
      <c r="G88" s="99">
        <f>G82/F82-1</f>
        <v>0.20808588396528105</v>
      </c>
      <c r="H88" s="99">
        <f>H82/G82-1</f>
        <v>-8.3191529589714541E-2</v>
      </c>
      <c r="I88" s="808"/>
      <c r="J88" s="99">
        <f>J82/H82-1</f>
        <v>8.8678077954218448E-3</v>
      </c>
      <c r="K88" s="99">
        <f>K82/J82-1</f>
        <v>3.3115290269828401E-2</v>
      </c>
      <c r="L88" s="99">
        <f>L82/K82-1</f>
        <v>-7.162643450732098E-2</v>
      </c>
      <c r="M88" s="99">
        <f>M82/L82-1</f>
        <v>-0.12574595055413473</v>
      </c>
      <c r="N88" s="808"/>
      <c r="O88" s="99">
        <f>O82/M82-1</f>
        <v>4.2174549000487671E-2</v>
      </c>
      <c r="P88" s="99">
        <f>P82/O82-1</f>
        <v>0.1520467836257311</v>
      </c>
      <c r="Q88" s="99">
        <f>Q82/P82-1</f>
        <v>0.13949238578680201</v>
      </c>
      <c r="R88" s="99">
        <f>R82/Q82-1</f>
        <v>2.3164647184604314E-2</v>
      </c>
      <c r="S88" s="808"/>
      <c r="T88" s="99">
        <f>T82/R82-1</f>
        <v>7.9240682688958453E-2</v>
      </c>
      <c r="U88" s="99">
        <f>U82/T82-1</f>
        <v>-3.3887364853961599E-2</v>
      </c>
      <c r="V88" s="99">
        <f>V82/U82-1</f>
        <v>-3.7748454985802593E-2</v>
      </c>
      <c r="W88" s="99">
        <f>W82/V82-1</f>
        <v>-8.2971706300989378E-2</v>
      </c>
      <c r="X88" s="808"/>
      <c r="Y88" s="99">
        <f>Y82/W82-1</f>
        <v>7.5525269733106137E-2</v>
      </c>
      <c r="Z88" s="99">
        <f>Z82/Y82-1</f>
        <v>1.5663498768039519E-2</v>
      </c>
      <c r="AA88" s="236">
        <f>AA82/Z82-1</f>
        <v>-3.0670594351065672E-2</v>
      </c>
      <c r="AB88" s="99">
        <f>AB82/AA82-1</f>
        <v>-1.7518770110833026E-2</v>
      </c>
      <c r="AC88" s="808"/>
      <c r="AD88" s="99">
        <f>AD82/AB82-1</f>
        <v>1.7285298398835414E-2</v>
      </c>
      <c r="AE88" s="99">
        <f>AE82/AD82-1</f>
        <v>-9.5689500983723863E-2</v>
      </c>
      <c r="AF88" s="99">
        <f>AF82/AE82-1</f>
        <v>2.9865506329114E-2</v>
      </c>
      <c r="AG88" s="99">
        <f>AG82/AF82-1</f>
        <v>-4.5323602842327615E-2</v>
      </c>
      <c r="AH88" s="808"/>
      <c r="AI88" s="99">
        <f>AI82/AG82-1</f>
        <v>-2.4140012070006045E-2</v>
      </c>
      <c r="AJ88" s="99">
        <f>AJ82/AI82-1</f>
        <v>0.12224283652855084</v>
      </c>
      <c r="AK88" s="99">
        <f>AK82/AJ82-1</f>
        <v>6.5760470242468783E-2</v>
      </c>
      <c r="AL88" s="99">
        <f>AL82/AK82-1</f>
        <v>-1.6718372974836249E-2</v>
      </c>
      <c r="AM88" s="808"/>
      <c r="AN88" s="99">
        <f>AN82/AL82-1</f>
        <v>6.7309377738825615E-2</v>
      </c>
      <c r="AO88" s="99">
        <f>AO82/AN82-1</f>
        <v>9.8866808999835687E-2</v>
      </c>
      <c r="AP88" s="99">
        <f>AP82/AO82-1</f>
        <v>-2.0026901808399389E-2</v>
      </c>
      <c r="AQ88" s="99">
        <f>AQ82/AP82-1</f>
        <v>-0.12642976971175846</v>
      </c>
      <c r="AR88" s="808"/>
      <c r="AS88" s="99">
        <f>AS82/AQ82-1</f>
        <v>0.14490223463687157</v>
      </c>
      <c r="AT88" s="99">
        <f>AT82/AS82-1</f>
        <v>6.4958828911253486E-2</v>
      </c>
      <c r="AU88" s="99">
        <f>AU82/AT82-1</f>
        <v>-6.3430698739977087E-2</v>
      </c>
      <c r="AV88" s="99">
        <f>AV82/AU82-1</f>
        <v>-5.1521174132395653E-2</v>
      </c>
      <c r="AW88" s="808"/>
      <c r="AX88" s="99">
        <f>AX82/AV82-1</f>
        <v>6.5764023210831635E-2</v>
      </c>
      <c r="AY88" s="99">
        <f>AY82/AX82-1</f>
        <v>-3.7205081669691498E-2</v>
      </c>
      <c r="AZ88" s="99">
        <f>AZ82/AY82-1</f>
        <v>-1.1938422871504817E-2</v>
      </c>
      <c r="BA88" s="99">
        <f>BA82/AZ82-1</f>
        <v>-8.5055643879173304E-2</v>
      </c>
      <c r="BB88" s="808"/>
      <c r="BC88" s="99">
        <f>BC82/BA82-1</f>
        <v>-6.2728062554300634E-2</v>
      </c>
      <c r="BD88" s="99">
        <f>BD82/BC82-1</f>
        <v>2.5583982202447064E-2</v>
      </c>
      <c r="BE88" s="99">
        <f>BE82/BD82-1</f>
        <v>2.1691973969630851E-3</v>
      </c>
      <c r="BF88" s="99">
        <f>BF82/BE82-1</f>
        <v>-3.0303030303030276E-2</v>
      </c>
      <c r="BG88" s="808"/>
      <c r="BH88" s="99">
        <f>BH82/BF82-1</f>
        <v>-3.0133928571428603E-2</v>
      </c>
      <c r="BI88" s="99">
        <f>BI82/BH82-1</f>
        <v>0.19543536632144232</v>
      </c>
      <c r="BJ88" s="99">
        <f>BJ82/BI82-1</f>
        <v>-3.609818706882717E-2</v>
      </c>
      <c r="BK88" s="99">
        <f>BK82/BJ82-1</f>
        <v>2.6631158455392434E-3</v>
      </c>
      <c r="BL88" s="808"/>
      <c r="BM88" s="99">
        <f>BM82/BK82-1</f>
        <v>-4.3326693227091595E-2</v>
      </c>
      <c r="BN88" s="99">
        <f>BN82/BM82-1</f>
        <v>-0.1851466250216901</v>
      </c>
      <c r="BO88" s="99">
        <f>BO82/BN82-1</f>
        <v>0.14863713798977862</v>
      </c>
      <c r="BP88" s="99">
        <f>BP82/BO82-1</f>
        <v>-2.2246941045606206E-2</v>
      </c>
      <c r="BQ88" s="808"/>
      <c r="BR88" s="99">
        <f>BR82/BP82-1</f>
        <v>0.22582480091012513</v>
      </c>
      <c r="BS88" s="99">
        <f>BS82/BR82-1</f>
        <v>-3.0935808197989134E-2</v>
      </c>
      <c r="BT88" s="99">
        <f>BT82/BS82-1</f>
        <v>0.14062250598563453</v>
      </c>
      <c r="BU88" s="99">
        <f>BU82/BT82-1</f>
        <v>0.10719283515253286</v>
      </c>
      <c r="BV88" s="808"/>
      <c r="BW88" s="99">
        <f>BW82/BU82-1</f>
        <v>1.1122345803842304E-2</v>
      </c>
      <c r="BX88" s="99">
        <f>BX82/BW82-1</f>
        <v>0</v>
      </c>
      <c r="BY88" s="99">
        <f>BY82/BX82-1</f>
        <v>0</v>
      </c>
      <c r="BZ88" s="99">
        <f>BZ82/BY82-1</f>
        <v>0</v>
      </c>
      <c r="CA88" s="808"/>
      <c r="CB88" s="99">
        <f>CB82/BZ82-1</f>
        <v>-0.3125</v>
      </c>
      <c r="CC88" s="99">
        <f>CC82/CB82-1</f>
        <v>0</v>
      </c>
      <c r="CD88" s="99">
        <f>CD82/CC82-1</f>
        <v>0</v>
      </c>
      <c r="CE88" s="99">
        <f>CE82/CD82-1</f>
        <v>0</v>
      </c>
      <c r="CF88" s="808"/>
      <c r="CI88" s="819"/>
      <c r="CJ88" s="819"/>
      <c r="CK88" s="819"/>
      <c r="CL88" s="819"/>
      <c r="CM88" s="819"/>
      <c r="CN88" s="819"/>
    </row>
    <row r="89" spans="2:92" s="7" customFormat="1" ht="12.75">
      <c r="B89" s="167" t="s">
        <v>52</v>
      </c>
      <c r="C89" s="168"/>
      <c r="D89" s="833">
        <f>'Income Statement'!D20</f>
        <v>7315</v>
      </c>
      <c r="E89" s="168">
        <f>'Income Statement'!E20</f>
        <v>1761</v>
      </c>
      <c r="F89" s="168">
        <f>'Income Statement'!F20</f>
        <v>1826</v>
      </c>
      <c r="G89" s="168">
        <f>'Income Statement'!G20</f>
        <v>1497</v>
      </c>
      <c r="H89" s="168">
        <f>'Income Statement'!H20</f>
        <v>2600</v>
      </c>
      <c r="I89" s="833">
        <f>'Income Statement'!I20</f>
        <v>7684</v>
      </c>
      <c r="J89" s="168">
        <f>'Income Statement'!J20</f>
        <v>1571</v>
      </c>
      <c r="K89" s="168">
        <f>'Income Statement'!K20</f>
        <v>1492</v>
      </c>
      <c r="L89" s="168">
        <f>'Income Statement'!L20</f>
        <v>1788</v>
      </c>
      <c r="M89" s="168">
        <f>'Income Statement'!M20</f>
        <v>2466</v>
      </c>
      <c r="N89" s="833">
        <f>'Income Statement'!N20</f>
        <v>7317</v>
      </c>
      <c r="O89" s="168">
        <f>'Income Statement'!O20</f>
        <v>1371</v>
      </c>
      <c r="P89" s="168">
        <f>'Income Statement'!P20</f>
        <v>1415</v>
      </c>
      <c r="Q89" s="168">
        <f>'Income Statement'!Q20</f>
        <v>1430</v>
      </c>
      <c r="R89" s="168">
        <f>'Income Statement'!R20</f>
        <v>1652</v>
      </c>
      <c r="S89" s="833">
        <f>'Income Statement'!S20</f>
        <v>5868</v>
      </c>
      <c r="T89" s="168">
        <f>'Income Statement'!T20</f>
        <v>1134</v>
      </c>
      <c r="U89" s="168">
        <f>'Income Statement'!U20</f>
        <v>2115</v>
      </c>
      <c r="V89" s="168">
        <f>'Income Statement'!V20</f>
        <v>1148</v>
      </c>
      <c r="W89" s="168">
        <f>'Income Statement'!W20</f>
        <v>1897</v>
      </c>
      <c r="X89" s="833">
        <f>'Income Statement'!X20</f>
        <v>6294</v>
      </c>
      <c r="Y89" s="168">
        <f>'Income Statement'!Y20</f>
        <v>1130</v>
      </c>
      <c r="Z89" s="168">
        <f>'Income Statement'!Z20</f>
        <v>2825</v>
      </c>
      <c r="AA89" s="843">
        <f>'Income Statement'!AA20</f>
        <v>1392</v>
      </c>
      <c r="AB89" s="168">
        <f>'Income Statement'!AB20</f>
        <v>1609</v>
      </c>
      <c r="AC89" s="835">
        <f>SUM(Y89:AB89)</f>
        <v>6956</v>
      </c>
      <c r="AD89" s="168">
        <f>'Income Statement'!AD20</f>
        <v>1394</v>
      </c>
      <c r="AE89" s="168">
        <f>'Income Statement'!AE20</f>
        <v>3355</v>
      </c>
      <c r="AF89" s="168">
        <f>'Income Statement'!AF20</f>
        <v>1954</v>
      </c>
      <c r="AG89" s="168">
        <f>'Income Statement'!AG20</f>
        <v>1423</v>
      </c>
      <c r="AH89" s="835">
        <f>SUM(AD89:AG89)</f>
        <v>8126</v>
      </c>
      <c r="AI89" s="168">
        <f>'Income Statement'!AI20</f>
        <v>1489</v>
      </c>
      <c r="AJ89" s="168">
        <f>'Income Statement'!AJ20</f>
        <v>3831</v>
      </c>
      <c r="AK89" s="168">
        <f>'Income Statement'!AK20</f>
        <v>1070</v>
      </c>
      <c r="AL89" s="168">
        <f>'Income Statement'!AL20</f>
        <v>1479</v>
      </c>
      <c r="AM89" s="835">
        <f>SUM(AI89:AL89)</f>
        <v>7869</v>
      </c>
      <c r="AN89" s="168">
        <f>'Income Statement'!AN20</f>
        <v>1137</v>
      </c>
      <c r="AO89" s="168">
        <f>'Income Statement'!AO20</f>
        <v>4043</v>
      </c>
      <c r="AP89" s="168">
        <f>2162-16</f>
        <v>2146</v>
      </c>
      <c r="AQ89" s="168">
        <f>'Income Statement'!AQ20</f>
        <v>2301</v>
      </c>
      <c r="AR89" s="835">
        <f>SUM(AN89:AQ89)</f>
        <v>9627</v>
      </c>
      <c r="AS89" s="168">
        <f>'Income Statement'!AS20</f>
        <v>3334</v>
      </c>
      <c r="AT89" s="168">
        <f>'Income Statement'!AT20</f>
        <v>5686</v>
      </c>
      <c r="AU89" s="168">
        <f>'Income Statement'!AU20</f>
        <v>3419</v>
      </c>
      <c r="AV89" s="168">
        <f>'Income Statement'!AV20</f>
        <v>2535</v>
      </c>
      <c r="AW89" s="835">
        <f>SUM(AS89:AV89)</f>
        <v>14974</v>
      </c>
      <c r="AX89" s="168">
        <f>'Income Statement'!AX20</f>
        <v>2728</v>
      </c>
      <c r="AY89" s="168">
        <f>'Income Statement'!AY20</f>
        <v>7919</v>
      </c>
      <c r="AZ89" s="168">
        <f>'Income Statement'!AZ20</f>
        <v>3410</v>
      </c>
      <c r="BA89" s="168">
        <f>'Income Statement'!BA20</f>
        <v>3660</v>
      </c>
      <c r="BB89" s="833">
        <f>SUM(AX89:BA89)</f>
        <v>17717</v>
      </c>
      <c r="BC89" s="168">
        <f>'Income Statement'!BC20</f>
        <v>4140</v>
      </c>
      <c r="BD89" s="168">
        <f>'Income Statement'!BD20</f>
        <v>8369</v>
      </c>
      <c r="BE89" s="168">
        <f>'Income Statement'!BE20</f>
        <v>4966</v>
      </c>
      <c r="BF89" s="168">
        <f>'Income Statement'!BF20</f>
        <v>6183</v>
      </c>
      <c r="BG89" s="835">
        <f>SUM(BC89:BF89)</f>
        <v>23658</v>
      </c>
      <c r="BH89" s="168">
        <f>'Income Statement'!BH20</f>
        <v>4189</v>
      </c>
      <c r="BI89" s="843">
        <f>'Income Statement'!BI20</f>
        <v>10651</v>
      </c>
      <c r="BJ89" s="844">
        <f>'Income Statement'!BJ20</f>
        <v>3911</v>
      </c>
      <c r="BK89" s="844">
        <f>'Income Statement'!BK20</f>
        <v>4261</v>
      </c>
      <c r="BL89" s="835">
        <f>SUM(BH89:BK89)</f>
        <v>23012</v>
      </c>
      <c r="BM89" s="844">
        <f>'Income Statement'!BM20</f>
        <v>3820</v>
      </c>
      <c r="BN89" s="844">
        <f>'Income Statement'!BN20</f>
        <v>3318</v>
      </c>
      <c r="BO89" s="844">
        <f>'Income Statement'!BO20</f>
        <v>5200</v>
      </c>
      <c r="BP89" s="844">
        <f>'Income Statement'!BP20</f>
        <v>5464</v>
      </c>
      <c r="BQ89" s="835">
        <f>SUM(BM89:BP89)</f>
        <v>17802</v>
      </c>
      <c r="BR89" s="844">
        <f>'Income Statement'!BR20</f>
        <v>4173</v>
      </c>
      <c r="BS89" s="844">
        <f>'Income Statement'!BS20</f>
        <v>7690</v>
      </c>
      <c r="BT89" s="844">
        <f>'Income Statement'!BT20</f>
        <v>4655</v>
      </c>
      <c r="BU89" s="844">
        <f>'Income Statement'!BU20</f>
        <v>5416</v>
      </c>
      <c r="BV89" s="835">
        <f>SUM(BR89:BU89)</f>
        <v>21934</v>
      </c>
      <c r="BW89" s="844">
        <v>7115</v>
      </c>
      <c r="BX89" s="844">
        <v>10000</v>
      </c>
      <c r="BY89" s="844">
        <v>6200</v>
      </c>
      <c r="BZ89" s="844">
        <v>6200</v>
      </c>
      <c r="CA89" s="835">
        <f>SUM(BW89:BZ89)</f>
        <v>29515</v>
      </c>
      <c r="CB89" s="844">
        <v>4000</v>
      </c>
      <c r="CC89" s="844">
        <v>4000</v>
      </c>
      <c r="CD89" s="844">
        <v>4000</v>
      </c>
      <c r="CE89" s="844">
        <v>4000</v>
      </c>
      <c r="CF89" s="835">
        <f>SUM(CB89:CE89)</f>
        <v>16000</v>
      </c>
      <c r="CI89" s="76"/>
      <c r="CJ89" s="76"/>
      <c r="CK89" s="76"/>
      <c r="CL89" s="76"/>
      <c r="CM89" s="76"/>
      <c r="CN89" s="76"/>
    </row>
    <row r="90" spans="2:92" s="819" customFormat="1">
      <c r="B90" s="171"/>
      <c r="C90" s="172" t="s">
        <v>21</v>
      </c>
      <c r="D90" s="817"/>
      <c r="E90" s="172" t="e">
        <f>E89/#REF!-1</f>
        <v>#REF!</v>
      </c>
      <c r="F90" s="172" t="e">
        <f>F89/A89-1</f>
        <v>#DIV/0!</v>
      </c>
      <c r="G90" s="172" t="e">
        <f>G89/B89-1</f>
        <v>#VALUE!</v>
      </c>
      <c r="H90" s="172" t="e">
        <f>H89/C89-1</f>
        <v>#DIV/0!</v>
      </c>
      <c r="I90" s="817"/>
      <c r="J90" s="172">
        <f>J89/E89-1</f>
        <v>-0.10789324247586596</v>
      </c>
      <c r="K90" s="172">
        <f>K89/F89-1</f>
        <v>-0.18291347207009856</v>
      </c>
      <c r="L90" s="172">
        <f>L89/G89-1</f>
        <v>0.1943887775551103</v>
      </c>
      <c r="M90" s="172">
        <f>M89/H89-1</f>
        <v>-5.1538461538461533E-2</v>
      </c>
      <c r="N90" s="817"/>
      <c r="O90" s="172">
        <f t="shared" ref="O90:AH90" si="76">O89/J89-1</f>
        <v>-0.1273074474856779</v>
      </c>
      <c r="P90" s="172">
        <f t="shared" si="76"/>
        <v>-5.1608579088471829E-2</v>
      </c>
      <c r="Q90" s="172">
        <f t="shared" si="76"/>
        <v>-0.20022371364653246</v>
      </c>
      <c r="R90" s="172">
        <f t="shared" si="76"/>
        <v>-0.33008921330089214</v>
      </c>
      <c r="S90" s="817">
        <f t="shared" si="76"/>
        <v>-0.19803198031980318</v>
      </c>
      <c r="T90" s="172">
        <f t="shared" si="76"/>
        <v>-0.17286652078774623</v>
      </c>
      <c r="U90" s="172">
        <f t="shared" si="76"/>
        <v>0.4946996466431095</v>
      </c>
      <c r="V90" s="172">
        <f t="shared" si="76"/>
        <v>-0.19720279720279721</v>
      </c>
      <c r="W90" s="172">
        <f t="shared" si="76"/>
        <v>0.14830508474576276</v>
      </c>
      <c r="X90" s="817">
        <f t="shared" si="76"/>
        <v>7.2597137014315027E-2</v>
      </c>
      <c r="Y90" s="172">
        <f t="shared" si="76"/>
        <v>-3.5273368606701938E-3</v>
      </c>
      <c r="Z90" s="172">
        <f t="shared" si="76"/>
        <v>0.3356973995271868</v>
      </c>
      <c r="AA90" s="172">
        <f t="shared" si="76"/>
        <v>0.21254355400696867</v>
      </c>
      <c r="AB90" s="172">
        <f t="shared" si="76"/>
        <v>-0.1518186610437533</v>
      </c>
      <c r="AC90" s="817">
        <f t="shared" si="76"/>
        <v>0.10517953606609476</v>
      </c>
      <c r="AD90" s="172">
        <f t="shared" si="76"/>
        <v>0.23362831858407085</v>
      </c>
      <c r="AE90" s="172">
        <f t="shared" si="76"/>
        <v>0.18761061946902657</v>
      </c>
      <c r="AF90" s="172">
        <f t="shared" si="76"/>
        <v>0.40373563218390807</v>
      </c>
      <c r="AG90" s="172">
        <f t="shared" si="76"/>
        <v>-0.11559975139838408</v>
      </c>
      <c r="AH90" s="817">
        <f t="shared" si="76"/>
        <v>0.16820011500862564</v>
      </c>
      <c r="AI90" s="172">
        <f t="shared" ref="AI90:BN90" si="77">AI89/AD89-1</f>
        <v>6.8149210903873714E-2</v>
      </c>
      <c r="AJ90" s="172">
        <f t="shared" si="77"/>
        <v>0.1418777943368108</v>
      </c>
      <c r="AK90" s="172">
        <f t="shared" si="77"/>
        <v>-0.45240532241555786</v>
      </c>
      <c r="AL90" s="172">
        <f t="shared" si="77"/>
        <v>3.9353478566408917E-2</v>
      </c>
      <c r="AM90" s="817">
        <f t="shared" si="77"/>
        <v>-3.1626876692099404E-2</v>
      </c>
      <c r="AN90" s="172">
        <f t="shared" si="77"/>
        <v>-0.23640026863666885</v>
      </c>
      <c r="AO90" s="172">
        <f t="shared" si="77"/>
        <v>5.5338031845471258E-2</v>
      </c>
      <c r="AP90" s="172">
        <f t="shared" si="77"/>
        <v>1.0056074766355141</v>
      </c>
      <c r="AQ90" s="172">
        <f t="shared" si="77"/>
        <v>0.55578093306288023</v>
      </c>
      <c r="AR90" s="817">
        <f t="shared" si="77"/>
        <v>0.22340831109416692</v>
      </c>
      <c r="AS90" s="172">
        <f t="shared" si="77"/>
        <v>1.9322779243623569</v>
      </c>
      <c r="AT90" s="172">
        <f t="shared" si="77"/>
        <v>0.40638139995053169</v>
      </c>
      <c r="AU90" s="172">
        <f t="shared" si="77"/>
        <v>0.59319664492078283</v>
      </c>
      <c r="AV90" s="172">
        <f t="shared" si="77"/>
        <v>0.10169491525423724</v>
      </c>
      <c r="AW90" s="817">
        <f t="shared" si="77"/>
        <v>0.55541705619611514</v>
      </c>
      <c r="AX90" s="172">
        <f t="shared" si="77"/>
        <v>-0.18176364727054584</v>
      </c>
      <c r="AY90" s="172">
        <f t="shared" si="77"/>
        <v>0.39271895884628916</v>
      </c>
      <c r="AZ90" s="172">
        <f t="shared" si="77"/>
        <v>-2.6323486399532081E-3</v>
      </c>
      <c r="BA90" s="172">
        <f t="shared" si="77"/>
        <v>0.44378698224852076</v>
      </c>
      <c r="BB90" s="817">
        <f t="shared" si="77"/>
        <v>0.18318418592226515</v>
      </c>
      <c r="BC90" s="172">
        <f t="shared" si="77"/>
        <v>0.51759530791788855</v>
      </c>
      <c r="BD90" s="172">
        <f t="shared" si="77"/>
        <v>5.6825356736961652E-2</v>
      </c>
      <c r="BE90" s="172">
        <f t="shared" si="77"/>
        <v>0.4563049853372434</v>
      </c>
      <c r="BF90" s="172">
        <f t="shared" si="77"/>
        <v>0.68934426229508206</v>
      </c>
      <c r="BG90" s="817">
        <f t="shared" si="77"/>
        <v>0.33532765140825194</v>
      </c>
      <c r="BH90" s="172">
        <f t="shared" si="77"/>
        <v>1.1835748792270451E-2</v>
      </c>
      <c r="BI90" s="172">
        <f t="shared" si="77"/>
        <v>0.27267295973234562</v>
      </c>
      <c r="BJ90" s="172">
        <f t="shared" si="77"/>
        <v>-0.21244462343938786</v>
      </c>
      <c r="BK90" s="172">
        <f t="shared" si="77"/>
        <v>-0.31085233705321047</v>
      </c>
      <c r="BL90" s="817">
        <f t="shared" si="77"/>
        <v>-2.7305773945388467E-2</v>
      </c>
      <c r="BM90" s="172">
        <f t="shared" si="77"/>
        <v>-8.8087849128670292E-2</v>
      </c>
      <c r="BN90" s="172">
        <f t="shared" si="77"/>
        <v>-0.68847995493380898</v>
      </c>
      <c r="BO90" s="172">
        <f t="shared" ref="BO90:CF90" si="78">BO89/BJ89-1</f>
        <v>0.32958322679621577</v>
      </c>
      <c r="BP90" s="172">
        <f t="shared" si="78"/>
        <v>0.28232809199718378</v>
      </c>
      <c r="BQ90" s="817">
        <f t="shared" si="78"/>
        <v>-0.22640361550495391</v>
      </c>
      <c r="BR90" s="172">
        <f t="shared" si="78"/>
        <v>9.2408376963350802E-2</v>
      </c>
      <c r="BS90" s="172">
        <f t="shared" si="78"/>
        <v>1.3176612417118747</v>
      </c>
      <c r="BT90" s="172">
        <f t="shared" si="78"/>
        <v>-0.10480769230769227</v>
      </c>
      <c r="BU90" s="172">
        <f t="shared" si="78"/>
        <v>-8.7847730600292273E-3</v>
      </c>
      <c r="BV90" s="817">
        <f t="shared" si="78"/>
        <v>0.2321087518256375</v>
      </c>
      <c r="BW90" s="172">
        <f t="shared" si="78"/>
        <v>0.70500838725137793</v>
      </c>
      <c r="BX90" s="172">
        <f t="shared" si="78"/>
        <v>0.30039011703511043</v>
      </c>
      <c r="BY90" s="172">
        <f t="shared" si="78"/>
        <v>0.33190118152524173</v>
      </c>
      <c r="BZ90" s="172">
        <f t="shared" si="78"/>
        <v>0.14475627769571631</v>
      </c>
      <c r="CA90" s="817">
        <f t="shared" si="78"/>
        <v>0.34562779246831399</v>
      </c>
      <c r="CB90" s="172">
        <f t="shared" si="78"/>
        <v>-0.43780744905130009</v>
      </c>
      <c r="CC90" s="172">
        <f t="shared" si="78"/>
        <v>-0.6</v>
      </c>
      <c r="CD90" s="172">
        <f t="shared" si="78"/>
        <v>-0.35483870967741937</v>
      </c>
      <c r="CE90" s="172">
        <f t="shared" si="78"/>
        <v>-0.35483870967741937</v>
      </c>
      <c r="CF90" s="817">
        <f t="shared" si="78"/>
        <v>-0.4579027613078096</v>
      </c>
      <c r="CI90" s="813"/>
      <c r="CJ90" s="813"/>
      <c r="CK90" s="813"/>
      <c r="CL90" s="813"/>
      <c r="CM90" s="813"/>
      <c r="CN90" s="813"/>
    </row>
    <row r="91" spans="2:92" s="813" customFormat="1">
      <c r="B91" s="98"/>
      <c r="C91" s="99" t="s">
        <v>22</v>
      </c>
      <c r="D91" s="820"/>
      <c r="E91" s="99" t="e">
        <f>E89/C89-1</f>
        <v>#DIV/0!</v>
      </c>
      <c r="F91" s="99">
        <f>F89/E89-1</f>
        <v>3.6910846110164597E-2</v>
      </c>
      <c r="G91" s="99">
        <f>G89/F89-1</f>
        <v>-0.18017524644030669</v>
      </c>
      <c r="H91" s="99">
        <f>H89/G89-1</f>
        <v>0.73680694722778894</v>
      </c>
      <c r="I91" s="820"/>
      <c r="J91" s="99">
        <f>J89/H89-1</f>
        <v>-0.39576923076923076</v>
      </c>
      <c r="K91" s="99">
        <f>K89/J89-1</f>
        <v>-5.0286441756842826E-2</v>
      </c>
      <c r="L91" s="99">
        <f>L89/K89-1</f>
        <v>0.19839142091152806</v>
      </c>
      <c r="M91" s="99">
        <f>M89/L89-1</f>
        <v>0.37919463087248317</v>
      </c>
      <c r="N91" s="820"/>
      <c r="O91" s="99">
        <f>O89/M89-1</f>
        <v>-0.44403892944038925</v>
      </c>
      <c r="P91" s="99">
        <f>P89/O89-1</f>
        <v>3.209336250911754E-2</v>
      </c>
      <c r="Q91" s="99">
        <f>Q89/P89-1</f>
        <v>1.0600706713780994E-2</v>
      </c>
      <c r="R91" s="99">
        <f>R89/Q89-1</f>
        <v>0.15524475524475534</v>
      </c>
      <c r="S91" s="820"/>
      <c r="T91" s="99">
        <f>T89/R89-1</f>
        <v>-0.31355932203389836</v>
      </c>
      <c r="U91" s="99">
        <f>U89/T89-1</f>
        <v>0.86507936507936511</v>
      </c>
      <c r="V91" s="99">
        <f>V89/U89-1</f>
        <v>-0.45721040189125295</v>
      </c>
      <c r="W91" s="99">
        <f>W89/V89-1</f>
        <v>0.65243902439024382</v>
      </c>
      <c r="X91" s="820"/>
      <c r="Y91" s="99">
        <f>Y89/W89-1</f>
        <v>-0.40432261465471797</v>
      </c>
      <c r="Z91" s="99">
        <f>Z89/Y89-1</f>
        <v>1.5</v>
      </c>
      <c r="AA91" s="99">
        <f>AA89/Z89-1</f>
        <v>-0.50725663716814151</v>
      </c>
      <c r="AB91" s="99">
        <f>AB89/AA89-1</f>
        <v>0.15589080459770122</v>
      </c>
      <c r="AC91" s="820"/>
      <c r="AD91" s="99">
        <f>AD89/AB89-1</f>
        <v>-0.1336233685518956</v>
      </c>
      <c r="AE91" s="99">
        <f>AE89/AD89-1</f>
        <v>1.4067431850789096</v>
      </c>
      <c r="AF91" s="99">
        <f>AF89/AE89-1</f>
        <v>-0.41758569299552906</v>
      </c>
      <c r="AG91" s="99">
        <f>AG89/AF89-1</f>
        <v>-0.27175025588536339</v>
      </c>
      <c r="AH91" s="820"/>
      <c r="AI91" s="99">
        <f>AI89/AG89-1</f>
        <v>4.6380885453267684E-2</v>
      </c>
      <c r="AJ91" s="99">
        <f>AJ89/AI89-1</f>
        <v>1.5728676964405643</v>
      </c>
      <c r="AK91" s="99">
        <f>AK89/AJ89-1</f>
        <v>-0.7206995562516314</v>
      </c>
      <c r="AL91" s="99">
        <f>AL89/AK89-1</f>
        <v>0.38224299065420553</v>
      </c>
      <c r="AM91" s="820"/>
      <c r="AN91" s="99">
        <f>AN89/AL89-1</f>
        <v>-0.23123732251521301</v>
      </c>
      <c r="AO91" s="99">
        <f>AO89/AN89-1</f>
        <v>2.5558487247141599</v>
      </c>
      <c r="AP91" s="99">
        <f>AP89/AO89-1</f>
        <v>-0.46920603512243386</v>
      </c>
      <c r="AQ91" s="99">
        <f>AQ89/AP89-1</f>
        <v>7.2227399813606707E-2</v>
      </c>
      <c r="AR91" s="820"/>
      <c r="AS91" s="99">
        <f>AS89/AQ89-1</f>
        <v>0.44893524554541497</v>
      </c>
      <c r="AT91" s="99">
        <f>AT89/AS89-1</f>
        <v>0.70545890821835644</v>
      </c>
      <c r="AU91" s="99">
        <f>AU89/AT89-1</f>
        <v>-0.39869855786141395</v>
      </c>
      <c r="AV91" s="99">
        <f>AV89/AU89-1</f>
        <v>-0.2585551330798479</v>
      </c>
      <c r="AW91" s="820"/>
      <c r="AX91" s="99">
        <f>AX89/AV89-1</f>
        <v>7.6134122287968342E-2</v>
      </c>
      <c r="AY91" s="99">
        <f>AY89/AX89-1</f>
        <v>1.9028592375366569</v>
      </c>
      <c r="AZ91" s="99">
        <f>AZ89/AY89-1</f>
        <v>-0.56939007450435664</v>
      </c>
      <c r="BA91" s="99">
        <f>BA89/AZ89-1</f>
        <v>7.3313782991202281E-2</v>
      </c>
      <c r="BB91" s="820"/>
      <c r="BC91" s="99">
        <f>BC89/BA89-1</f>
        <v>0.13114754098360648</v>
      </c>
      <c r="BD91" s="99">
        <f>BD89/BC89-1</f>
        <v>1.0214975845410628</v>
      </c>
      <c r="BE91" s="99">
        <f>BE89/BD89-1</f>
        <v>-0.40661966782172299</v>
      </c>
      <c r="BF91" s="99">
        <f>BF89/BE89-1</f>
        <v>0.24506645187273457</v>
      </c>
      <c r="BG91" s="820"/>
      <c r="BH91" s="99">
        <f>BH89/BF89-1</f>
        <v>-0.32249716965874176</v>
      </c>
      <c r="BI91" s="99">
        <f>BI89/BH89-1</f>
        <v>1.5426116018142757</v>
      </c>
      <c r="BJ91" s="99">
        <f>BJ89/BI89-1</f>
        <v>-0.63280443150877852</v>
      </c>
      <c r="BK91" s="99">
        <f>BK89/BJ89-1</f>
        <v>8.9491178726668341E-2</v>
      </c>
      <c r="BL91" s="820"/>
      <c r="BM91" s="99">
        <f>BM89/BK89-1</f>
        <v>-0.10349683172964097</v>
      </c>
      <c r="BN91" s="99">
        <f>BN89/BM89-1</f>
        <v>-0.13141361256544504</v>
      </c>
      <c r="BO91" s="99">
        <f>BO89/BN89-1</f>
        <v>0.56720916214587103</v>
      </c>
      <c r="BP91" s="99">
        <f>BP89/BO89-1</f>
        <v>5.0769230769230678E-2</v>
      </c>
      <c r="BQ91" s="820"/>
      <c r="BR91" s="99">
        <f>BR89/BP89-1</f>
        <v>-0.23627379209370425</v>
      </c>
      <c r="BS91" s="99">
        <f>BS89/BR89-1</f>
        <v>0.84279894560268387</v>
      </c>
      <c r="BT91" s="99">
        <f>BT89/BS89-1</f>
        <v>-0.39466840052015606</v>
      </c>
      <c r="BU91" s="99">
        <f>BU89/BT89-1</f>
        <v>0.1634801288936627</v>
      </c>
      <c r="BV91" s="820"/>
      <c r="BW91" s="99">
        <f>BW89/BU89-1</f>
        <v>0.31370014771048749</v>
      </c>
      <c r="BX91" s="99">
        <f>BX89/BW89-1</f>
        <v>0.40548137737174983</v>
      </c>
      <c r="BY91" s="99">
        <f>BY89/BX89-1</f>
        <v>-0.38</v>
      </c>
      <c r="BZ91" s="99">
        <f>BZ89/BY89-1</f>
        <v>0</v>
      </c>
      <c r="CA91" s="820"/>
      <c r="CB91" s="99">
        <f>CB89/BZ89-1</f>
        <v>-0.35483870967741937</v>
      </c>
      <c r="CC91" s="99">
        <f>CC89/CB89-1</f>
        <v>0</v>
      </c>
      <c r="CD91" s="99">
        <f>CD89/CC89-1</f>
        <v>0</v>
      </c>
      <c r="CE91" s="99">
        <f>CE89/CD89-1</f>
        <v>0</v>
      </c>
      <c r="CF91" s="820"/>
    </row>
    <row r="92" spans="2:92" s="76" customFormat="1" ht="12.75">
      <c r="B92" s="845"/>
      <c r="C92" s="12" t="s">
        <v>355</v>
      </c>
      <c r="D92" s="846"/>
      <c r="E92" s="847"/>
      <c r="F92" s="847"/>
      <c r="G92" s="847"/>
      <c r="H92" s="847"/>
      <c r="I92" s="846"/>
      <c r="J92" s="847"/>
      <c r="K92" s="847"/>
      <c r="L92" s="847"/>
      <c r="M92" s="847"/>
      <c r="N92" s="846"/>
      <c r="O92" s="847"/>
      <c r="P92" s="847"/>
      <c r="Q92" s="847"/>
      <c r="R92" s="847"/>
      <c r="S92" s="846"/>
      <c r="T92" s="847"/>
      <c r="U92" s="847"/>
      <c r="V92" s="847"/>
      <c r="W92" s="847"/>
      <c r="X92" s="846"/>
      <c r="Y92" s="847"/>
      <c r="Z92" s="847"/>
      <c r="AA92" s="847"/>
      <c r="AB92" s="847"/>
      <c r="AC92" s="846"/>
      <c r="AD92" s="847"/>
      <c r="AE92" s="847"/>
      <c r="AF92" s="847"/>
      <c r="AG92" s="847"/>
      <c r="AH92" s="846"/>
      <c r="AI92" s="847"/>
      <c r="AJ92" s="847"/>
      <c r="AK92" s="847"/>
      <c r="AL92" s="847"/>
      <c r="AM92" s="846"/>
      <c r="AN92" s="847"/>
      <c r="AO92" s="847"/>
      <c r="AP92" s="847"/>
      <c r="AQ92" s="847"/>
      <c r="AR92" s="846"/>
      <c r="AS92" s="12">
        <v>745</v>
      </c>
      <c r="AT92" s="12">
        <v>610</v>
      </c>
      <c r="AU92" s="12">
        <v>590</v>
      </c>
      <c r="AV92" s="12"/>
      <c r="AW92" s="13"/>
      <c r="AX92" s="12"/>
      <c r="AY92" s="847"/>
      <c r="AZ92" s="847"/>
      <c r="BA92" s="847"/>
      <c r="BB92" s="846"/>
      <c r="BC92" s="12"/>
      <c r="BD92" s="847"/>
      <c r="BE92" s="847"/>
      <c r="BF92" s="847"/>
      <c r="BG92" s="846"/>
      <c r="BH92" s="12"/>
      <c r="BI92" s="847"/>
      <c r="BJ92" s="847"/>
      <c r="BK92" s="847"/>
      <c r="BL92" s="846"/>
      <c r="BM92" s="12"/>
      <c r="BN92" s="847"/>
      <c r="BO92" s="847"/>
      <c r="BP92" s="847"/>
      <c r="BQ92" s="846"/>
      <c r="BR92" s="12"/>
      <c r="BS92" s="847"/>
      <c r="BT92" s="847"/>
      <c r="BU92" s="847"/>
      <c r="BV92" s="846"/>
      <c r="BW92" s="12"/>
      <c r="BX92" s="847"/>
      <c r="BY92" s="847"/>
      <c r="BZ92" s="847"/>
      <c r="CA92" s="846"/>
      <c r="CB92" s="12"/>
      <c r="CC92" s="847"/>
      <c r="CD92" s="847"/>
      <c r="CE92" s="847"/>
      <c r="CF92" s="846"/>
      <c r="CI92" s="7"/>
      <c r="CJ92" s="7"/>
      <c r="CK92" s="7"/>
      <c r="CL92" s="7"/>
      <c r="CM92" s="7"/>
      <c r="CN92" s="7"/>
    </row>
    <row r="93" spans="2:92" s="813" customFormat="1">
      <c r="B93" s="98"/>
      <c r="C93" s="99" t="s">
        <v>21</v>
      </c>
      <c r="D93" s="820"/>
      <c r="E93" s="99"/>
      <c r="F93" s="99"/>
      <c r="G93" s="99"/>
      <c r="H93" s="99"/>
      <c r="I93" s="820"/>
      <c r="J93" s="99"/>
      <c r="K93" s="99"/>
      <c r="L93" s="99"/>
      <c r="M93" s="99"/>
      <c r="N93" s="820"/>
      <c r="O93" s="99"/>
      <c r="P93" s="99"/>
      <c r="Q93" s="99"/>
      <c r="R93" s="99"/>
      <c r="S93" s="820"/>
      <c r="T93" s="99"/>
      <c r="U93" s="99"/>
      <c r="V93" s="99"/>
      <c r="W93" s="99"/>
      <c r="X93" s="820"/>
      <c r="Y93" s="99"/>
      <c r="Z93" s="99"/>
      <c r="AA93" s="99"/>
      <c r="AB93" s="99"/>
      <c r="AC93" s="820"/>
      <c r="AD93" s="99"/>
      <c r="AE93" s="99"/>
      <c r="AF93" s="99"/>
      <c r="AG93" s="99"/>
      <c r="AH93" s="820"/>
      <c r="AI93" s="99"/>
      <c r="AJ93" s="99"/>
      <c r="AK93" s="99"/>
      <c r="AL93" s="99"/>
      <c r="AM93" s="820"/>
      <c r="AN93" s="99"/>
      <c r="AO93" s="99"/>
      <c r="AP93" s="99"/>
      <c r="AQ93" s="99"/>
      <c r="AR93" s="820"/>
      <c r="AS93" s="99"/>
      <c r="AT93" s="99"/>
      <c r="AU93" s="99"/>
      <c r="AV93" s="99"/>
      <c r="AW93" s="806"/>
      <c r="AX93" s="99"/>
      <c r="AY93" s="99"/>
      <c r="AZ93" s="99"/>
      <c r="BA93" s="99"/>
      <c r="BB93" s="820"/>
      <c r="BC93" s="99"/>
      <c r="BD93" s="99"/>
      <c r="BE93" s="99"/>
      <c r="BF93" s="99"/>
      <c r="BG93" s="820"/>
      <c r="BH93" s="99"/>
      <c r="BI93" s="99"/>
      <c r="BJ93" s="99"/>
      <c r="BK93" s="99"/>
      <c r="BL93" s="820"/>
      <c r="BM93" s="99"/>
      <c r="BN93" s="99"/>
      <c r="BO93" s="99"/>
      <c r="BP93" s="99"/>
      <c r="BQ93" s="820"/>
      <c r="BR93" s="99"/>
      <c r="BS93" s="99"/>
      <c r="BT93" s="99"/>
      <c r="BU93" s="99"/>
      <c r="BV93" s="820"/>
      <c r="BW93" s="99"/>
      <c r="BX93" s="99"/>
      <c r="BY93" s="99"/>
      <c r="BZ93" s="99"/>
      <c r="CA93" s="820"/>
      <c r="CB93" s="99"/>
      <c r="CC93" s="99"/>
      <c r="CD93" s="99"/>
      <c r="CE93" s="99"/>
      <c r="CF93" s="820"/>
      <c r="CI93" s="729"/>
      <c r="CJ93" s="729"/>
      <c r="CK93" s="729"/>
      <c r="CL93" s="729"/>
      <c r="CM93" s="729"/>
      <c r="CN93" s="729"/>
    </row>
    <row r="94" spans="2:92" s="7" customFormat="1" ht="12.75">
      <c r="B94" s="169" t="s">
        <v>358</v>
      </c>
      <c r="C94" s="170"/>
      <c r="D94" s="833">
        <f>'Income Statement'!D23</f>
        <v>219796</v>
      </c>
      <c r="E94" s="834">
        <f>'Income Statement'!E23</f>
        <v>59351</v>
      </c>
      <c r="F94" s="834">
        <f>'Income Statement'!F23</f>
        <v>67569</v>
      </c>
      <c r="G94" s="834">
        <f>'Income Statement'!G23</f>
        <v>68637</v>
      </c>
      <c r="H94" s="834">
        <f>'Income Statement'!H23</f>
        <v>69544</v>
      </c>
      <c r="I94" s="835">
        <f>'Income Statement'!I23</f>
        <v>265101</v>
      </c>
      <c r="J94" s="834">
        <f>'Income Statement'!J23</f>
        <v>69565</v>
      </c>
      <c r="K94" s="834">
        <f>'Income Statement'!K23</f>
        <v>72172</v>
      </c>
      <c r="L94" s="834">
        <f>'Income Statement'!L23</f>
        <v>74332</v>
      </c>
      <c r="M94" s="834">
        <f>'Income Statement'!M23</f>
        <v>74217</v>
      </c>
      <c r="N94" s="835">
        <f>'Income Statement'!N23</f>
        <v>290286</v>
      </c>
      <c r="O94" s="834">
        <f>'Income Statement'!O23</f>
        <v>69820</v>
      </c>
      <c r="P94" s="834">
        <f>'Income Statement'!P23</f>
        <v>72600</v>
      </c>
      <c r="Q94" s="834">
        <f>'Income Statement'!Q23</f>
        <v>73769</v>
      </c>
      <c r="R94" s="834">
        <f>'Income Statement'!R23</f>
        <v>72439</v>
      </c>
      <c r="S94" s="835">
        <f>'Income Statement'!S23</f>
        <v>288628</v>
      </c>
      <c r="T94" s="834">
        <f>'Income Statement'!T23</f>
        <v>73393</v>
      </c>
      <c r="U94" s="834">
        <f>'Income Statement'!U23</f>
        <v>76735</v>
      </c>
      <c r="V94" s="834">
        <f>'Income Statement'!V23</f>
        <v>77184</v>
      </c>
      <c r="W94" s="834">
        <f>'Income Statement'!W23</f>
        <v>82079</v>
      </c>
      <c r="X94" s="835">
        <f>'Income Statement'!X23</f>
        <v>309391</v>
      </c>
      <c r="Y94" s="834">
        <f>'Income Statement'!Y23</f>
        <v>82723</v>
      </c>
      <c r="Z94" s="834">
        <f>'Income Statement'!Z23</f>
        <v>91368</v>
      </c>
      <c r="AA94" s="834">
        <f>'Income Statement'!AA23</f>
        <v>93845</v>
      </c>
      <c r="AB94" s="834">
        <f>'Income Statement'!AB23</f>
        <v>95368</v>
      </c>
      <c r="AC94" s="835">
        <f>SUM(Y94:AB94)</f>
        <v>363304</v>
      </c>
      <c r="AD94" s="834">
        <f>'Income Statement'!AD23</f>
        <v>95799</v>
      </c>
      <c r="AE94" s="834">
        <f>'Income Statement'!AE23</f>
        <v>103088</v>
      </c>
      <c r="AF94" s="834">
        <f>'Income Statement'!AF23</f>
        <v>107021</v>
      </c>
      <c r="AG94" s="834">
        <f>AG89+AG82+AG66+AG50+AG22+AG4</f>
        <v>110735</v>
      </c>
      <c r="AH94" s="835">
        <f>SUM(AD94:AG94)</f>
        <v>416643</v>
      </c>
      <c r="AI94" s="834">
        <f>AI89+AI82+AI66+AI50+AI22+AI4</f>
        <v>112626</v>
      </c>
      <c r="AJ94" s="834">
        <f>AJ89+AJ82+AJ66+AJ50+AJ22+AJ4</f>
        <v>124371</v>
      </c>
      <c r="AK94" s="834">
        <f>AK89+AK82+AK66+AK50+AK22+AK4</f>
        <v>128664</v>
      </c>
      <c r="AL94" s="834">
        <f>AL89+AL82+AL66+AL50+AL22+AL4</f>
        <v>127440</v>
      </c>
      <c r="AM94" s="835">
        <f>SUM(AI94:AL94)</f>
        <v>493101</v>
      </c>
      <c r="AN94" s="834">
        <f>AN89+AN82+AN66+AN50+AN22+AN4</f>
        <v>134966</v>
      </c>
      <c r="AO94" s="834">
        <f>AO89+AO82+AO66+AO50+AO22+AO4</f>
        <v>146295</v>
      </c>
      <c r="AP94" s="834">
        <f>AP89+AP82+AP66+AP50+AP22+AP4</f>
        <v>150845</v>
      </c>
      <c r="AQ94" s="834">
        <f>AQ89+AQ82+AQ66+AQ50+AQ22+AQ4</f>
        <v>158916</v>
      </c>
      <c r="AR94" s="835">
        <f>SUM(AN94:AQ94)</f>
        <v>591022</v>
      </c>
      <c r="AS94" s="834">
        <f>AS89+AS82+AS66+AS50+AS22+AS4</f>
        <v>184988</v>
      </c>
      <c r="AT94" s="834">
        <f>AT89+AT82+AT66+AT50+AT22+AT4</f>
        <v>193749</v>
      </c>
      <c r="AU94" s="834">
        <f>AU89+AU82+AU66+AU50+AU22+AU4</f>
        <v>197757</v>
      </c>
      <c r="AV94" s="834">
        <f>AV89+AV82+AV66+AV50+AV22+AV4</f>
        <v>195057</v>
      </c>
      <c r="AW94" s="835">
        <f>SUM(AS94:AV94)</f>
        <v>771551</v>
      </c>
      <c r="AX94" s="834">
        <f>AX89+AX82+AX66+AX50+AX22+AX4</f>
        <v>199857</v>
      </c>
      <c r="AY94" s="834">
        <f>AY89+AY82+AY66+AY50+AY22+AY4</f>
        <v>209418</v>
      </c>
      <c r="AZ94" s="834">
        <f>AZ89+AZ82+AZ66+AZ50+AZ22+AZ4</f>
        <v>214408</v>
      </c>
      <c r="BA94" s="834">
        <f>BA89+BA82+BA66+BA50+BA22+BA4</f>
        <v>218086</v>
      </c>
      <c r="BB94" s="835">
        <f>SUM(AX94:BA94)</f>
        <v>841769</v>
      </c>
      <c r="BC94" s="834">
        <f>BC89+BC82+BC66+BC50+BC22+BC4</f>
        <v>221174</v>
      </c>
      <c r="BD94" s="834">
        <f>BD89+BD82+BD66+BD50+BD22+BD4</f>
        <v>236060</v>
      </c>
      <c r="BE94" s="834">
        <f>BE89+BE82+BE66+BE50+BE22+BE4</f>
        <v>236067</v>
      </c>
      <c r="BF94" s="834">
        <f>BF89+BF82+BF66+BF50+BF22+BF4</f>
        <v>241981</v>
      </c>
      <c r="BG94" s="835">
        <f>SUM(BC94:BF94)</f>
        <v>935282</v>
      </c>
      <c r="BH94" s="834">
        <f>BH89+BH82+BH66+BH50+BH22+BH4</f>
        <v>247066</v>
      </c>
      <c r="BI94" s="834">
        <f>BI89+BI82+BI66+BI50+BI22+BI4</f>
        <v>275124</v>
      </c>
      <c r="BJ94" s="834">
        <f>BJ89+BJ82+BJ66+BJ50+BJ22+BJ4</f>
        <v>275400</v>
      </c>
      <c r="BK94" s="834">
        <f>BK89+BK82+BK66+BK50+BK22+BK4</f>
        <v>288837</v>
      </c>
      <c r="BL94" s="835">
        <f>SUM(BH94:BK94)</f>
        <v>1086427</v>
      </c>
      <c r="BM94" s="834">
        <f>BM89+BM82+BM66+BM50+BM22+BM4</f>
        <v>276541</v>
      </c>
      <c r="BN94" s="834">
        <f>BN89+BN82+BN66+BN50+BN22+BN4</f>
        <v>271091</v>
      </c>
      <c r="BO94" s="834">
        <f>BO89+BO82+BO66+BO50+BO22+BO4</f>
        <v>285746</v>
      </c>
      <c r="BP94" s="834">
        <f>BP89+BP82+BP66+BP50+BP22+BP4</f>
        <v>283285</v>
      </c>
      <c r="BQ94" s="835">
        <f>SUM(BM94:BP94)</f>
        <v>1116663</v>
      </c>
      <c r="BR94" s="834">
        <f>BR89+BR82+BR66+BR50+BR22+BR4</f>
        <v>294802</v>
      </c>
      <c r="BS94" s="834">
        <f>BS89+BS82+BS66+BS50+BS22+BS4</f>
        <v>405303</v>
      </c>
      <c r="BT94" s="834">
        <f>BT89+BT82+BT66+BT50+BT22+BT4</f>
        <v>460624</v>
      </c>
      <c r="BU94" s="834">
        <f>BU89+BU82+BU66+BU50+BU22+BU4</f>
        <v>433321</v>
      </c>
      <c r="BV94" s="835">
        <f>SUM(BR94:BU94)</f>
        <v>1594050</v>
      </c>
      <c r="BW94" s="834">
        <f>BW89+BW82+BW66+BW50+BW22+BW4</f>
        <v>457199.33</v>
      </c>
      <c r="BX94" s="834">
        <f>BX89+BX82+BX66+BX50+BX22+BX4</f>
        <v>461516.29</v>
      </c>
      <c r="BY94" s="834">
        <f>BY89+BY82+BY66+BY50+BY22+BY4</f>
        <v>459062.62999999995</v>
      </c>
      <c r="BZ94" s="834">
        <f>BZ89+BZ82+BZ66+BZ50+BZ22+BZ4</f>
        <v>468992.51999999996</v>
      </c>
      <c r="CA94" s="835">
        <f>SUM(BW94:BZ94)</f>
        <v>1846770.77</v>
      </c>
      <c r="CB94" s="834">
        <f>CB89+CB82+CB66+CB50+CB22+CB4</f>
        <v>463590.28940000007</v>
      </c>
      <c r="CC94" s="834">
        <f>CC89+CC82+CC66+CC50+CC22+CC4</f>
        <v>465638.32199999999</v>
      </c>
      <c r="CD94" s="834">
        <f>CD89+CD82+CD66+CD50+CD22+CD4</f>
        <v>469893.92839999998</v>
      </c>
      <c r="CE94" s="834">
        <f>CE89+CE82+CE66+CE50+CE22+CE4</f>
        <v>475988.67359999998</v>
      </c>
      <c r="CF94" s="835">
        <f>SUM(CB94:CE94)</f>
        <v>1875111.2133999998</v>
      </c>
      <c r="CI94" s="840"/>
      <c r="CJ94" s="840"/>
      <c r="CK94" s="840"/>
      <c r="CL94" s="840"/>
      <c r="CM94" s="840"/>
      <c r="CN94" s="840"/>
    </row>
    <row r="95" spans="2:92" s="7" customFormat="1" ht="12.75">
      <c r="B95" s="11"/>
      <c r="C95" s="12" t="s">
        <v>354</v>
      </c>
      <c r="D95" s="9"/>
      <c r="I95" s="9"/>
      <c r="N95" s="9"/>
      <c r="S95" s="9"/>
      <c r="X95" s="9"/>
      <c r="Y95" s="12">
        <f>T94*(1+Y96)</f>
        <v>79484.618999999992</v>
      </c>
      <c r="Z95" s="12">
        <f>U94*(1+Z96)</f>
        <v>85866.464999999997</v>
      </c>
      <c r="AA95" s="22">
        <f>V94*(1+AA96)</f>
        <v>87295.104000000007</v>
      </c>
      <c r="AB95" s="22">
        <f>W94*(1+AB96)</f>
        <v>91025.611000000004</v>
      </c>
      <c r="AC95" s="23">
        <f>SUM(Y95:AB95)</f>
        <v>343671.799</v>
      </c>
      <c r="AD95" s="425">
        <f>+AD89+AD82+AD71+AD55+AD27+AD11</f>
        <v>94908</v>
      </c>
      <c r="AE95" s="22">
        <f>+AE89+AE82+AE71+AE55+AE27+AE11</f>
        <v>102391</v>
      </c>
      <c r="AF95" s="22">
        <f>+AF89+AF82+AF71+AF55+AF27+AF11</f>
        <v>106409</v>
      </c>
      <c r="AG95" s="22">
        <f>+AG89+AG82+AG71+AG55+AG27+AG11</f>
        <v>109518</v>
      </c>
      <c r="AH95" s="23">
        <f>SUM(AD95:AG95)</f>
        <v>413226</v>
      </c>
      <c r="AI95" s="22">
        <f>+AI89+AI82+AI71+AI55+AI27+AI11</f>
        <v>111967</v>
      </c>
      <c r="AJ95" s="22">
        <f>+AJ89+AJ82+AJ71+AJ55+AJ27+AJ11</f>
        <v>123795</v>
      </c>
      <c r="AK95" s="22">
        <f>+AK89+AK82+AK71+AK55+AK27+AK11</f>
        <v>127755</v>
      </c>
      <c r="AL95" s="22">
        <f>+AL89+AL82+AL71+AL55+AL27+AL11</f>
        <v>126559</v>
      </c>
      <c r="AM95" s="23">
        <f>SUM(AI95:AL95)</f>
        <v>490076</v>
      </c>
      <c r="AN95" s="22">
        <f>+AN89+AN82+AN71+AN55+AN27+AN11</f>
        <v>134116</v>
      </c>
      <c r="AO95" s="22">
        <f>+AO89+AO82+AO71+AO55+AO27+AO11</f>
        <v>145095</v>
      </c>
      <c r="AP95" s="22">
        <f>+AP89+AP82+AP71+AP55+AP27+AP11</f>
        <v>149845</v>
      </c>
      <c r="AQ95" s="22">
        <f>+AQ89+AQ82+AQ71+AQ55+AQ27+AQ11</f>
        <v>144773.22000000003</v>
      </c>
      <c r="AR95" s="23">
        <f>SUM(AN95:AQ95)</f>
        <v>573829.22</v>
      </c>
      <c r="AS95" s="22">
        <f>+AS89+AS82+AS71+AS55+AS27+AS11+AS5-AS92-AS61-AS17-AS33</f>
        <v>161339</v>
      </c>
      <c r="AT95" s="22">
        <f>+AT89+AT82+AT71+AT55+AT27+AT11+AT5</f>
        <v>178772</v>
      </c>
      <c r="AU95" s="22">
        <f>+AU89+AU82+AU71+AU55+AU27+AU11+AU5</f>
        <v>180872</v>
      </c>
      <c r="AV95" s="22">
        <f>+AV89+AV82+AV71+AV55+AV27+AV11+AV5</f>
        <v>195057</v>
      </c>
      <c r="AW95" s="23">
        <f>SUM(AS95:AV95)</f>
        <v>716040</v>
      </c>
      <c r="AX95" s="22">
        <f>+AX89+AX82+AX71+AX55+AX27+AX11+AX5-AX92-AX61-AX17-AX33</f>
        <v>199857</v>
      </c>
      <c r="AY95" s="22">
        <f>+AY89+AY82+AY71+AY55+AY27+AY11+AY5</f>
        <v>209418</v>
      </c>
      <c r="AZ95" s="22">
        <f>+AZ89+AZ82+AZ71+AZ55+AZ27+AZ11+AZ5</f>
        <v>214408</v>
      </c>
      <c r="BA95" s="22">
        <f>+BA89+BA82+BA71+BA55+BA27+BA11+BA5</f>
        <v>218086</v>
      </c>
      <c r="BB95" s="23">
        <f>SUM(AX95:BA95)</f>
        <v>841769</v>
      </c>
      <c r="BC95" s="22">
        <f>+BC89+BC82+BC71+BC55+BC27+BC11+BC5-BC92-BC61-BC17-BC33</f>
        <v>216621</v>
      </c>
      <c r="BD95" s="22">
        <f>+BD89+BD82+BD71+BD55+BD27+BD11+BD5</f>
        <v>236060</v>
      </c>
      <c r="BE95" s="22">
        <f>+BE89+BE82+BE71+BE55+BE27+BE11+BE5</f>
        <v>236067</v>
      </c>
      <c r="BF95" s="22">
        <f>+BF89+BF82+BF71+BF55+BF27+BF11+BF5</f>
        <v>241981</v>
      </c>
      <c r="BG95" s="23">
        <f>SUM(BC95:BF95)</f>
        <v>930729</v>
      </c>
      <c r="BH95" s="22">
        <f>+BH89+BH82+BH71+BH55+BH27+BH11+BH5-BH92-BH61-BH17-BH33</f>
        <v>247066</v>
      </c>
      <c r="BI95" s="22">
        <f>+BI89+BI82+BI71+BI55+BI27+BI11+BI5</f>
        <v>275124</v>
      </c>
      <c r="BJ95" s="22">
        <f>+BJ89+BJ82+BJ71+BJ55+BJ27+BJ11+BJ5</f>
        <v>275400</v>
      </c>
      <c r="BK95" s="22">
        <f>+BK89+BK82+BK71+BK55+BK27+BK11+BK5</f>
        <v>288837</v>
      </c>
      <c r="BL95" s="23">
        <f>SUM(BH95:BK95)</f>
        <v>1086427</v>
      </c>
      <c r="BM95" s="22">
        <f>+BM89+BM82+BM71+BM55+BM27+BM11+BM5-BM92-BM61-BM17-BM33</f>
        <v>276541</v>
      </c>
      <c r="BN95" s="22">
        <f>+BN89+BN82+BN71+BN55+BN27+BN11+BN5</f>
        <v>265432</v>
      </c>
      <c r="BO95" s="22">
        <f>+BO89+BO82+BO71+BO55+BO27+BO11+BO5</f>
        <v>274087</v>
      </c>
      <c r="BP95" s="22">
        <f>+BP89+BP82+BP71+BP55+BP27+BP11+BP5</f>
        <v>284608.40000000002</v>
      </c>
      <c r="BQ95" s="23">
        <f>SUM(BM95:BP95)</f>
        <v>1100668.3999999999</v>
      </c>
      <c r="BR95" s="22">
        <f>+BR89+BR82+BR71+BR55+BR27+BR11+BR5-BR92-BR61-BR17-BR33</f>
        <v>293226.86</v>
      </c>
      <c r="BS95" s="22">
        <f>+BS89+BS82+BS71+BS55+BS27+BS11+BS5</f>
        <v>301602.49</v>
      </c>
      <c r="BT95" s="22">
        <f>+BT89+BT82+BT71+BT55+BT27+BT11+BT5</f>
        <v>309975</v>
      </c>
      <c r="BU95" s="22">
        <f>+BU89+BU82+BU71+BU55+BU27+BU11+BU5</f>
        <v>316894.8</v>
      </c>
      <c r="BV95" s="23">
        <f>SUM(BR95:BU95)</f>
        <v>1221699.1499999999</v>
      </c>
      <c r="BW95" s="22">
        <f>+BW89+BW82+BW71+BW55+BW27+BW11+BW5-BW92-BW61-BW17-BW33</f>
        <v>440466.48000000004</v>
      </c>
      <c r="BX95" s="22">
        <f>+BX89+BX82+BX71+BX55+BX27+BX11+BX5</f>
        <v>446516.29</v>
      </c>
      <c r="BY95" s="22">
        <f>+BY89+BY82+BY71+BY55+BY27+BY11+BY5</f>
        <v>460062.62999999995</v>
      </c>
      <c r="BZ95" s="22">
        <f>+BZ89+BZ82+BZ71+BZ55+BZ27+BZ11+BZ5</f>
        <v>469992.51999999996</v>
      </c>
      <c r="CA95" s="23">
        <f>SUM(BW95:BZ95)</f>
        <v>1817037.92</v>
      </c>
      <c r="CB95" s="22">
        <f>+CB89+CB82+CB71+CB55+CB27+CB11+CB5-CB92-CB61-CB17-CB33</f>
        <v>470590.28940000007</v>
      </c>
      <c r="CC95" s="22">
        <f>+CC89+CC82+CC71+CC55+CC27+CC11+CC5</f>
        <v>460638.32199999999</v>
      </c>
      <c r="CD95" s="22">
        <f>+CD89+CD82+CD71+CD55+CD27+CD11+CD5</f>
        <v>481893.92839999998</v>
      </c>
      <c r="CE95" s="22">
        <f>+CE89+CE82+CE71+CE55+CE27+CE11+CE5</f>
        <v>487988.67359999998</v>
      </c>
      <c r="CF95" s="23">
        <f>SUM(CB95:CE95)</f>
        <v>1901111.2133999998</v>
      </c>
    </row>
    <row r="96" spans="2:92" s="97" customFormat="1" ht="10.15">
      <c r="B96" s="98"/>
      <c r="C96" s="99" t="s">
        <v>21</v>
      </c>
      <c r="D96" s="100"/>
      <c r="E96" s="99"/>
      <c r="F96" s="99"/>
      <c r="G96" s="99"/>
      <c r="H96" s="99"/>
      <c r="I96" s="100"/>
      <c r="J96" s="99"/>
      <c r="K96" s="99"/>
      <c r="L96" s="99"/>
      <c r="M96" s="99"/>
      <c r="N96" s="100"/>
      <c r="O96" s="99"/>
      <c r="P96" s="99"/>
      <c r="Q96" s="99"/>
      <c r="R96" s="99"/>
      <c r="S96" s="100"/>
      <c r="T96" s="99"/>
      <c r="U96" s="99"/>
      <c r="V96" s="99"/>
      <c r="W96" s="99"/>
      <c r="X96" s="100"/>
      <c r="Y96" s="99">
        <v>8.3000000000000004E-2</v>
      </c>
      <c r="Z96" s="99">
        <v>0.11899999999999999</v>
      </c>
      <c r="AA96" s="99">
        <v>0.13100000000000001</v>
      </c>
      <c r="AB96" s="99">
        <v>0.109</v>
      </c>
      <c r="AC96" s="100">
        <f t="shared" ref="AC96:BH96" si="79">AC95/X94-1</f>
        <v>0.11080089272150784</v>
      </c>
      <c r="AD96" s="98">
        <f t="shared" si="79"/>
        <v>0.14729881653228238</v>
      </c>
      <c r="AE96" s="99">
        <f t="shared" si="79"/>
        <v>0.12064398914280705</v>
      </c>
      <c r="AF96" s="99">
        <f t="shared" si="79"/>
        <v>0.13388033459427784</v>
      </c>
      <c r="AG96" s="99">
        <f t="shared" si="79"/>
        <v>0.14837261974666549</v>
      </c>
      <c r="AH96" s="100">
        <f t="shared" si="79"/>
        <v>0.13741109373967797</v>
      </c>
      <c r="AI96" s="99">
        <f t="shared" si="79"/>
        <v>0.16877002891470694</v>
      </c>
      <c r="AJ96" s="99">
        <f t="shared" si="79"/>
        <v>0.20086722023901915</v>
      </c>
      <c r="AK96" s="99">
        <f t="shared" si="79"/>
        <v>0.19373767765204963</v>
      </c>
      <c r="AL96" s="99">
        <f t="shared" si="79"/>
        <v>0.14289971553709302</v>
      </c>
      <c r="AM96" s="100">
        <f t="shared" si="79"/>
        <v>0.17624921095518231</v>
      </c>
      <c r="AN96" s="99">
        <f t="shared" si="79"/>
        <v>0.19080851668353671</v>
      </c>
      <c r="AO96" s="99">
        <f t="shared" si="79"/>
        <v>0.16663048459849961</v>
      </c>
      <c r="AP96" s="99">
        <f t="shared" si="79"/>
        <v>0.16462258285145803</v>
      </c>
      <c r="AQ96" s="99">
        <f t="shared" si="79"/>
        <v>0.13601082862523572</v>
      </c>
      <c r="AR96" s="100">
        <f t="shared" si="79"/>
        <v>0.16371538488058213</v>
      </c>
      <c r="AS96" s="99">
        <f t="shared" si="79"/>
        <v>0.19540476860839018</v>
      </c>
      <c r="AT96" s="99">
        <f t="shared" si="79"/>
        <v>0.22199665060323315</v>
      </c>
      <c r="AU96" s="99">
        <f t="shared" si="79"/>
        <v>0.1990586363485698</v>
      </c>
      <c r="AV96" s="99">
        <f t="shared" si="79"/>
        <v>0.22742203428226238</v>
      </c>
      <c r="AW96" s="100">
        <f t="shared" si="79"/>
        <v>0.21152850486107111</v>
      </c>
      <c r="AX96" s="99">
        <f t="shared" si="79"/>
        <v>8.0378186693190967E-2</v>
      </c>
      <c r="AY96" s="99">
        <f t="shared" si="79"/>
        <v>8.0872675471873379E-2</v>
      </c>
      <c r="AZ96" s="99">
        <f t="shared" si="79"/>
        <v>8.4199295094484539E-2</v>
      </c>
      <c r="BA96" s="99">
        <f t="shared" si="79"/>
        <v>0.11806292519622463</v>
      </c>
      <c r="BB96" s="100">
        <f t="shared" si="79"/>
        <v>9.1008889885438649E-2</v>
      </c>
      <c r="BC96" s="99">
        <f t="shared" si="79"/>
        <v>8.3879974181539696E-2</v>
      </c>
      <c r="BD96" s="99">
        <f t="shared" si="79"/>
        <v>0.12721924571908816</v>
      </c>
      <c r="BE96" s="99">
        <f t="shared" si="79"/>
        <v>0.10101768590724225</v>
      </c>
      <c r="BF96" s="99">
        <f t="shared" si="79"/>
        <v>0.10956686811624783</v>
      </c>
      <c r="BG96" s="100">
        <f t="shared" si="79"/>
        <v>0.10568220022357688</v>
      </c>
      <c r="BH96" s="99">
        <f t="shared" si="79"/>
        <v>0.11706620127139722</v>
      </c>
      <c r="BI96" s="99">
        <f t="shared" ref="BI96:CF96" si="80">BI95/BD94-1</f>
        <v>0.1654833516902483</v>
      </c>
      <c r="BJ96" s="99">
        <f t="shared" si="80"/>
        <v>0.16661795168320848</v>
      </c>
      <c r="BK96" s="99">
        <f t="shared" si="80"/>
        <v>0.19363503746161892</v>
      </c>
      <c r="BL96" s="100">
        <f t="shared" si="80"/>
        <v>0.16160366606007592</v>
      </c>
      <c r="BM96" s="99">
        <f t="shared" si="80"/>
        <v>0.11930010604453867</v>
      </c>
      <c r="BN96" s="99">
        <f t="shared" si="80"/>
        <v>-3.5227751850074873E-2</v>
      </c>
      <c r="BO96" s="99">
        <f t="shared" si="80"/>
        <v>-4.7676107480029151E-3</v>
      </c>
      <c r="BP96" s="99">
        <f t="shared" si="80"/>
        <v>-1.4640091124059507E-2</v>
      </c>
      <c r="BQ96" s="100">
        <f t="shared" si="80"/>
        <v>1.3108473924156705E-2</v>
      </c>
      <c r="BR96" s="99">
        <f t="shared" si="80"/>
        <v>6.0337743770363161E-2</v>
      </c>
      <c r="BS96" s="99">
        <f t="shared" si="80"/>
        <v>0.11255073019760897</v>
      </c>
      <c r="BT96" s="99">
        <f t="shared" si="80"/>
        <v>8.479208807822336E-2</v>
      </c>
      <c r="BU96" s="99">
        <f t="shared" si="80"/>
        <v>0.11864306264009739</v>
      </c>
      <c r="BV96" s="100">
        <f t="shared" si="80"/>
        <v>9.4062532742644756E-2</v>
      </c>
      <c r="BW96" s="99">
        <f t="shared" si="80"/>
        <v>0.49410953792715118</v>
      </c>
      <c r="BX96" s="99">
        <f t="shared" si="80"/>
        <v>0.10168513433159876</v>
      </c>
      <c r="BY96" s="99">
        <f t="shared" si="80"/>
        <v>-1.2187163499949305E-3</v>
      </c>
      <c r="BZ96" s="99">
        <f t="shared" si="80"/>
        <v>8.4628993286731902E-2</v>
      </c>
      <c r="CA96" s="100">
        <f t="shared" si="80"/>
        <v>0.13988765722530649</v>
      </c>
      <c r="CB96" s="99">
        <f t="shared" si="80"/>
        <v>2.9289105476160815E-2</v>
      </c>
      <c r="CC96" s="99">
        <f t="shared" si="80"/>
        <v>-1.9023553859821574E-3</v>
      </c>
      <c r="CD96" s="99">
        <f t="shared" si="80"/>
        <v>4.9734604622467371E-2</v>
      </c>
      <c r="CE96" s="99">
        <f t="shared" si="80"/>
        <v>4.0504171793614097E-2</v>
      </c>
      <c r="CF96" s="100">
        <f t="shared" si="80"/>
        <v>2.9424574117555391E-2</v>
      </c>
    </row>
    <row r="97" spans="2:92" s="7" customFormat="1" ht="12.75">
      <c r="B97" s="11"/>
      <c r="C97" s="12" t="s">
        <v>355</v>
      </c>
      <c r="D97" s="9"/>
      <c r="I97" s="9"/>
      <c r="N97" s="9"/>
      <c r="S97" s="9"/>
      <c r="X97" s="9"/>
      <c r="Y97" s="22">
        <f>Y94-Y95</f>
        <v>3238.3810000000085</v>
      </c>
      <c r="Z97" s="22">
        <f>Z94-Z95</f>
        <v>5501.5350000000035</v>
      </c>
      <c r="AA97" s="22">
        <f>AA94-AA95</f>
        <v>6549.8959999999934</v>
      </c>
      <c r="AB97" s="22">
        <f>AB94-AB95</f>
        <v>4342.3889999999956</v>
      </c>
      <c r="AC97" s="23">
        <f>SUM(Y97:AB97)</f>
        <v>19632.201000000001</v>
      </c>
      <c r="AD97" s="425">
        <f>AD77+AD61+AD33+AD17</f>
        <v>0</v>
      </c>
      <c r="AE97" s="22">
        <f>AE77+AE61+AE33+AE17</f>
        <v>750</v>
      </c>
      <c r="AF97" s="22">
        <f>AF77+AF61+AF33+AF17</f>
        <v>0</v>
      </c>
      <c r="AG97" s="22">
        <f>AG77+AG61+AG33+AG17</f>
        <v>866</v>
      </c>
      <c r="AH97" s="9"/>
      <c r="AI97" s="22">
        <f>AI77+AI61+AI33+AI17</f>
        <v>0</v>
      </c>
      <c r="AJ97" s="22">
        <f>AJ77+AJ61+AJ33+AJ17</f>
        <v>0</v>
      </c>
      <c r="AK97" s="22">
        <f>AK77+AK61+AK33+AK17</f>
        <v>0</v>
      </c>
      <c r="AL97" s="22">
        <f>AL77+AL61+AL33+AL17</f>
        <v>0</v>
      </c>
      <c r="AM97" s="9"/>
      <c r="AN97" s="22">
        <f>AN77+AN61+AN33+AN17</f>
        <v>0</v>
      </c>
      <c r="AO97" s="22">
        <f>AO77+AO61+AO33+AO17</f>
        <v>0</v>
      </c>
      <c r="AP97" s="22">
        <f>AP77+AP61+AP33+AP17</f>
        <v>0</v>
      </c>
      <c r="AQ97" s="22">
        <f>AQ77+AQ61+AQ33+AQ17</f>
        <v>13823.779999999973</v>
      </c>
      <c r="AR97" s="9"/>
      <c r="AS97" s="22">
        <f>AS77+AS61+AS33+AS17+AS92</f>
        <v>23649</v>
      </c>
      <c r="AT97" s="22">
        <f>AT77+AT61+AT33+AT17+AT92</f>
        <v>25967</v>
      </c>
      <c r="AU97" s="22">
        <f>AU77+AU61+AU33+AU17+AU92</f>
        <v>27410</v>
      </c>
      <c r="AV97" s="22">
        <f>AV77+AV61+AV33+AV17</f>
        <v>0</v>
      </c>
      <c r="AW97" s="23">
        <f>SUM(AS97:AV97)</f>
        <v>77026</v>
      </c>
      <c r="AX97" s="22">
        <f>AX77+AX61+AX33+AX17+AX92</f>
        <v>0</v>
      </c>
      <c r="AY97" s="22">
        <f>AY77+AY61+AY33+AY17</f>
        <v>0</v>
      </c>
      <c r="AZ97" s="22">
        <f>AZ77+AZ61+AZ33+AZ17</f>
        <v>0</v>
      </c>
      <c r="BA97" s="22">
        <f>BA77+BA61+BA33+BA17</f>
        <v>0</v>
      </c>
      <c r="BB97" s="23">
        <f>SUM(AX97:BA97)</f>
        <v>0</v>
      </c>
      <c r="BC97" s="22">
        <f>BC77+BC61+BC33+BC17+BC92</f>
        <v>0</v>
      </c>
      <c r="BD97" s="22">
        <f>BD77+BD61+BD33+BD17</f>
        <v>0</v>
      </c>
      <c r="BE97" s="22">
        <f>BE77+BE61+BE33+BE17</f>
        <v>0</v>
      </c>
      <c r="BF97" s="22">
        <f>BF77+BF61+BF33+BF17</f>
        <v>0</v>
      </c>
      <c r="BG97" s="23">
        <f>SUM(BC97:BF97)</f>
        <v>0</v>
      </c>
      <c r="BH97" s="22">
        <f>BH77+BH61+BH33+BH17+BH92</f>
        <v>0</v>
      </c>
      <c r="BI97" s="22">
        <f>BI77+BI61+BI33+BI17</f>
        <v>0</v>
      </c>
      <c r="BJ97" s="22">
        <f>BJ77+BJ61+BJ33+BJ17</f>
        <v>0</v>
      </c>
      <c r="BK97" s="22">
        <f>BK77+BK61+BK33+BK17</f>
        <v>0</v>
      </c>
      <c r="BL97" s="23">
        <f>SUM(BH97:BK97)</f>
        <v>0</v>
      </c>
      <c r="BM97" s="22">
        <f>BM77+BM61+BM33+BM17+BM92</f>
        <v>0</v>
      </c>
      <c r="BN97" s="22">
        <f>BN77+BN61+BN33+BN17</f>
        <v>0</v>
      </c>
      <c r="BO97" s="22">
        <f>BO77+BO61+BO33+BO17</f>
        <v>0</v>
      </c>
      <c r="BP97" s="22">
        <f>BP77+BP61+BP33+BP17</f>
        <v>0</v>
      </c>
      <c r="BQ97" s="23">
        <f>SUM(BM97:BP97)</f>
        <v>0</v>
      </c>
      <c r="BR97" s="22">
        <f>BR77+BR61+BR33+BR17+BR92</f>
        <v>0</v>
      </c>
      <c r="BS97" s="22">
        <f>BS77+BS61+BS33+BS17</f>
        <v>100726</v>
      </c>
      <c r="BT97" s="22">
        <f>BT81+BT65+BT46+BT17</f>
        <v>150585</v>
      </c>
      <c r="BU97" s="22">
        <f>BU77+BU61+BU33+BU17</f>
        <v>127124</v>
      </c>
      <c r="BV97" s="23">
        <f>SUM(BR97:BU97)</f>
        <v>378435</v>
      </c>
      <c r="BW97" s="22">
        <f>BW77+BW61+BW33+BW17+BW92</f>
        <v>13311</v>
      </c>
      <c r="BX97" s="22">
        <f>BX77+BX61+BX33+BX17</f>
        <v>0</v>
      </c>
      <c r="BY97" s="22">
        <f>BY77+BY61+BY33+BY17</f>
        <v>0</v>
      </c>
      <c r="BZ97" s="22">
        <f>BZ77+BZ61+BZ33+BZ17</f>
        <v>0</v>
      </c>
      <c r="CA97" s="23">
        <f>SUM(BW97:BZ97)</f>
        <v>13311</v>
      </c>
      <c r="CB97" s="22">
        <f>CB77+CB61+CB33+CB17+CB92</f>
        <v>0</v>
      </c>
      <c r="CC97" s="22">
        <f>CC77+CC61+CC33+CC17</f>
        <v>0</v>
      </c>
      <c r="CD97" s="22">
        <f>CD77+CD61+CD33+CD17</f>
        <v>0</v>
      </c>
      <c r="CE97" s="22">
        <f>CE77+CE61+CE33+CE17</f>
        <v>0</v>
      </c>
      <c r="CF97" s="23">
        <f>SUM(CB97:CE97)</f>
        <v>0</v>
      </c>
      <c r="CI97" s="842"/>
      <c r="CJ97" s="842"/>
      <c r="CK97" s="842"/>
      <c r="CL97" s="842"/>
      <c r="CM97" s="842"/>
      <c r="CN97" s="842"/>
    </row>
    <row r="98" spans="2:92" s="97" customFormat="1">
      <c r="B98" s="98"/>
      <c r="C98" s="99" t="s">
        <v>21</v>
      </c>
      <c r="D98" s="100"/>
      <c r="E98" s="99"/>
      <c r="F98" s="99"/>
      <c r="G98" s="99"/>
      <c r="H98" s="99"/>
      <c r="I98" s="100"/>
      <c r="J98" s="99"/>
      <c r="K98" s="99"/>
      <c r="L98" s="99"/>
      <c r="M98" s="99"/>
      <c r="N98" s="100"/>
      <c r="O98" s="99"/>
      <c r="P98" s="99"/>
      <c r="Q98" s="99"/>
      <c r="R98" s="99"/>
      <c r="S98" s="100"/>
      <c r="T98" s="99"/>
      <c r="U98" s="99"/>
      <c r="V98" s="99"/>
      <c r="W98" s="99"/>
      <c r="X98" s="100"/>
      <c r="Y98" s="99">
        <v>3.5999999999999997E-2</v>
      </c>
      <c r="Z98" s="99">
        <v>7.1999999999999995E-2</v>
      </c>
      <c r="AA98" s="99"/>
      <c r="AB98" s="99"/>
      <c r="AC98" s="100"/>
      <c r="AD98" s="98"/>
      <c r="AE98" s="99"/>
      <c r="AF98" s="99"/>
      <c r="AG98" s="99"/>
      <c r="AH98" s="801">
        <f>SUM(AD98:AG98)</f>
        <v>0</v>
      </c>
      <c r="AI98" s="99"/>
      <c r="AJ98" s="99"/>
      <c r="AK98" s="99"/>
      <c r="AL98" s="99"/>
      <c r="AM98" s="801">
        <f>SUM(AI98:AL98)</f>
        <v>0</v>
      </c>
      <c r="AN98" s="99"/>
      <c r="AO98" s="99"/>
      <c r="AP98" s="99"/>
      <c r="AQ98" s="99"/>
      <c r="AR98" s="801">
        <f>SUM(AN98:AQ98)</f>
        <v>0</v>
      </c>
      <c r="AS98" s="99"/>
      <c r="AT98" s="99"/>
      <c r="AU98" s="99"/>
      <c r="AV98" s="99"/>
      <c r="AW98" s="801">
        <f>SUM(AS98:AV98)</f>
        <v>0</v>
      </c>
      <c r="AX98" s="99"/>
      <c r="AY98" s="99"/>
      <c r="AZ98" s="99"/>
      <c r="BA98" s="99"/>
      <c r="BB98" s="801">
        <f>SUM(AX98:BA98)</f>
        <v>0</v>
      </c>
      <c r="BC98" s="99"/>
      <c r="BD98" s="99"/>
      <c r="BE98" s="99"/>
      <c r="BF98" s="99"/>
      <c r="BG98" s="801">
        <f>SUM(BC98:BF98)</f>
        <v>0</v>
      </c>
      <c r="BH98" s="99"/>
      <c r="BI98" s="99"/>
      <c r="BJ98" s="99"/>
      <c r="BK98" s="99"/>
      <c r="BL98" s="801">
        <f>SUM(BH98:BK98)</f>
        <v>0</v>
      </c>
      <c r="BM98" s="99"/>
      <c r="BN98" s="99"/>
      <c r="BO98" s="99"/>
      <c r="BP98" s="99"/>
      <c r="BQ98" s="801">
        <f>SUM(BM98:BP98)</f>
        <v>0</v>
      </c>
      <c r="BR98" s="99"/>
      <c r="BS98" s="99"/>
      <c r="BT98" s="99"/>
      <c r="BU98" s="99"/>
      <c r="BV98" s="801">
        <f>SUM(BR98:BU98)</f>
        <v>0</v>
      </c>
      <c r="BW98" s="99"/>
      <c r="BX98" s="99"/>
      <c r="BY98" s="99"/>
      <c r="BZ98" s="99"/>
      <c r="CA98" s="801">
        <f>SUM(BW98:BZ98)</f>
        <v>0</v>
      </c>
      <c r="CB98" s="99"/>
      <c r="CC98" s="99"/>
      <c r="CD98" s="99"/>
      <c r="CE98" s="99"/>
      <c r="CF98" s="801">
        <f>SUM(CB98:CE98)</f>
        <v>0</v>
      </c>
      <c r="CI98" s="181"/>
      <c r="CJ98" s="181"/>
      <c r="CK98" s="181"/>
      <c r="CL98" s="181"/>
      <c r="CM98" s="181"/>
      <c r="CN98" s="181"/>
    </row>
    <row r="99" spans="2:92" s="181" customFormat="1">
      <c r="B99" s="98"/>
      <c r="C99" s="99" t="s">
        <v>356</v>
      </c>
      <c r="D99" s="808"/>
      <c r="I99" s="808"/>
      <c r="J99" s="99">
        <f t="shared" ref="J99:AC99" si="81">J94/E94-1</f>
        <v>0.17209482569796641</v>
      </c>
      <c r="K99" s="99">
        <f t="shared" si="81"/>
        <v>6.8122955793337159E-2</v>
      </c>
      <c r="L99" s="99">
        <f t="shared" si="81"/>
        <v>8.297274065008664E-2</v>
      </c>
      <c r="M99" s="99">
        <f t="shared" si="81"/>
        <v>6.7194869435177829E-2</v>
      </c>
      <c r="N99" s="100">
        <f t="shared" si="81"/>
        <v>9.5001527719623891E-2</v>
      </c>
      <c r="O99" s="99">
        <f t="shared" si="81"/>
        <v>3.6656364551139742E-3</v>
      </c>
      <c r="P99" s="99">
        <f t="shared" si="81"/>
        <v>5.9302776700105309E-3</v>
      </c>
      <c r="Q99" s="99">
        <f t="shared" si="81"/>
        <v>-7.5741268901684533E-3</v>
      </c>
      <c r="R99" s="99">
        <f t="shared" si="81"/>
        <v>-2.395677540186214E-2</v>
      </c>
      <c r="S99" s="100">
        <f t="shared" si="81"/>
        <v>-5.7116085515663828E-3</v>
      </c>
      <c r="T99" s="99">
        <f t="shared" si="81"/>
        <v>5.117444858206821E-2</v>
      </c>
      <c r="U99" s="99">
        <f t="shared" si="81"/>
        <v>5.6955922865013831E-2</v>
      </c>
      <c r="V99" s="99">
        <f t="shared" si="81"/>
        <v>4.6293158372758159E-2</v>
      </c>
      <c r="W99" s="99">
        <f t="shared" si="81"/>
        <v>0.13307748588467527</v>
      </c>
      <c r="X99" s="100">
        <f t="shared" si="81"/>
        <v>7.1936887620050793E-2</v>
      </c>
      <c r="Y99" s="99">
        <f t="shared" si="81"/>
        <v>0.12712384014824307</v>
      </c>
      <c r="Z99" s="99">
        <f t="shared" si="81"/>
        <v>0.19069524988597131</v>
      </c>
      <c r="AA99" s="99">
        <f t="shared" si="81"/>
        <v>0.21586080016583753</v>
      </c>
      <c r="AB99" s="99">
        <f t="shared" si="81"/>
        <v>0.16190499396922475</v>
      </c>
      <c r="AC99" s="100">
        <f t="shared" si="81"/>
        <v>0.17425523043656721</v>
      </c>
      <c r="AD99" s="99">
        <f t="shared" ref="AD99:BI99" si="82">AD94/Y94-1</f>
        <v>0.15806970250111818</v>
      </c>
      <c r="AE99" s="99">
        <f t="shared" si="82"/>
        <v>0.1282724805183435</v>
      </c>
      <c r="AF99" s="99">
        <f t="shared" si="82"/>
        <v>0.14040172625073266</v>
      </c>
      <c r="AG99" s="99">
        <f t="shared" si="82"/>
        <v>0.16113371361462958</v>
      </c>
      <c r="AH99" s="100">
        <f t="shared" si="82"/>
        <v>0.14681644022636697</v>
      </c>
      <c r="AI99" s="99">
        <f t="shared" si="82"/>
        <v>0.17564901512541886</v>
      </c>
      <c r="AJ99" s="99">
        <f t="shared" si="82"/>
        <v>0.2064546794971287</v>
      </c>
      <c r="AK99" s="99">
        <f t="shared" si="82"/>
        <v>0.20223133777482927</v>
      </c>
      <c r="AL99" s="99">
        <f t="shared" si="82"/>
        <v>0.15085564636293847</v>
      </c>
      <c r="AM99" s="100">
        <f t="shared" si="82"/>
        <v>0.18350962334660603</v>
      </c>
      <c r="AN99" s="99">
        <f t="shared" si="82"/>
        <v>0.19835561948395575</v>
      </c>
      <c r="AO99" s="99">
        <f t="shared" si="82"/>
        <v>0.17627903610970397</v>
      </c>
      <c r="AP99" s="99">
        <f t="shared" si="82"/>
        <v>0.17239476465833481</v>
      </c>
      <c r="AQ99" s="99">
        <f t="shared" si="82"/>
        <v>0.2469868173258003</v>
      </c>
      <c r="AR99" s="100">
        <f t="shared" si="82"/>
        <v>0.1985820349177958</v>
      </c>
      <c r="AS99" s="99">
        <f t="shared" si="82"/>
        <v>0.37062667634811741</v>
      </c>
      <c r="AT99" s="99">
        <f t="shared" si="82"/>
        <v>0.3243719881062237</v>
      </c>
      <c r="AU99" s="99">
        <f t="shared" si="82"/>
        <v>0.31099472968941622</v>
      </c>
      <c r="AV99" s="99">
        <f t="shared" si="82"/>
        <v>0.22742203428226238</v>
      </c>
      <c r="AW99" s="100">
        <f t="shared" si="82"/>
        <v>0.30545225050844138</v>
      </c>
      <c r="AX99" s="99">
        <f t="shared" si="82"/>
        <v>8.0378186693190967E-2</v>
      </c>
      <c r="AY99" s="99">
        <f t="shared" si="82"/>
        <v>8.0872675471873379E-2</v>
      </c>
      <c r="AZ99" s="99">
        <f t="shared" si="82"/>
        <v>8.4199295094484539E-2</v>
      </c>
      <c r="BA99" s="99">
        <f t="shared" si="82"/>
        <v>0.11806292519622463</v>
      </c>
      <c r="BB99" s="100">
        <f t="shared" si="82"/>
        <v>9.1008889885438649E-2</v>
      </c>
      <c r="BC99" s="99">
        <f t="shared" si="82"/>
        <v>0.106661262802904</v>
      </c>
      <c r="BD99" s="99">
        <f t="shared" si="82"/>
        <v>0.12721924571908816</v>
      </c>
      <c r="BE99" s="99">
        <f t="shared" si="82"/>
        <v>0.10101768590724225</v>
      </c>
      <c r="BF99" s="99">
        <f t="shared" si="82"/>
        <v>0.10956686811624783</v>
      </c>
      <c r="BG99" s="100">
        <f t="shared" si="82"/>
        <v>0.11109104754392241</v>
      </c>
      <c r="BH99" s="99">
        <f t="shared" si="82"/>
        <v>0.11706620127139722</v>
      </c>
      <c r="BI99" s="99">
        <f t="shared" si="82"/>
        <v>0.1654833516902483</v>
      </c>
      <c r="BJ99" s="99">
        <f t="shared" ref="BJ99:CF99" si="83">BJ94/BE94-1</f>
        <v>0.16661795168320848</v>
      </c>
      <c r="BK99" s="99">
        <f t="shared" si="83"/>
        <v>0.19363503746161892</v>
      </c>
      <c r="BL99" s="100">
        <f t="shared" si="83"/>
        <v>0.16160366606007592</v>
      </c>
      <c r="BM99" s="99">
        <f t="shared" si="83"/>
        <v>0.11930010604453867</v>
      </c>
      <c r="BN99" s="99">
        <f t="shared" si="83"/>
        <v>-1.4658844739099508E-2</v>
      </c>
      <c r="BO99" s="99">
        <f t="shared" si="83"/>
        <v>3.756717501815543E-2</v>
      </c>
      <c r="BP99" s="99">
        <f t="shared" si="83"/>
        <v>-1.9221914089953884E-2</v>
      </c>
      <c r="BQ99" s="100">
        <f t="shared" si="83"/>
        <v>2.7830677993091024E-2</v>
      </c>
      <c r="BR99" s="99">
        <f t="shared" si="83"/>
        <v>6.6033608036421443E-2</v>
      </c>
      <c r="BS99" s="99">
        <f t="shared" si="83"/>
        <v>0.49508098756506125</v>
      </c>
      <c r="BT99" s="99">
        <f t="shared" si="83"/>
        <v>0.61200506743751437</v>
      </c>
      <c r="BU99" s="99">
        <f t="shared" si="83"/>
        <v>0.52962917203522952</v>
      </c>
      <c r="BV99" s="100">
        <f t="shared" si="83"/>
        <v>0.42751215003989573</v>
      </c>
      <c r="BW99" s="99">
        <f t="shared" si="83"/>
        <v>0.55086915963935112</v>
      </c>
      <c r="BX99" s="99">
        <f t="shared" si="83"/>
        <v>0.13869448289304542</v>
      </c>
      <c r="BY99" s="99">
        <f t="shared" si="83"/>
        <v>-3.3896844280802974E-3</v>
      </c>
      <c r="BZ99" s="99">
        <f t="shared" si="83"/>
        <v>8.2321235296696882E-2</v>
      </c>
      <c r="CA99" s="100">
        <f t="shared" si="83"/>
        <v>0.1585400520686302</v>
      </c>
      <c r="CB99" s="99">
        <f t="shared" si="83"/>
        <v>1.3978496862626644E-2</v>
      </c>
      <c r="CC99" s="99">
        <f t="shared" si="83"/>
        <v>8.9314983876300769E-3</v>
      </c>
      <c r="CD99" s="99">
        <f t="shared" si="83"/>
        <v>2.3594380575042706E-2</v>
      </c>
      <c r="CE99" s="99">
        <f t="shared" si="83"/>
        <v>1.4917409770202728E-2</v>
      </c>
      <c r="CF99" s="100">
        <f t="shared" si="83"/>
        <v>1.5345945398518301E-2</v>
      </c>
      <c r="CI99" s="729"/>
      <c r="CJ99" s="729"/>
      <c r="CK99" s="729"/>
      <c r="CL99" s="729"/>
      <c r="CM99" s="729"/>
      <c r="CN99" s="729"/>
    </row>
    <row r="100" spans="2:92" s="181" customFormat="1" ht="13.9" thickBot="1">
      <c r="B100" s="109"/>
      <c r="C100" s="110" t="s">
        <v>357</v>
      </c>
      <c r="D100" s="821"/>
      <c r="E100" s="822"/>
      <c r="F100" s="110">
        <f>F94/E94-1</f>
        <v>0.13846438981651521</v>
      </c>
      <c r="G100" s="110">
        <f>G94/F94-1</f>
        <v>1.5806064911423778E-2</v>
      </c>
      <c r="H100" s="110">
        <f>H94/G94-1</f>
        <v>1.3214447018371933E-2</v>
      </c>
      <c r="I100" s="821"/>
      <c r="J100" s="110">
        <f>J94/H94-1</f>
        <v>3.0196709996554993E-4</v>
      </c>
      <c r="K100" s="110">
        <f>K94/J94-1</f>
        <v>3.7475742111694021E-2</v>
      </c>
      <c r="L100" s="110">
        <f>L94/K94-1</f>
        <v>2.9928504129025146E-2</v>
      </c>
      <c r="M100" s="110">
        <f>M94/L94-1</f>
        <v>-1.5471129526987148E-3</v>
      </c>
      <c r="N100" s="821"/>
      <c r="O100" s="110">
        <f>O94/M94-1</f>
        <v>-5.9245186412816508E-2</v>
      </c>
      <c r="P100" s="110">
        <f>P94/O94-1</f>
        <v>3.9816671440847884E-2</v>
      </c>
      <c r="Q100" s="110">
        <f>Q94/P94-1</f>
        <v>1.6101928374655738E-2</v>
      </c>
      <c r="R100" s="110">
        <f>R94/Q94-1</f>
        <v>-1.8029253480459251E-2</v>
      </c>
      <c r="S100" s="821"/>
      <c r="T100" s="110">
        <f>T94/R94-1</f>
        <v>1.3169701403939804E-2</v>
      </c>
      <c r="U100" s="110">
        <f>U94/T94-1</f>
        <v>4.5535677789434903E-2</v>
      </c>
      <c r="V100" s="110">
        <f>V94/U94-1</f>
        <v>5.8513064442562435E-3</v>
      </c>
      <c r="W100" s="110">
        <f>W94/V94-1</f>
        <v>6.3419879767827592E-2</v>
      </c>
      <c r="X100" s="821"/>
      <c r="Y100" s="110">
        <f>Y94/W94-1</f>
        <v>7.8460994895162006E-3</v>
      </c>
      <c r="Z100" s="110">
        <f>Z94/Y94-1</f>
        <v>0.10450539753152088</v>
      </c>
      <c r="AA100" s="110">
        <f>AA94/Z94-1</f>
        <v>2.7110147973032239E-2</v>
      </c>
      <c r="AB100" s="110">
        <f>AB94/AA94-1</f>
        <v>1.6228888060099145E-2</v>
      </c>
      <c r="AC100" s="821"/>
      <c r="AD100" s="110">
        <f>AD94/AB94-1</f>
        <v>4.5193356262058781E-3</v>
      </c>
      <c r="AE100" s="110">
        <f>AE94/AD94-1</f>
        <v>7.6086389210743288E-2</v>
      </c>
      <c r="AF100" s="110">
        <f>AF94/AE94-1</f>
        <v>3.8151870246779351E-2</v>
      </c>
      <c r="AG100" s="110">
        <f>AG94/AF94-1</f>
        <v>3.4703469412545207E-2</v>
      </c>
      <c r="AH100" s="821"/>
      <c r="AI100" s="110">
        <f>AI94/AG94-1</f>
        <v>1.7076804984873739E-2</v>
      </c>
      <c r="AJ100" s="110">
        <f>AJ94/AI94-1</f>
        <v>0.10428320281284953</v>
      </c>
      <c r="AK100" s="110">
        <f>AK94/AJ94-1</f>
        <v>3.4517693031333563E-2</v>
      </c>
      <c r="AL100" s="110">
        <f>AL94/AK94-1</f>
        <v>-9.513150531617276E-3</v>
      </c>
      <c r="AM100" s="821"/>
      <c r="AN100" s="110">
        <f>AN94/AL94-1</f>
        <v>5.9055241682360426E-2</v>
      </c>
      <c r="AO100" s="110">
        <f>AO94/AN94-1</f>
        <v>8.393965887705046E-2</v>
      </c>
      <c r="AP100" s="110">
        <f>AP94/AO94-1</f>
        <v>3.1101541406063138E-2</v>
      </c>
      <c r="AQ100" s="110">
        <f>AQ94/AP94-1</f>
        <v>5.350525373727999E-2</v>
      </c>
      <c r="AR100" s="821"/>
      <c r="AS100" s="110">
        <f>AS94/AQ94-1</f>
        <v>0.16406151677615854</v>
      </c>
      <c r="AT100" s="110">
        <f>AT94/AS94-1</f>
        <v>4.7359828745648258E-2</v>
      </c>
      <c r="AU100" s="110">
        <f>AU94/AT94-1</f>
        <v>2.0686558382236875E-2</v>
      </c>
      <c r="AV100" s="110">
        <f>AV94/AU94-1</f>
        <v>-1.3653119737860098E-2</v>
      </c>
      <c r="AW100" s="821"/>
      <c r="AX100" s="823">
        <f>AX94/AV94-1</f>
        <v>2.4608191451729544E-2</v>
      </c>
      <c r="AY100" s="110">
        <f>AY94/AX94-1</f>
        <v>4.7839205031597665E-2</v>
      </c>
      <c r="AZ100" s="110">
        <f>AZ94/AY94-1</f>
        <v>2.3827942201720909E-2</v>
      </c>
      <c r="BA100" s="110">
        <f>BA94/AZ94-1</f>
        <v>1.71542106637812E-2</v>
      </c>
      <c r="BB100" s="821"/>
      <c r="BC100" s="823">
        <f>BC94/BA94-1</f>
        <v>1.4159551736470988E-2</v>
      </c>
      <c r="BD100" s="110">
        <f>BD94/BC94-1</f>
        <v>6.7304475209563508E-2</v>
      </c>
      <c r="BE100" s="110">
        <f>BE94/BD94-1</f>
        <v>2.9653477929381111E-5</v>
      </c>
      <c r="BF100" s="110">
        <f>BF94/BE94-1</f>
        <v>2.5052209754010457E-2</v>
      </c>
      <c r="BG100" s="821"/>
      <c r="BH100" s="823">
        <f>BH94/BF94-1</f>
        <v>2.1014046557374266E-2</v>
      </c>
      <c r="BI100" s="110">
        <f>BI94/BH94-1</f>
        <v>0.11356479645115081</v>
      </c>
      <c r="BJ100" s="110">
        <f>BJ94/BI94-1</f>
        <v>1.0031840188424734E-3</v>
      </c>
      <c r="BK100" s="110">
        <f>BK94/BJ94-1</f>
        <v>4.8790849673202574E-2</v>
      </c>
      <c r="BL100" s="821"/>
      <c r="BM100" s="823">
        <f>BM94/BK94-1</f>
        <v>-4.2570723279912182E-2</v>
      </c>
      <c r="BN100" s="110">
        <f>BN94/BM94-1</f>
        <v>-1.9707746771726486E-2</v>
      </c>
      <c r="BO100" s="110">
        <f>BO94/BN94-1</f>
        <v>5.4059338008270341E-2</v>
      </c>
      <c r="BP100" s="110">
        <f>BP94/BO94-1</f>
        <v>-8.6125440076151305E-3</v>
      </c>
      <c r="BQ100" s="821"/>
      <c r="BR100" s="823">
        <f>BR94/BP94-1</f>
        <v>4.0655170587923894E-2</v>
      </c>
      <c r="BS100" s="110">
        <f>BS94/BR94-1</f>
        <v>0.37483124266456813</v>
      </c>
      <c r="BT100" s="110">
        <f>BT94/BS94-1</f>
        <v>0.13649294478451934</v>
      </c>
      <c r="BU100" s="110">
        <f>BU94/BT94-1</f>
        <v>-5.9273941435965094E-2</v>
      </c>
      <c r="BV100" s="821"/>
      <c r="BW100" s="823">
        <f>BW94/BU94-1</f>
        <v>5.5105406846194915E-2</v>
      </c>
      <c r="BX100" s="110">
        <f>BX94/BW94-1</f>
        <v>9.4421835657545472E-3</v>
      </c>
      <c r="BY100" s="110">
        <f>BY94/BX94-1</f>
        <v>-5.3165187300323602E-3</v>
      </c>
      <c r="BZ100" s="110">
        <f>BZ94/BY94-1</f>
        <v>2.1630795780523515E-2</v>
      </c>
      <c r="CA100" s="821"/>
      <c r="CB100" s="823">
        <f>CB94/BZ94-1</f>
        <v>-1.151879906314901E-2</v>
      </c>
      <c r="CC100" s="110">
        <f>CC94/CB94-1</f>
        <v>4.4177642345584189E-3</v>
      </c>
      <c r="CD100" s="110">
        <f>CD94/CC94-1</f>
        <v>9.139295884671661E-3</v>
      </c>
      <c r="CE100" s="110">
        <f>CE94/CD94-1</f>
        <v>1.2970470209633822E-2</v>
      </c>
      <c r="CF100" s="821"/>
      <c r="CI100" s="729"/>
      <c r="CJ100" s="729"/>
      <c r="CK100" s="729"/>
      <c r="CL100" s="729"/>
      <c r="CM100" s="729"/>
      <c r="CN100" s="729"/>
    </row>
    <row r="101" spans="2:92">
      <c r="CF101" s="729">
        <f>CF94/CA94-1</f>
        <v>1.5345945398518301E-2</v>
      </c>
    </row>
    <row r="102" spans="2:92">
      <c r="C102" s="729" t="s">
        <v>790</v>
      </c>
      <c r="AS102" s="730"/>
      <c r="AT102" s="730"/>
      <c r="AZ102" s="730"/>
      <c r="BT102" s="729">
        <v>43</v>
      </c>
      <c r="BU102" s="729">
        <v>16.600000000000001</v>
      </c>
      <c r="BW102" s="729">
        <v>20.6</v>
      </c>
      <c r="BX102" s="729">
        <v>15.2</v>
      </c>
    </row>
    <row r="103" spans="2:92">
      <c r="AS103" s="730"/>
      <c r="AZ103" s="730"/>
    </row>
    <row r="104" spans="2:92" ht="13.9" thickBot="1">
      <c r="B104" s="729" t="s">
        <v>368</v>
      </c>
    </row>
    <row r="105" spans="2:92" ht="14.25" thickBot="1">
      <c r="D105" s="3">
        <v>2007</v>
      </c>
      <c r="E105" s="4" t="s">
        <v>1</v>
      </c>
      <c r="F105" s="4" t="s">
        <v>2</v>
      </c>
      <c r="G105" s="4" t="s">
        <v>3</v>
      </c>
      <c r="H105" s="4" t="s">
        <v>4</v>
      </c>
      <c r="I105" s="3">
        <v>2008</v>
      </c>
      <c r="J105" s="4" t="s">
        <v>5</v>
      </c>
      <c r="K105" s="4" t="s">
        <v>6</v>
      </c>
      <c r="L105" s="4" t="s">
        <v>7</v>
      </c>
      <c r="M105" s="4" t="s">
        <v>8</v>
      </c>
      <c r="N105" s="3">
        <v>2009</v>
      </c>
      <c r="O105" s="5" t="s">
        <v>9</v>
      </c>
      <c r="P105" s="5" t="s">
        <v>10</v>
      </c>
      <c r="Q105" s="5" t="s">
        <v>11</v>
      </c>
      <c r="R105" s="5" t="s">
        <v>12</v>
      </c>
      <c r="S105" s="6">
        <v>2010</v>
      </c>
      <c r="T105" s="57" t="s">
        <v>13</v>
      </c>
      <c r="U105" s="5" t="s">
        <v>14</v>
      </c>
      <c r="V105" s="5" t="s">
        <v>15</v>
      </c>
      <c r="W105" s="5" t="s">
        <v>16</v>
      </c>
      <c r="X105" s="6">
        <v>2011</v>
      </c>
      <c r="Y105" s="5" t="s">
        <v>17</v>
      </c>
      <c r="Z105" s="5" t="s">
        <v>125</v>
      </c>
      <c r="AA105" s="5" t="s">
        <v>18</v>
      </c>
      <c r="AB105" s="5" t="s">
        <v>19</v>
      </c>
      <c r="AC105" s="6" t="s">
        <v>20</v>
      </c>
      <c r="AD105" s="5" t="s">
        <v>428</v>
      </c>
      <c r="AE105" s="5" t="s">
        <v>431</v>
      </c>
      <c r="AF105" s="5" t="s">
        <v>432</v>
      </c>
      <c r="AG105" s="5" t="s">
        <v>433</v>
      </c>
      <c r="AH105" s="6">
        <v>2013</v>
      </c>
      <c r="AI105" s="5" t="s">
        <v>449</v>
      </c>
      <c r="AJ105" s="5" t="s">
        <v>454</v>
      </c>
      <c r="AK105" s="5" t="s">
        <v>455</v>
      </c>
      <c r="AL105" s="5" t="s">
        <v>456</v>
      </c>
      <c r="AM105" s="6">
        <v>2014</v>
      </c>
      <c r="AN105" s="5" t="s">
        <v>471</v>
      </c>
      <c r="AO105" s="5" t="s">
        <v>472</v>
      </c>
      <c r="AP105" s="5" t="s">
        <v>473</v>
      </c>
      <c r="AQ105" s="5" t="s">
        <v>474</v>
      </c>
      <c r="AR105" s="6">
        <v>2015</v>
      </c>
      <c r="AS105" s="5" t="s">
        <v>497</v>
      </c>
      <c r="AT105" s="5" t="s">
        <v>498</v>
      </c>
      <c r="AU105" s="5" t="s">
        <v>499</v>
      </c>
      <c r="AV105" s="5" t="s">
        <v>500</v>
      </c>
      <c r="AW105" s="6">
        <v>2016</v>
      </c>
      <c r="AX105" s="415"/>
      <c r="AY105" s="415"/>
      <c r="AZ105" s="415"/>
      <c r="BA105" s="415"/>
      <c r="BB105" s="415"/>
      <c r="BC105" s="415"/>
      <c r="BD105" s="415"/>
      <c r="BE105" s="415"/>
      <c r="BF105" s="415"/>
      <c r="BG105" s="415"/>
      <c r="BH105" s="415"/>
      <c r="BI105" s="415"/>
      <c r="BJ105" s="415"/>
      <c r="BK105" s="415"/>
      <c r="BL105" s="415"/>
      <c r="BM105" s="415"/>
      <c r="BN105" s="415"/>
      <c r="BO105" s="415"/>
      <c r="BP105" s="415"/>
      <c r="BQ105" s="415"/>
      <c r="BR105" s="415"/>
      <c r="BS105" s="415"/>
      <c r="BT105" s="415"/>
      <c r="BU105" s="415"/>
      <c r="BV105" s="415"/>
      <c r="BW105" s="415"/>
      <c r="BX105" s="415"/>
      <c r="BY105" s="415"/>
      <c r="BZ105" s="415"/>
      <c r="CA105" s="415"/>
      <c r="CB105" s="415"/>
      <c r="CC105" s="415"/>
      <c r="CD105" s="415"/>
      <c r="CE105" s="415"/>
      <c r="CF105" s="415"/>
    </row>
    <row r="106" spans="2:92">
      <c r="B106" s="729" t="s">
        <v>369</v>
      </c>
      <c r="D106" s="824"/>
      <c r="E106" s="825"/>
      <c r="F106" s="825"/>
      <c r="G106" s="825"/>
      <c r="H106" s="825"/>
      <c r="I106" s="824"/>
      <c r="J106" s="825">
        <v>58417</v>
      </c>
      <c r="K106" s="825">
        <v>60399</v>
      </c>
      <c r="L106" s="825">
        <v>63102</v>
      </c>
      <c r="M106" s="826">
        <f>N106-L106-K106-J106</f>
        <v>62612</v>
      </c>
      <c r="N106" s="824">
        <v>244530</v>
      </c>
      <c r="O106" s="825">
        <v>59049</v>
      </c>
      <c r="P106" s="825">
        <v>61075</v>
      </c>
      <c r="Q106" s="825">
        <v>61775</v>
      </c>
      <c r="R106" s="826">
        <f>S106-Q106-P106-O106</f>
        <v>60673</v>
      </c>
      <c r="S106" s="824">
        <v>242572</v>
      </c>
      <c r="T106" s="825">
        <v>60560</v>
      </c>
      <c r="U106" s="825">
        <v>63072</v>
      </c>
      <c r="V106" s="825">
        <v>64979</v>
      </c>
      <c r="W106" s="826">
        <f>X106-V106-U106-T106</f>
        <v>71124</v>
      </c>
      <c r="X106" s="824">
        <v>259735</v>
      </c>
      <c r="Y106" s="825">
        <v>70496</v>
      </c>
      <c r="Z106" s="825">
        <v>78026</v>
      </c>
      <c r="AA106" s="825">
        <v>81982</v>
      </c>
      <c r="AB106" s="825">
        <f>AC106-AA106-Z106-Y106</f>
        <v>83814</v>
      </c>
      <c r="AC106" s="824">
        <v>314318</v>
      </c>
      <c r="AD106" s="825">
        <v>83607</v>
      </c>
      <c r="AE106" s="825">
        <v>89542</v>
      </c>
      <c r="AF106" s="825">
        <v>95104</v>
      </c>
      <c r="AG106" s="825">
        <f>AH106-AF106-AE106-AD106</f>
        <v>99471</v>
      </c>
      <c r="AH106" s="824">
        <v>367724</v>
      </c>
      <c r="AI106" s="825">
        <v>100760</v>
      </c>
      <c r="AJ106" s="825">
        <v>108551</v>
      </c>
      <c r="AK106" s="825">
        <v>114509</v>
      </c>
      <c r="AL106" s="825">
        <f>AM106-AK106-AJ106-AI106</f>
        <v>114786</v>
      </c>
      <c r="AM106" s="824">
        <v>438606</v>
      </c>
      <c r="AN106" s="825">
        <v>120882</v>
      </c>
      <c r="AO106" s="825"/>
      <c r="AP106" s="825"/>
      <c r="AQ106" s="825"/>
      <c r="AR106" s="824"/>
      <c r="AS106" s="825">
        <v>120882</v>
      </c>
      <c r="AT106" s="825"/>
      <c r="AU106" s="825"/>
      <c r="AV106" s="825"/>
      <c r="AW106" s="824"/>
      <c r="AX106" s="174"/>
      <c r="AY106" s="174"/>
      <c r="AZ106" s="174"/>
      <c r="BA106" s="174"/>
      <c r="BB106" s="174"/>
      <c r="BC106" s="174"/>
      <c r="BD106" s="174"/>
      <c r="BE106" s="174"/>
      <c r="BF106" s="174"/>
      <c r="BG106" s="174"/>
      <c r="BH106" s="174"/>
      <c r="BI106" s="174"/>
      <c r="BJ106" s="174"/>
      <c r="BK106" s="174"/>
      <c r="BL106" s="174"/>
      <c r="BM106" s="174"/>
      <c r="BN106" s="174"/>
      <c r="BO106" s="174"/>
      <c r="BP106" s="174"/>
      <c r="BQ106" s="174"/>
      <c r="BR106" s="174"/>
      <c r="BS106" s="174"/>
      <c r="BT106" s="174"/>
      <c r="BU106" s="174"/>
      <c r="BV106" s="174"/>
      <c r="BW106" s="174"/>
      <c r="BX106" s="174"/>
      <c r="BY106" s="174"/>
      <c r="BZ106" s="174"/>
      <c r="CA106" s="174"/>
      <c r="CB106" s="174"/>
      <c r="CC106" s="174"/>
      <c r="CD106" s="174"/>
      <c r="CE106" s="174"/>
      <c r="CF106" s="174"/>
      <c r="CI106" s="210"/>
      <c r="CJ106" s="210"/>
      <c r="CK106" s="210"/>
      <c r="CL106" s="210"/>
      <c r="CM106" s="210"/>
      <c r="CN106" s="210"/>
    </row>
    <row r="107" spans="2:92">
      <c r="B107" s="729" t="s">
        <v>373</v>
      </c>
      <c r="D107" s="806"/>
      <c r="E107" s="174"/>
      <c r="F107" s="174"/>
      <c r="G107" s="174"/>
      <c r="H107" s="174"/>
      <c r="I107" s="806"/>
      <c r="J107" s="174">
        <v>12401</v>
      </c>
      <c r="K107" s="174">
        <v>13924</v>
      </c>
      <c r="L107" s="174">
        <v>14681</v>
      </c>
      <c r="M107" s="176">
        <f>N107-L107-K107-J107</f>
        <v>13819</v>
      </c>
      <c r="N107" s="806">
        <v>54825</v>
      </c>
      <c r="O107" s="174">
        <v>11262</v>
      </c>
      <c r="P107" s="174">
        <v>13260</v>
      </c>
      <c r="Q107" s="174">
        <v>14211</v>
      </c>
      <c r="R107" s="176">
        <f>S107-Q107-P107-O107</f>
        <v>13209</v>
      </c>
      <c r="S107" s="806">
        <v>51942</v>
      </c>
      <c r="T107" s="174">
        <v>12348</v>
      </c>
      <c r="U107" s="174">
        <v>12420</v>
      </c>
      <c r="V107" s="174">
        <v>14165</v>
      </c>
      <c r="W107" s="176">
        <f>X107-V107-U107-T107</f>
        <v>17923</v>
      </c>
      <c r="X107" s="806">
        <v>56856</v>
      </c>
      <c r="Y107" s="174">
        <v>13419</v>
      </c>
      <c r="Z107" s="174">
        <v>15831</v>
      </c>
      <c r="AA107" s="176">
        <v>21851</v>
      </c>
      <c r="AB107" s="827">
        <f>AC107-AA107-Z107-Y107</f>
        <v>20034</v>
      </c>
      <c r="AC107" s="806">
        <v>71135</v>
      </c>
      <c r="AD107" s="174">
        <v>17828</v>
      </c>
      <c r="AE107" s="174">
        <v>20327</v>
      </c>
      <c r="AF107" s="176">
        <v>22776</v>
      </c>
      <c r="AG107" s="827">
        <f>AH107-AF107-AE107-AD107</f>
        <v>24114</v>
      </c>
      <c r="AH107" s="806">
        <v>85045</v>
      </c>
      <c r="AI107" s="174">
        <v>25428</v>
      </c>
      <c r="AJ107" s="174">
        <v>27747</v>
      </c>
      <c r="AK107" s="176">
        <v>31797</v>
      </c>
      <c r="AL107" s="827">
        <f>AM107-AK107-AJ107-AI107</f>
        <v>30021</v>
      </c>
      <c r="AM107" s="806">
        <v>114993</v>
      </c>
      <c r="AN107" s="174">
        <v>32254</v>
      </c>
      <c r="AO107" s="174"/>
      <c r="AP107" s="176"/>
      <c r="AQ107" s="827"/>
      <c r="AR107" s="806"/>
      <c r="AS107" s="174">
        <v>32254</v>
      </c>
      <c r="AT107" s="174"/>
      <c r="AU107" s="176"/>
      <c r="AV107" s="827"/>
      <c r="AW107" s="806"/>
      <c r="AX107" s="174"/>
      <c r="AY107" s="174"/>
      <c r="AZ107" s="174"/>
      <c r="BA107" s="174"/>
      <c r="BB107" s="174"/>
      <c r="BC107" s="174"/>
      <c r="BD107" s="174"/>
      <c r="BE107" s="174"/>
      <c r="BF107" s="174"/>
      <c r="BG107" s="174"/>
      <c r="BH107" s="174"/>
      <c r="BI107" s="174"/>
      <c r="BJ107" s="174"/>
      <c r="BK107" s="174"/>
      <c r="BL107" s="174"/>
      <c r="BM107" s="174"/>
      <c r="BN107" s="174"/>
      <c r="BO107" s="174"/>
      <c r="BP107" s="174"/>
      <c r="BQ107" s="174"/>
      <c r="BR107" s="174"/>
      <c r="BS107" s="174"/>
      <c r="BT107" s="174"/>
      <c r="BU107" s="174"/>
      <c r="BV107" s="174"/>
      <c r="BW107" s="174"/>
      <c r="BX107" s="174"/>
      <c r="BY107" s="174"/>
      <c r="BZ107" s="174"/>
      <c r="CA107" s="174"/>
      <c r="CB107" s="174"/>
      <c r="CC107" s="174"/>
      <c r="CD107" s="174"/>
      <c r="CE107" s="174"/>
      <c r="CF107" s="174"/>
    </row>
    <row r="108" spans="2:92" s="210" customFormat="1">
      <c r="B108" s="210" t="s">
        <v>370</v>
      </c>
      <c r="D108" s="828"/>
      <c r="I108" s="817" t="e">
        <f t="shared" ref="I108:Y108" si="84">I107/I106</f>
        <v>#DIV/0!</v>
      </c>
      <c r="J108" s="172">
        <f t="shared" si="84"/>
        <v>0.21228409538319326</v>
      </c>
      <c r="K108" s="172">
        <f t="shared" si="84"/>
        <v>0.23053361810626002</v>
      </c>
      <c r="L108" s="172">
        <f t="shared" si="84"/>
        <v>0.23265506640043104</v>
      </c>
      <c r="M108" s="172">
        <f t="shared" si="84"/>
        <v>0.22070849038522966</v>
      </c>
      <c r="N108" s="817">
        <f t="shared" si="84"/>
        <v>0.22420561894246105</v>
      </c>
      <c r="O108" s="172">
        <f t="shared" si="84"/>
        <v>0.19072295889854188</v>
      </c>
      <c r="P108" s="172">
        <f t="shared" si="84"/>
        <v>0.21711011051985263</v>
      </c>
      <c r="Q108" s="172">
        <f t="shared" si="84"/>
        <v>0.23004451639012546</v>
      </c>
      <c r="R108" s="172">
        <f t="shared" si="84"/>
        <v>0.21770804146819839</v>
      </c>
      <c r="S108" s="817">
        <f t="shared" si="84"/>
        <v>0.2141302376201705</v>
      </c>
      <c r="T108" s="172">
        <f t="shared" si="84"/>
        <v>0.20389696169088506</v>
      </c>
      <c r="U108" s="172">
        <f t="shared" si="84"/>
        <v>0.19691780821917809</v>
      </c>
      <c r="V108" s="172">
        <f t="shared" si="84"/>
        <v>0.21799350559411501</v>
      </c>
      <c r="W108" s="172">
        <f t="shared" si="84"/>
        <v>0.25199651313199484</v>
      </c>
      <c r="X108" s="817">
        <f t="shared" si="84"/>
        <v>0.21890003272566269</v>
      </c>
      <c r="Y108" s="172">
        <f t="shared" si="84"/>
        <v>0.19035122560145257</v>
      </c>
      <c r="Z108" s="172">
        <f t="shared" ref="Z108:AW108" si="85">Z107/Z106</f>
        <v>0.20289390715915206</v>
      </c>
      <c r="AA108" s="172">
        <f t="shared" si="85"/>
        <v>0.26653411724524895</v>
      </c>
      <c r="AB108" s="172">
        <f t="shared" si="85"/>
        <v>0.23902927911804711</v>
      </c>
      <c r="AC108" s="817">
        <f t="shared" si="85"/>
        <v>0.22631538760109188</v>
      </c>
      <c r="AD108" s="172">
        <f t="shared" si="85"/>
        <v>0.21323573385003647</v>
      </c>
      <c r="AE108" s="172">
        <f t="shared" si="85"/>
        <v>0.22701078823345469</v>
      </c>
      <c r="AF108" s="172">
        <f t="shared" si="85"/>
        <v>0.23948519515477792</v>
      </c>
      <c r="AG108" s="172">
        <f t="shared" si="85"/>
        <v>0.24242241457309166</v>
      </c>
      <c r="AH108" s="817">
        <f t="shared" si="85"/>
        <v>0.23127399897749398</v>
      </c>
      <c r="AI108" s="172">
        <f t="shared" si="85"/>
        <v>0.25236204843191745</v>
      </c>
      <c r="AJ108" s="172">
        <f t="shared" si="85"/>
        <v>0.25561256920710079</v>
      </c>
      <c r="AK108" s="172">
        <f t="shared" si="85"/>
        <v>0.27768123029630859</v>
      </c>
      <c r="AL108" s="172">
        <f t="shared" si="85"/>
        <v>0.26153886362448381</v>
      </c>
      <c r="AM108" s="817">
        <f t="shared" si="85"/>
        <v>0.26217835597324252</v>
      </c>
      <c r="AN108" s="172">
        <f t="shared" si="85"/>
        <v>0.26682219023510528</v>
      </c>
      <c r="AO108" s="172" t="e">
        <f t="shared" si="85"/>
        <v>#DIV/0!</v>
      </c>
      <c r="AP108" s="172" t="e">
        <f t="shared" si="85"/>
        <v>#DIV/0!</v>
      </c>
      <c r="AQ108" s="172" t="e">
        <f t="shared" si="85"/>
        <v>#DIV/0!</v>
      </c>
      <c r="AR108" s="817" t="e">
        <f t="shared" si="85"/>
        <v>#DIV/0!</v>
      </c>
      <c r="AS108" s="172">
        <f t="shared" si="85"/>
        <v>0.26682219023510528</v>
      </c>
      <c r="AT108" s="172" t="e">
        <f t="shared" si="85"/>
        <v>#DIV/0!</v>
      </c>
      <c r="AU108" s="172" t="e">
        <f t="shared" si="85"/>
        <v>#DIV/0!</v>
      </c>
      <c r="AV108" s="172" t="e">
        <f t="shared" si="85"/>
        <v>#DIV/0!</v>
      </c>
      <c r="AW108" s="817" t="e">
        <f t="shared" si="85"/>
        <v>#DIV/0!</v>
      </c>
      <c r="AX108" s="172"/>
      <c r="AY108" s="172"/>
      <c r="AZ108" s="172"/>
      <c r="BA108" s="172"/>
      <c r="BB108" s="172"/>
      <c r="BC108" s="172"/>
      <c r="BD108" s="172"/>
      <c r="BE108" s="172"/>
      <c r="BF108" s="172"/>
      <c r="BG108" s="172"/>
      <c r="BH108" s="172"/>
      <c r="BI108" s="172"/>
      <c r="BJ108" s="172"/>
      <c r="BK108" s="172"/>
      <c r="BL108" s="172"/>
      <c r="BM108" s="172"/>
      <c r="BN108" s="172"/>
      <c r="BO108" s="172"/>
      <c r="BP108" s="172"/>
      <c r="BQ108" s="172"/>
      <c r="BR108" s="172"/>
      <c r="BS108" s="172"/>
      <c r="BT108" s="172"/>
      <c r="BU108" s="172"/>
      <c r="BV108" s="172"/>
      <c r="BW108" s="172"/>
      <c r="BX108" s="172"/>
      <c r="BY108" s="172"/>
      <c r="BZ108" s="172"/>
      <c r="CA108" s="172"/>
      <c r="CB108" s="172"/>
      <c r="CC108" s="172"/>
      <c r="CD108" s="172"/>
      <c r="CE108" s="172"/>
      <c r="CF108" s="172"/>
      <c r="CI108" s="729"/>
      <c r="CJ108" s="729"/>
      <c r="CK108" s="729"/>
      <c r="CL108" s="729"/>
      <c r="CM108" s="729"/>
      <c r="CN108" s="729"/>
    </row>
    <row r="109" spans="2:92">
      <c r="D109" s="793"/>
      <c r="I109" s="793"/>
      <c r="N109" s="793"/>
      <c r="S109" s="793"/>
      <c r="X109" s="793"/>
      <c r="AC109" s="793"/>
      <c r="AH109" s="793"/>
      <c r="AM109" s="793"/>
      <c r="AR109" s="793"/>
      <c r="AW109" s="793"/>
    </row>
    <row r="110" spans="2:92">
      <c r="B110" s="729" t="s">
        <v>371</v>
      </c>
      <c r="D110" s="806"/>
      <c r="E110" s="174"/>
      <c r="F110" s="174"/>
      <c r="G110" s="174"/>
      <c r="H110" s="174"/>
      <c r="I110" s="806"/>
      <c r="J110" s="174">
        <v>11219</v>
      </c>
      <c r="K110" s="174">
        <v>11997</v>
      </c>
      <c r="L110" s="174">
        <v>11656</v>
      </c>
      <c r="M110" s="176">
        <f>N110-L110-K110-J110</f>
        <v>11433</v>
      </c>
      <c r="N110" s="806">
        <v>46305</v>
      </c>
      <c r="O110" s="174">
        <v>11096</v>
      </c>
      <c r="P110" s="174">
        <v>11851</v>
      </c>
      <c r="Q110" s="174">
        <v>12596</v>
      </c>
      <c r="R110" s="176">
        <f>S110-Q110-P110-O110</f>
        <v>12356</v>
      </c>
      <c r="S110" s="806">
        <v>47899</v>
      </c>
      <c r="T110" s="174">
        <v>13240</v>
      </c>
      <c r="U110" s="174">
        <v>13029</v>
      </c>
      <c r="V110" s="174">
        <v>12804</v>
      </c>
      <c r="W110" s="176">
        <f>X110-V110-U110-T110</f>
        <v>11591</v>
      </c>
      <c r="X110" s="806">
        <v>50664</v>
      </c>
      <c r="Y110" s="174">
        <v>12572</v>
      </c>
      <c r="Z110" s="174">
        <v>12442</v>
      </c>
      <c r="AA110" s="176">
        <v>12422</v>
      </c>
      <c r="AB110" s="827">
        <f>AC110-AA110-Z110-Y110</f>
        <v>12140</v>
      </c>
      <c r="AC110" s="806">
        <v>49576</v>
      </c>
      <c r="AD110" s="174">
        <v>12781</v>
      </c>
      <c r="AE110" s="174">
        <v>12505</v>
      </c>
      <c r="AF110" s="176">
        <v>12607</v>
      </c>
      <c r="AG110" s="827">
        <f>AH110-AF110-AE110-AD110</f>
        <v>12141</v>
      </c>
      <c r="AH110" s="806">
        <v>50034</v>
      </c>
      <c r="AI110" s="174">
        <v>12339</v>
      </c>
      <c r="AJ110" s="174">
        <v>13882</v>
      </c>
      <c r="AK110" s="176">
        <v>14793</v>
      </c>
      <c r="AL110" s="827">
        <f>AM110-AK110-AJ110-AI110</f>
        <v>13843</v>
      </c>
      <c r="AM110" s="806">
        <v>54857</v>
      </c>
      <c r="AN110" s="174">
        <v>15011</v>
      </c>
      <c r="AO110" s="174"/>
      <c r="AP110" s="176"/>
      <c r="AQ110" s="827"/>
      <c r="AR110" s="806"/>
      <c r="AS110" s="174">
        <v>15011</v>
      </c>
      <c r="AT110" s="174"/>
      <c r="AU110" s="176"/>
      <c r="AV110" s="827"/>
      <c r="AW110" s="806"/>
      <c r="AX110" s="174"/>
      <c r="AY110" s="174"/>
      <c r="AZ110" s="174"/>
      <c r="BA110" s="174"/>
      <c r="BB110" s="174"/>
      <c r="BC110" s="174"/>
      <c r="BD110" s="174"/>
      <c r="BE110" s="174"/>
      <c r="BF110" s="174"/>
      <c r="BG110" s="174"/>
      <c r="BH110" s="174"/>
      <c r="BI110" s="174"/>
      <c r="BJ110" s="174"/>
      <c r="BK110" s="174"/>
      <c r="BL110" s="174"/>
      <c r="BM110" s="174"/>
      <c r="BN110" s="174"/>
      <c r="BO110" s="174"/>
      <c r="BP110" s="174"/>
      <c r="BQ110" s="174"/>
      <c r="BR110" s="174"/>
      <c r="BS110" s="174"/>
      <c r="BT110" s="174"/>
      <c r="BU110" s="174"/>
      <c r="BV110" s="174"/>
      <c r="BW110" s="174"/>
      <c r="BX110" s="174"/>
      <c r="BY110" s="174"/>
      <c r="BZ110" s="174"/>
      <c r="CA110" s="174"/>
      <c r="CB110" s="174"/>
      <c r="CC110" s="174"/>
      <c r="CD110" s="174"/>
      <c r="CE110" s="174"/>
      <c r="CF110" s="174"/>
      <c r="CI110" s="210"/>
      <c r="CJ110" s="210"/>
      <c r="CK110" s="210"/>
      <c r="CL110" s="210"/>
      <c r="CM110" s="210"/>
      <c r="CN110" s="210"/>
    </row>
    <row r="111" spans="2:92">
      <c r="B111" s="729" t="s">
        <v>372</v>
      </c>
      <c r="D111" s="806"/>
      <c r="E111" s="174"/>
      <c r="F111" s="174"/>
      <c r="G111" s="174"/>
      <c r="H111" s="174"/>
      <c r="I111" s="806"/>
      <c r="J111" s="174">
        <v>1370</v>
      </c>
      <c r="K111" s="174">
        <v>2082</v>
      </c>
      <c r="L111" s="174">
        <v>2066</v>
      </c>
      <c r="M111" s="176">
        <f>N111-L111-K111-J111</f>
        <v>2245</v>
      </c>
      <c r="N111" s="806">
        <v>7763</v>
      </c>
      <c r="O111" s="174">
        <v>1793</v>
      </c>
      <c r="P111" s="174">
        <v>1954</v>
      </c>
      <c r="Q111" s="174">
        <v>2611</v>
      </c>
      <c r="R111" s="176">
        <f>S111-Q111-P111-O111</f>
        <v>2525</v>
      </c>
      <c r="S111" s="806">
        <v>8883</v>
      </c>
      <c r="T111" s="174">
        <v>2635</v>
      </c>
      <c r="U111" s="174">
        <v>2407</v>
      </c>
      <c r="V111" s="174">
        <v>2514</v>
      </c>
      <c r="W111" s="176">
        <f>X111-V111-U111-T111</f>
        <v>2230</v>
      </c>
      <c r="X111" s="806">
        <v>9786</v>
      </c>
      <c r="Y111" s="174">
        <v>2077</v>
      </c>
      <c r="Z111" s="174">
        <v>2299</v>
      </c>
      <c r="AA111" s="176">
        <v>2517</v>
      </c>
      <c r="AB111" s="174">
        <f>AC111-AA111-Z111-Y111</f>
        <v>1605</v>
      </c>
      <c r="AC111" s="806">
        <v>8498</v>
      </c>
      <c r="AD111" s="174">
        <v>2326</v>
      </c>
      <c r="AE111" s="174">
        <v>2304</v>
      </c>
      <c r="AF111" s="176">
        <v>2441</v>
      </c>
      <c r="AG111" s="174">
        <f>AH111-AF111-AE111-AD111</f>
        <v>2357</v>
      </c>
      <c r="AH111" s="806">
        <v>9428</v>
      </c>
      <c r="AI111" s="174">
        <v>1831</v>
      </c>
      <c r="AJ111" s="174">
        <v>2934</v>
      </c>
      <c r="AK111" s="176">
        <v>3230</v>
      </c>
      <c r="AL111" s="174">
        <f>AM111-AK111-AJ111-AI111</f>
        <v>3608</v>
      </c>
      <c r="AM111" s="806">
        <v>11603</v>
      </c>
      <c r="AN111" s="174">
        <v>3067</v>
      </c>
      <c r="AO111" s="174"/>
      <c r="AP111" s="176"/>
      <c r="AQ111" s="174"/>
      <c r="AR111" s="806"/>
      <c r="AS111" s="174">
        <v>3067</v>
      </c>
      <c r="AT111" s="174"/>
      <c r="AU111" s="176"/>
      <c r="AV111" s="174"/>
      <c r="AW111" s="806"/>
      <c r="AX111" s="174"/>
      <c r="AY111" s="174"/>
      <c r="AZ111" s="174"/>
      <c r="BA111" s="174"/>
      <c r="BB111" s="174"/>
      <c r="BC111" s="174"/>
      <c r="BD111" s="174"/>
      <c r="BE111" s="174"/>
      <c r="BF111" s="174"/>
      <c r="BG111" s="174"/>
      <c r="BH111" s="174"/>
      <c r="BI111" s="174"/>
      <c r="BJ111" s="174"/>
      <c r="BK111" s="174"/>
      <c r="BL111" s="174"/>
      <c r="BM111" s="174"/>
      <c r="BN111" s="174"/>
      <c r="BO111" s="174"/>
      <c r="BP111" s="174"/>
      <c r="BQ111" s="174"/>
      <c r="BR111" s="174"/>
      <c r="BS111" s="174"/>
      <c r="BT111" s="174"/>
      <c r="BU111" s="174"/>
      <c r="BV111" s="174"/>
      <c r="BW111" s="174"/>
      <c r="BX111" s="174"/>
      <c r="BY111" s="174"/>
      <c r="BZ111" s="174"/>
      <c r="CA111" s="174"/>
      <c r="CB111" s="174"/>
      <c r="CC111" s="174"/>
      <c r="CD111" s="174"/>
      <c r="CE111" s="174"/>
      <c r="CF111" s="174"/>
    </row>
    <row r="112" spans="2:92" s="210" customFormat="1" ht="13.9" thickBot="1">
      <c r="B112" s="210" t="s">
        <v>370</v>
      </c>
      <c r="D112" s="829"/>
      <c r="E112" s="830"/>
      <c r="F112" s="830"/>
      <c r="G112" s="830"/>
      <c r="H112" s="830"/>
      <c r="I112" s="831" t="e">
        <f t="shared" ref="I112:Y112" si="86">I111/I110</f>
        <v>#DIV/0!</v>
      </c>
      <c r="J112" s="832">
        <f t="shared" si="86"/>
        <v>0.12211427043408503</v>
      </c>
      <c r="K112" s="832">
        <f t="shared" si="86"/>
        <v>0.17354338584646162</v>
      </c>
      <c r="L112" s="832">
        <f t="shared" si="86"/>
        <v>0.17724776938915579</v>
      </c>
      <c r="M112" s="832">
        <f t="shared" si="86"/>
        <v>0.19636140995364296</v>
      </c>
      <c r="N112" s="831">
        <f t="shared" si="86"/>
        <v>0.16764928193499623</v>
      </c>
      <c r="O112" s="832">
        <f t="shared" si="86"/>
        <v>0.16158976207642395</v>
      </c>
      <c r="P112" s="832">
        <f t="shared" si="86"/>
        <v>0.16488060079318201</v>
      </c>
      <c r="Q112" s="832">
        <f t="shared" si="86"/>
        <v>0.20728802794537948</v>
      </c>
      <c r="R112" s="832">
        <f t="shared" si="86"/>
        <v>0.20435415992230496</v>
      </c>
      <c r="S112" s="831">
        <f t="shared" si="86"/>
        <v>0.18545272343890268</v>
      </c>
      <c r="T112" s="832">
        <f t="shared" si="86"/>
        <v>0.19901812688821752</v>
      </c>
      <c r="U112" s="832">
        <f t="shared" si="86"/>
        <v>0.18474172998695218</v>
      </c>
      <c r="V112" s="832">
        <f t="shared" si="86"/>
        <v>0.19634489222118087</v>
      </c>
      <c r="W112" s="832">
        <f t="shared" si="86"/>
        <v>0.19239064791648694</v>
      </c>
      <c r="X112" s="831">
        <f t="shared" si="86"/>
        <v>0.19315490288962578</v>
      </c>
      <c r="Y112" s="832">
        <f t="shared" si="86"/>
        <v>0.16520839961819916</v>
      </c>
      <c r="Z112" s="832">
        <f t="shared" ref="Z112:AW112" si="87">Z111/Z110</f>
        <v>0.1847773669828002</v>
      </c>
      <c r="AA112" s="832">
        <f t="shared" si="87"/>
        <v>0.20262437610690709</v>
      </c>
      <c r="AB112" s="832">
        <f t="shared" si="87"/>
        <v>0.13220757825370674</v>
      </c>
      <c r="AC112" s="831">
        <f t="shared" si="87"/>
        <v>0.17141358721962241</v>
      </c>
      <c r="AD112" s="832">
        <f t="shared" si="87"/>
        <v>0.18198888975823488</v>
      </c>
      <c r="AE112" s="832">
        <f t="shared" si="87"/>
        <v>0.18424630147940824</v>
      </c>
      <c r="AF112" s="832">
        <f t="shared" si="87"/>
        <v>0.19362259062425635</v>
      </c>
      <c r="AG112" s="832">
        <f t="shared" si="87"/>
        <v>0.19413557367597398</v>
      </c>
      <c r="AH112" s="831">
        <f t="shared" si="87"/>
        <v>0.18843186633089498</v>
      </c>
      <c r="AI112" s="832">
        <f t="shared" si="87"/>
        <v>0.14839127968230814</v>
      </c>
      <c r="AJ112" s="832">
        <f t="shared" si="87"/>
        <v>0.21135283100417807</v>
      </c>
      <c r="AK112" s="832">
        <f t="shared" si="87"/>
        <v>0.21834651524369633</v>
      </c>
      <c r="AL112" s="832">
        <f t="shared" si="87"/>
        <v>0.26063714512750125</v>
      </c>
      <c r="AM112" s="831">
        <f t="shared" si="87"/>
        <v>0.21151357164992618</v>
      </c>
      <c r="AN112" s="832">
        <f t="shared" si="87"/>
        <v>0.20431683432149758</v>
      </c>
      <c r="AO112" s="832" t="e">
        <f t="shared" si="87"/>
        <v>#DIV/0!</v>
      </c>
      <c r="AP112" s="832" t="e">
        <f t="shared" si="87"/>
        <v>#DIV/0!</v>
      </c>
      <c r="AQ112" s="832" t="e">
        <f t="shared" si="87"/>
        <v>#DIV/0!</v>
      </c>
      <c r="AR112" s="831" t="e">
        <f t="shared" si="87"/>
        <v>#DIV/0!</v>
      </c>
      <c r="AS112" s="832">
        <f t="shared" si="87"/>
        <v>0.20431683432149758</v>
      </c>
      <c r="AT112" s="832" t="e">
        <f t="shared" si="87"/>
        <v>#DIV/0!</v>
      </c>
      <c r="AU112" s="832" t="e">
        <f t="shared" si="87"/>
        <v>#DIV/0!</v>
      </c>
      <c r="AV112" s="832" t="e">
        <f t="shared" si="87"/>
        <v>#DIV/0!</v>
      </c>
      <c r="AW112" s="831" t="e">
        <f t="shared" si="87"/>
        <v>#DIV/0!</v>
      </c>
      <c r="AX112" s="172"/>
      <c r="AY112" s="172"/>
      <c r="AZ112" s="172"/>
      <c r="BA112" s="172"/>
      <c r="BB112" s="172"/>
      <c r="BC112" s="172"/>
      <c r="BD112" s="172"/>
      <c r="BE112" s="172"/>
      <c r="BF112" s="172"/>
      <c r="BG112" s="172"/>
      <c r="BH112" s="172"/>
      <c r="BI112" s="172"/>
      <c r="BJ112" s="172"/>
      <c r="BK112" s="172"/>
      <c r="BL112" s="172"/>
      <c r="BM112" s="172"/>
      <c r="BN112" s="172"/>
      <c r="BO112" s="172"/>
      <c r="BP112" s="172"/>
      <c r="BQ112" s="172"/>
      <c r="BR112" s="172"/>
      <c r="BS112" s="172"/>
      <c r="BT112" s="172"/>
      <c r="BU112" s="172"/>
      <c r="BV112" s="172"/>
      <c r="BW112" s="172"/>
      <c r="BX112" s="172"/>
      <c r="BY112" s="172"/>
      <c r="BZ112" s="172"/>
      <c r="CA112" s="172"/>
      <c r="CB112" s="172"/>
      <c r="CC112" s="172"/>
      <c r="CD112" s="172"/>
      <c r="CE112" s="172"/>
      <c r="CF112" s="172"/>
      <c r="CI112" s="729"/>
      <c r="CJ112" s="729"/>
      <c r="CK112" s="729"/>
      <c r="CL112" s="729"/>
      <c r="CM112" s="729"/>
      <c r="CN112" s="729"/>
    </row>
  </sheetData>
  <pageMargins left="0.7" right="0.7" top="0.75" bottom="0.75" header="0.3" footer="0.3"/>
  <pageSetup orientation="portrait" r:id="rId1"/>
  <ignoredErrors>
    <ignoredError sqref="CA41 BT53:BU53" formula="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C6:K38"/>
  <sheetViews>
    <sheetView showGridLines="0" topLeftCell="A10" workbookViewId="0">
      <selection activeCell="BL41" sqref="BL41"/>
    </sheetView>
  </sheetViews>
  <sheetFormatPr defaultRowHeight="14.25"/>
  <cols>
    <col min="3" max="3" width="18.86328125" bestFit="1" customWidth="1"/>
    <col min="4" max="4" width="32.3984375" customWidth="1"/>
    <col min="5" max="5" width="15.73046875" bestFit="1" customWidth="1"/>
    <col min="6" max="6" width="13.1328125" bestFit="1" customWidth="1"/>
    <col min="7" max="8" width="0" hidden="1" customWidth="1"/>
    <col min="9" max="9" width="39" customWidth="1"/>
  </cols>
  <sheetData>
    <row r="6" spans="3:11" ht="14.65" thickBot="1"/>
    <row r="7" spans="3:11">
      <c r="C7" s="118" t="s">
        <v>128</v>
      </c>
      <c r="D7" s="119" t="s">
        <v>129</v>
      </c>
      <c r="E7" s="119" t="s">
        <v>130</v>
      </c>
      <c r="F7" s="119" t="s">
        <v>182</v>
      </c>
      <c r="G7" s="119"/>
      <c r="H7" s="119"/>
      <c r="I7" s="120" t="s">
        <v>191</v>
      </c>
    </row>
    <row r="8" spans="3:11" ht="26.65">
      <c r="C8" s="997">
        <v>44601</v>
      </c>
      <c r="D8" s="122" t="s">
        <v>871</v>
      </c>
      <c r="E8" s="122"/>
      <c r="F8" s="122"/>
      <c r="G8" s="123"/>
      <c r="H8" s="123"/>
      <c r="I8" s="993" t="s">
        <v>873</v>
      </c>
    </row>
    <row r="9" spans="3:11" ht="52.5">
      <c r="C9" s="996">
        <v>44448</v>
      </c>
      <c r="D9" s="122" t="s">
        <v>861</v>
      </c>
      <c r="E9" s="122" t="s">
        <v>862</v>
      </c>
      <c r="F9" s="122"/>
      <c r="G9" s="123"/>
      <c r="H9" s="123"/>
      <c r="I9" s="124" t="s">
        <v>863</v>
      </c>
      <c r="K9" t="s">
        <v>858</v>
      </c>
    </row>
    <row r="10" spans="3:11" ht="21.75" customHeight="1">
      <c r="C10" s="996">
        <v>44440</v>
      </c>
      <c r="D10" s="122" t="s">
        <v>864</v>
      </c>
      <c r="E10" s="122" t="s">
        <v>865</v>
      </c>
      <c r="F10" s="122"/>
      <c r="G10" s="123"/>
      <c r="H10" s="123"/>
      <c r="I10" s="995" t="s">
        <v>866</v>
      </c>
      <c r="K10" t="s">
        <v>859</v>
      </c>
    </row>
    <row r="11" spans="3:11" ht="39.75">
      <c r="C11" s="996">
        <v>44307</v>
      </c>
      <c r="D11" s="122" t="s">
        <v>867</v>
      </c>
      <c r="E11" s="122" t="s">
        <v>868</v>
      </c>
      <c r="F11" s="122" t="s">
        <v>869</v>
      </c>
      <c r="G11" s="123"/>
      <c r="H11" s="123"/>
      <c r="I11" s="993" t="s">
        <v>872</v>
      </c>
      <c r="K11" t="s">
        <v>860</v>
      </c>
    </row>
    <row r="12" spans="3:11">
      <c r="C12" s="991"/>
      <c r="D12" s="123"/>
      <c r="E12" s="123"/>
      <c r="F12" s="123"/>
      <c r="G12" s="123"/>
      <c r="H12" s="123"/>
      <c r="I12" s="992"/>
    </row>
    <row r="13" spans="3:11" ht="65.650000000000006">
      <c r="C13" s="286" t="s">
        <v>874</v>
      </c>
      <c r="D13" s="131" t="s">
        <v>856</v>
      </c>
      <c r="E13" s="131" t="s">
        <v>857</v>
      </c>
      <c r="F13" s="131"/>
      <c r="G13" s="131"/>
      <c r="H13" s="131"/>
      <c r="I13" s="128" t="s">
        <v>870</v>
      </c>
    </row>
    <row r="14" spans="3:11">
      <c r="C14" s="996">
        <v>43768</v>
      </c>
      <c r="D14" s="122" t="s">
        <v>879</v>
      </c>
      <c r="E14" s="122" t="s">
        <v>880</v>
      </c>
      <c r="F14" s="122"/>
      <c r="G14" s="123"/>
      <c r="H14" s="123"/>
      <c r="I14" s="993"/>
      <c r="K14" t="s">
        <v>881</v>
      </c>
    </row>
    <row r="15" spans="3:11">
      <c r="C15" s="996">
        <v>43524</v>
      </c>
      <c r="D15" s="122" t="s">
        <v>664</v>
      </c>
      <c r="E15" s="122" t="s">
        <v>875</v>
      </c>
      <c r="F15" s="122"/>
      <c r="G15" s="123"/>
      <c r="H15" s="123"/>
      <c r="I15" s="993"/>
    </row>
    <row r="16" spans="3:11">
      <c r="C16" s="286" t="s">
        <v>876</v>
      </c>
      <c r="D16" s="131" t="s">
        <v>877</v>
      </c>
      <c r="E16" s="131" t="s">
        <v>878</v>
      </c>
      <c r="F16" s="131"/>
      <c r="G16" s="131"/>
      <c r="H16" s="131"/>
      <c r="I16" s="128"/>
      <c r="K16" t="s">
        <v>882</v>
      </c>
    </row>
    <row r="17" spans="3:11">
      <c r="C17" s="994"/>
      <c r="D17" s="122"/>
      <c r="E17" s="122"/>
      <c r="F17" s="122"/>
      <c r="G17" s="123"/>
      <c r="H17" s="123"/>
      <c r="I17" s="993"/>
    </row>
    <row r="18" spans="3:11" ht="26.25">
      <c r="C18" s="286" t="s">
        <v>513</v>
      </c>
      <c r="D18" s="131" t="s">
        <v>511</v>
      </c>
      <c r="E18" s="131" t="s">
        <v>514</v>
      </c>
      <c r="F18" s="131" t="s">
        <v>512</v>
      </c>
      <c r="G18" s="131"/>
      <c r="H18" s="131"/>
      <c r="I18" s="128" t="s">
        <v>515</v>
      </c>
      <c r="K18" t="s">
        <v>883</v>
      </c>
    </row>
    <row r="19" spans="3:11" ht="26.25">
      <c r="C19" s="284" t="s">
        <v>506</v>
      </c>
      <c r="D19" s="137" t="s">
        <v>507</v>
      </c>
      <c r="E19" s="137" t="s">
        <v>509</v>
      </c>
      <c r="F19" s="137" t="s">
        <v>190</v>
      </c>
      <c r="G19" s="137"/>
      <c r="H19" s="137"/>
      <c r="I19" s="124" t="s">
        <v>510</v>
      </c>
    </row>
    <row r="20" spans="3:11" ht="39.4">
      <c r="C20" s="285" t="s">
        <v>502</v>
      </c>
      <c r="D20" s="131" t="s">
        <v>503</v>
      </c>
      <c r="E20" s="131" t="s">
        <v>504</v>
      </c>
      <c r="F20" s="131" t="s">
        <v>505</v>
      </c>
      <c r="G20" s="131"/>
      <c r="H20" s="131"/>
      <c r="I20" s="128" t="s">
        <v>508</v>
      </c>
      <c r="K20" t="s">
        <v>884</v>
      </c>
    </row>
    <row r="21" spans="3:11" ht="39.4">
      <c r="C21" s="121" t="s">
        <v>158</v>
      </c>
      <c r="D21" s="122" t="s">
        <v>159</v>
      </c>
      <c r="E21" s="122" t="s">
        <v>167</v>
      </c>
      <c r="F21" s="122" t="s">
        <v>183</v>
      </c>
      <c r="G21" s="123"/>
      <c r="H21" s="123"/>
      <c r="I21" s="124" t="s">
        <v>192</v>
      </c>
    </row>
    <row r="22" spans="3:11" ht="26.25">
      <c r="C22" s="125" t="s">
        <v>156</v>
      </c>
      <c r="D22" s="126" t="s">
        <v>157</v>
      </c>
      <c r="E22" s="126" t="s">
        <v>168</v>
      </c>
      <c r="F22" s="126" t="s">
        <v>184</v>
      </c>
      <c r="G22" s="127"/>
      <c r="H22" s="127"/>
      <c r="I22" s="128" t="s">
        <v>393</v>
      </c>
      <c r="K22" t="s">
        <v>885</v>
      </c>
    </row>
    <row r="23" spans="3:11" ht="26.25">
      <c r="C23" s="121" t="s">
        <v>154</v>
      </c>
      <c r="D23" s="122" t="s">
        <v>155</v>
      </c>
      <c r="E23" s="122" t="s">
        <v>169</v>
      </c>
      <c r="F23" s="122" t="s">
        <v>190</v>
      </c>
      <c r="G23" s="123"/>
      <c r="H23" s="123"/>
      <c r="I23" s="124" t="s">
        <v>193</v>
      </c>
      <c r="K23" t="s">
        <v>886</v>
      </c>
    </row>
    <row r="24" spans="3:11" ht="26.25">
      <c r="C24" s="125" t="s">
        <v>131</v>
      </c>
      <c r="D24" s="126" t="s">
        <v>132</v>
      </c>
      <c r="E24" s="126" t="s">
        <v>170</v>
      </c>
      <c r="F24" s="126" t="s">
        <v>185</v>
      </c>
      <c r="G24" s="127"/>
      <c r="H24" s="127" t="s">
        <v>135</v>
      </c>
      <c r="I24" s="128" t="s">
        <v>194</v>
      </c>
    </row>
    <row r="25" spans="3:11">
      <c r="C25" s="121" t="s">
        <v>160</v>
      </c>
      <c r="D25" s="122" t="s">
        <v>161</v>
      </c>
      <c r="E25" s="122" t="s">
        <v>171</v>
      </c>
      <c r="F25" s="122" t="s">
        <v>190</v>
      </c>
      <c r="G25" s="123"/>
      <c r="H25" s="123"/>
      <c r="I25" s="124" t="s">
        <v>200</v>
      </c>
    </row>
    <row r="26" spans="3:11" ht="26.25">
      <c r="C26" s="129" t="s">
        <v>133</v>
      </c>
      <c r="D26" s="126" t="s">
        <v>134</v>
      </c>
      <c r="E26" s="126" t="s">
        <v>172</v>
      </c>
      <c r="F26" s="126" t="s">
        <v>186</v>
      </c>
      <c r="G26" s="127"/>
      <c r="H26" s="127" t="s">
        <v>135</v>
      </c>
      <c r="I26" s="128" t="s">
        <v>195</v>
      </c>
    </row>
    <row r="27" spans="3:11" ht="26.25">
      <c r="C27" s="130" t="s">
        <v>162</v>
      </c>
      <c r="D27" s="122" t="s">
        <v>163</v>
      </c>
      <c r="E27" s="122" t="s">
        <v>173</v>
      </c>
      <c r="F27" s="122" t="s">
        <v>190</v>
      </c>
      <c r="G27" s="123"/>
      <c r="H27" s="123"/>
      <c r="I27" s="124" t="s">
        <v>196</v>
      </c>
    </row>
    <row r="28" spans="3:11">
      <c r="C28" s="125" t="s">
        <v>137</v>
      </c>
      <c r="D28" s="126" t="s">
        <v>136</v>
      </c>
      <c r="E28" s="126" t="s">
        <v>174</v>
      </c>
      <c r="F28" s="126" t="s">
        <v>190</v>
      </c>
      <c r="G28" s="127"/>
      <c r="H28" s="127"/>
      <c r="I28" s="128" t="s">
        <v>201</v>
      </c>
    </row>
    <row r="29" spans="3:11">
      <c r="C29" s="121" t="s">
        <v>138</v>
      </c>
      <c r="D29" s="122" t="s">
        <v>139</v>
      </c>
      <c r="E29" s="122" t="s">
        <v>175</v>
      </c>
      <c r="F29" s="122" t="s">
        <v>187</v>
      </c>
      <c r="G29" s="123"/>
      <c r="H29" s="123" t="s">
        <v>140</v>
      </c>
      <c r="I29" s="124" t="s">
        <v>202</v>
      </c>
    </row>
    <row r="30" spans="3:11">
      <c r="C30" s="125" t="s">
        <v>164</v>
      </c>
      <c r="D30" s="131" t="s">
        <v>391</v>
      </c>
      <c r="E30" s="126" t="s">
        <v>176</v>
      </c>
      <c r="F30" s="126" t="s">
        <v>188</v>
      </c>
      <c r="G30" s="127"/>
      <c r="H30" s="127" t="s">
        <v>141</v>
      </c>
      <c r="I30" s="128" t="s">
        <v>197</v>
      </c>
    </row>
    <row r="31" spans="3:11" ht="26.25">
      <c r="C31" s="121" t="s">
        <v>164</v>
      </c>
      <c r="D31" s="137" t="s">
        <v>392</v>
      </c>
      <c r="E31" s="122" t="s">
        <v>177</v>
      </c>
      <c r="F31" s="122" t="s">
        <v>189</v>
      </c>
      <c r="G31" s="123"/>
      <c r="H31" s="123"/>
      <c r="I31" s="124" t="s">
        <v>202</v>
      </c>
    </row>
    <row r="32" spans="3:11" ht="26.25" hidden="1">
      <c r="C32" s="121" t="s">
        <v>142</v>
      </c>
      <c r="D32" s="122" t="s">
        <v>143</v>
      </c>
      <c r="E32" s="122"/>
      <c r="F32" s="122"/>
      <c r="G32" s="123"/>
      <c r="H32" s="123"/>
      <c r="I32" s="124" t="s">
        <v>144</v>
      </c>
    </row>
    <row r="33" spans="3:9">
      <c r="C33" s="125" t="s">
        <v>145</v>
      </c>
      <c r="D33" s="126" t="s">
        <v>146</v>
      </c>
      <c r="E33" s="126" t="s">
        <v>179</v>
      </c>
      <c r="F33" s="126" t="s">
        <v>190</v>
      </c>
      <c r="G33" s="127"/>
      <c r="H33" s="127"/>
      <c r="I33" s="128" t="s">
        <v>198</v>
      </c>
    </row>
    <row r="34" spans="3:9">
      <c r="C34" s="130" t="s">
        <v>149</v>
      </c>
      <c r="D34" s="122" t="s">
        <v>147</v>
      </c>
      <c r="E34" s="122" t="s">
        <v>178</v>
      </c>
      <c r="F34" s="122" t="s">
        <v>190</v>
      </c>
      <c r="G34" s="123"/>
      <c r="H34" s="123" t="s">
        <v>148</v>
      </c>
      <c r="I34" s="124" t="s">
        <v>199</v>
      </c>
    </row>
    <row r="35" spans="3:9">
      <c r="C35" s="125" t="s">
        <v>150</v>
      </c>
      <c r="D35" s="126" t="s">
        <v>151</v>
      </c>
      <c r="E35" s="126" t="s">
        <v>180</v>
      </c>
      <c r="F35" s="126" t="s">
        <v>190</v>
      </c>
      <c r="G35" s="127"/>
      <c r="H35" s="127" t="s">
        <v>152</v>
      </c>
      <c r="I35" s="128" t="s">
        <v>203</v>
      </c>
    </row>
    <row r="36" spans="3:9">
      <c r="C36" s="121" t="s">
        <v>165</v>
      </c>
      <c r="D36" s="122" t="s">
        <v>166</v>
      </c>
      <c r="E36" s="132" t="s">
        <v>181</v>
      </c>
      <c r="F36" s="122" t="s">
        <v>190</v>
      </c>
      <c r="G36" s="123"/>
      <c r="H36" s="123"/>
      <c r="I36" s="124" t="s">
        <v>204</v>
      </c>
    </row>
    <row r="37" spans="3:9" ht="14.65" thickBot="1">
      <c r="C37" s="133" t="s">
        <v>205</v>
      </c>
      <c r="D37" s="134"/>
      <c r="E37" s="134" t="s">
        <v>516</v>
      </c>
      <c r="F37" s="134"/>
      <c r="G37" s="134"/>
      <c r="H37" s="134"/>
      <c r="I37" s="135"/>
    </row>
    <row r="38" spans="3:9">
      <c r="C38" s="136" t="s">
        <v>206</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E4:J57"/>
  <sheetViews>
    <sheetView showGridLines="0" workbookViewId="0">
      <selection activeCell="BL41" sqref="BL41"/>
    </sheetView>
  </sheetViews>
  <sheetFormatPr defaultRowHeight="14.25"/>
  <cols>
    <col min="5" max="5" width="22.59765625" customWidth="1"/>
    <col min="6" max="6" width="65.59765625" customWidth="1"/>
    <col min="8" max="8" width="26.59765625" bestFit="1" customWidth="1"/>
    <col min="9" max="9" width="59" customWidth="1"/>
    <col min="10" max="10" width="57.1328125" customWidth="1"/>
  </cols>
  <sheetData>
    <row r="4" spans="5:6">
      <c r="E4" t="s">
        <v>227</v>
      </c>
    </row>
    <row r="6" spans="5:6">
      <c r="E6" s="138"/>
      <c r="F6" s="138"/>
    </row>
    <row r="7" spans="5:6">
      <c r="E7" s="148" t="s">
        <v>207</v>
      </c>
      <c r="F7" s="148" t="s">
        <v>229</v>
      </c>
    </row>
    <row r="8" spans="5:6" ht="18.75" customHeight="1">
      <c r="E8" s="122" t="s">
        <v>208</v>
      </c>
      <c r="F8" s="137" t="s">
        <v>215</v>
      </c>
    </row>
    <row r="9" spans="5:6" ht="9.1999999999999993" customHeight="1">
      <c r="E9" s="122"/>
      <c r="F9" s="137"/>
    </row>
    <row r="10" spans="5:6" ht="26.25">
      <c r="E10" s="122" t="s">
        <v>211</v>
      </c>
      <c r="F10" s="137" t="s">
        <v>214</v>
      </c>
    </row>
    <row r="11" spans="5:6" ht="9.1999999999999993" customHeight="1">
      <c r="E11" s="122"/>
      <c r="F11" s="137"/>
    </row>
    <row r="12" spans="5:6" ht="26.25">
      <c r="E12" s="122" t="s">
        <v>212</v>
      </c>
      <c r="F12" s="137" t="s">
        <v>213</v>
      </c>
    </row>
    <row r="13" spans="5:6" ht="9.1999999999999993" customHeight="1">
      <c r="E13" s="122"/>
      <c r="F13" s="137"/>
    </row>
    <row r="14" spans="5:6" ht="26.25">
      <c r="E14" s="122" t="s">
        <v>216</v>
      </c>
      <c r="F14" s="137" t="s">
        <v>217</v>
      </c>
    </row>
    <row r="15" spans="5:6" ht="9.1999999999999993" customHeight="1">
      <c r="E15" s="122"/>
      <c r="F15" s="137"/>
    </row>
    <row r="16" spans="5:6" ht="36" customHeight="1">
      <c r="E16" s="122" t="s">
        <v>218</v>
      </c>
      <c r="F16" s="137" t="s">
        <v>220</v>
      </c>
    </row>
    <row r="17" spans="5:10" ht="9.1999999999999993" customHeight="1">
      <c r="E17" s="122"/>
      <c r="F17" s="137"/>
    </row>
    <row r="18" spans="5:10" ht="26.25">
      <c r="E18" s="122" t="s">
        <v>209</v>
      </c>
      <c r="F18" s="137" t="s">
        <v>219</v>
      </c>
    </row>
    <row r="19" spans="5:10" ht="9.1999999999999993" customHeight="1">
      <c r="E19" s="122"/>
      <c r="F19" s="137"/>
    </row>
    <row r="20" spans="5:10">
      <c r="E20" s="122" t="s">
        <v>210</v>
      </c>
      <c r="F20" s="137" t="s">
        <v>221</v>
      </c>
    </row>
    <row r="21" spans="5:10" ht="9.1999999999999993" customHeight="1">
      <c r="E21" s="122"/>
      <c r="F21" s="137"/>
    </row>
    <row r="22" spans="5:10" ht="26.25">
      <c r="E22" s="122" t="s">
        <v>222</v>
      </c>
      <c r="F22" s="137" t="s">
        <v>223</v>
      </c>
    </row>
    <row r="23" spans="5:10" ht="9.1999999999999993" customHeight="1">
      <c r="E23" s="122"/>
      <c r="F23" s="137"/>
    </row>
    <row r="24" spans="5:10">
      <c r="E24" s="122" t="s">
        <v>224</v>
      </c>
      <c r="F24" s="137" t="s">
        <v>225</v>
      </c>
    </row>
    <row r="25" spans="5:10" ht="9.1999999999999993" customHeight="1">
      <c r="E25" s="122"/>
      <c r="F25" s="137"/>
    </row>
    <row r="26" spans="5:10">
      <c r="E26" s="122" t="s">
        <v>226</v>
      </c>
      <c r="F26" s="137" t="s">
        <v>389</v>
      </c>
    </row>
    <row r="27" spans="5:10" ht="9.75" customHeight="1">
      <c r="E27" s="139"/>
      <c r="F27" s="138"/>
    </row>
    <row r="30" spans="5:10">
      <c r="H30" t="s">
        <v>228</v>
      </c>
    </row>
    <row r="31" spans="5:10">
      <c r="H31" s="142"/>
      <c r="I31" s="142"/>
      <c r="J31" s="142"/>
    </row>
    <row r="32" spans="5:10">
      <c r="H32" s="148" t="s">
        <v>207</v>
      </c>
      <c r="I32" s="148" t="s">
        <v>229</v>
      </c>
    </row>
    <row r="33" spans="5:9" ht="26.25">
      <c r="H33" s="122" t="s">
        <v>230</v>
      </c>
      <c r="I33" s="137" t="s">
        <v>236</v>
      </c>
    </row>
    <row r="34" spans="5:9" ht="9.1999999999999993" customHeight="1">
      <c r="H34" s="122"/>
      <c r="I34" s="137"/>
    </row>
    <row r="35" spans="5:9">
      <c r="H35" s="122" t="s">
        <v>231</v>
      </c>
      <c r="I35" s="137" t="s">
        <v>235</v>
      </c>
    </row>
    <row r="36" spans="5:9" ht="9.1999999999999993" customHeight="1">
      <c r="H36" s="122"/>
      <c r="I36" s="137"/>
    </row>
    <row r="37" spans="5:9" ht="39.4">
      <c r="H37" s="122" t="s">
        <v>232</v>
      </c>
      <c r="I37" s="137" t="s">
        <v>239</v>
      </c>
    </row>
    <row r="38" spans="5:9" ht="12.75" customHeight="1">
      <c r="H38" s="122"/>
      <c r="I38" s="137"/>
    </row>
    <row r="39" spans="5:9" ht="26.25">
      <c r="H39" s="122" t="s">
        <v>233</v>
      </c>
      <c r="I39" s="137" t="s">
        <v>237</v>
      </c>
    </row>
    <row r="40" spans="5:9" ht="12" customHeight="1">
      <c r="H40" s="122"/>
      <c r="I40" s="137"/>
    </row>
    <row r="41" spans="5:9" ht="26.25">
      <c r="H41" s="122" t="s">
        <v>494</v>
      </c>
      <c r="I41" s="137" t="s">
        <v>495</v>
      </c>
    </row>
    <row r="42" spans="5:9" ht="11.25" customHeight="1">
      <c r="H42" s="122"/>
      <c r="I42" s="137"/>
    </row>
    <row r="43" spans="5:9">
      <c r="H43" s="122" t="s">
        <v>234</v>
      </c>
      <c r="I43" s="137" t="s">
        <v>238</v>
      </c>
    </row>
    <row r="44" spans="5:9">
      <c r="H44" s="138"/>
      <c r="I44" s="138"/>
    </row>
    <row r="45" spans="5:9">
      <c r="E45" t="s">
        <v>240</v>
      </c>
    </row>
    <row r="46" spans="5:9">
      <c r="E46" s="142"/>
      <c r="F46" s="142"/>
    </row>
    <row r="47" spans="5:9">
      <c r="E47" s="148" t="s">
        <v>207</v>
      </c>
      <c r="F47" s="148" t="s">
        <v>229</v>
      </c>
    </row>
    <row r="48" spans="5:9" ht="26.25">
      <c r="E48" s="137" t="s">
        <v>241</v>
      </c>
      <c r="F48" s="137" t="s">
        <v>242</v>
      </c>
    </row>
    <row r="49" spans="5:6" ht="9.1999999999999993" customHeight="1">
      <c r="E49" s="137"/>
      <c r="F49" s="137"/>
    </row>
    <row r="50" spans="5:6" ht="26.25">
      <c r="E50" s="137" t="s">
        <v>243</v>
      </c>
      <c r="F50" s="137" t="s">
        <v>244</v>
      </c>
    </row>
    <row r="51" spans="5:6" ht="9.1999999999999993" customHeight="1">
      <c r="E51" s="137"/>
      <c r="F51" s="137"/>
    </row>
    <row r="52" spans="5:6" ht="26.25">
      <c r="E52" s="137" t="s">
        <v>245</v>
      </c>
      <c r="F52" s="137" t="s">
        <v>246</v>
      </c>
    </row>
    <row r="53" spans="5:6" ht="9.1999999999999993" customHeight="1">
      <c r="E53" s="137"/>
      <c r="F53" s="137"/>
    </row>
    <row r="54" spans="5:6" ht="26.25">
      <c r="E54" s="137" t="s">
        <v>247</v>
      </c>
      <c r="F54" s="137" t="s">
        <v>213</v>
      </c>
    </row>
    <row r="55" spans="5:6" ht="9.1999999999999993" customHeight="1">
      <c r="E55" s="137"/>
      <c r="F55" s="137"/>
    </row>
    <row r="56" spans="5:6">
      <c r="E56" s="137" t="s">
        <v>226</v>
      </c>
      <c r="F56" s="137" t="s">
        <v>389</v>
      </c>
    </row>
    <row r="57" spans="5:6" ht="8.25" customHeight="1">
      <c r="E57" s="143"/>
      <c r="F57" s="143"/>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C5:Q70"/>
  <sheetViews>
    <sheetView showGridLines="0" topLeftCell="A49" workbookViewId="0">
      <selection activeCell="C53" sqref="C53:Q60"/>
    </sheetView>
  </sheetViews>
  <sheetFormatPr defaultRowHeight="14.25"/>
  <cols>
    <col min="3" max="3" width="24.1328125" bestFit="1" customWidth="1"/>
    <col min="4" max="4" width="65.59765625" customWidth="1"/>
    <col min="5" max="5" width="12.59765625" bestFit="1" customWidth="1"/>
    <col min="6" max="6" width="9.3984375" bestFit="1" customWidth="1"/>
    <col min="7" max="7" width="13.1328125" bestFit="1" customWidth="1"/>
    <col min="8" max="8" width="10.1328125" bestFit="1" customWidth="1"/>
    <col min="9" max="9" width="10.59765625" bestFit="1" customWidth="1"/>
    <col min="10" max="10" width="14.3984375" bestFit="1" customWidth="1"/>
    <col min="11" max="11" width="15.3984375" bestFit="1" customWidth="1"/>
    <col min="12" max="12" width="10.3984375" bestFit="1" customWidth="1"/>
    <col min="13" max="13" width="14.86328125" bestFit="1" customWidth="1"/>
  </cols>
  <sheetData>
    <row r="5" spans="3:13">
      <c r="C5" t="s">
        <v>248</v>
      </c>
    </row>
    <row r="6" spans="3:13">
      <c r="C6" s="142"/>
      <c r="D6" s="142"/>
    </row>
    <row r="7" spans="3:13">
      <c r="C7" s="140" t="s">
        <v>249</v>
      </c>
      <c r="D7" s="141" t="s">
        <v>256</v>
      </c>
      <c r="E7" s="122"/>
      <c r="F7" s="122"/>
      <c r="G7" s="122"/>
      <c r="H7" s="122"/>
      <c r="I7" s="122"/>
      <c r="J7" s="122"/>
      <c r="K7" s="122"/>
      <c r="L7" s="122"/>
      <c r="M7" s="122"/>
    </row>
    <row r="8" spans="3:13" ht="9.1999999999999993" customHeight="1">
      <c r="C8" s="140"/>
      <c r="D8" s="141"/>
      <c r="E8" s="140"/>
    </row>
    <row r="9" spans="3:13" ht="28.5">
      <c r="C9" s="140" t="s">
        <v>250</v>
      </c>
      <c r="D9" s="141" t="s">
        <v>257</v>
      </c>
      <c r="E9" s="140"/>
    </row>
    <row r="10" spans="3:13" ht="9.1999999999999993" customHeight="1">
      <c r="C10" s="140"/>
      <c r="D10" s="141"/>
      <c r="E10" s="140"/>
    </row>
    <row r="11" spans="3:13" ht="42.75">
      <c r="C11" s="140" t="s">
        <v>251</v>
      </c>
      <c r="D11" s="141" t="s">
        <v>258</v>
      </c>
      <c r="E11" s="140"/>
    </row>
    <row r="12" spans="3:13" ht="9.1999999999999993" customHeight="1">
      <c r="C12" s="140"/>
      <c r="D12" s="141"/>
      <c r="E12" s="140"/>
    </row>
    <row r="13" spans="3:13" ht="28.5">
      <c r="C13" s="140" t="s">
        <v>252</v>
      </c>
      <c r="D13" s="141" t="s">
        <v>259</v>
      </c>
      <c r="E13" s="140"/>
    </row>
    <row r="14" spans="3:13" ht="9.1999999999999993" customHeight="1">
      <c r="C14" s="140"/>
      <c r="D14" s="141"/>
      <c r="E14" s="140"/>
    </row>
    <row r="15" spans="3:13" ht="28.5">
      <c r="C15" s="140" t="s">
        <v>253</v>
      </c>
      <c r="D15" s="141" t="s">
        <v>260</v>
      </c>
      <c r="E15" s="140"/>
    </row>
    <row r="16" spans="3:13" ht="9.1999999999999993" customHeight="1">
      <c r="C16" s="140"/>
      <c r="D16" s="141"/>
      <c r="E16" s="140"/>
    </row>
    <row r="17" spans="3:5" ht="28.5">
      <c r="C17" s="140" t="s">
        <v>254</v>
      </c>
      <c r="D17" s="141" t="s">
        <v>261</v>
      </c>
      <c r="E17" s="140"/>
    </row>
    <row r="18" spans="3:5" ht="9.1999999999999993" customHeight="1">
      <c r="C18" s="140"/>
      <c r="D18" s="141"/>
      <c r="E18" s="140"/>
    </row>
    <row r="19" spans="3:5" ht="28.5">
      <c r="C19" s="140" t="s">
        <v>255</v>
      </c>
      <c r="D19" s="141" t="s">
        <v>262</v>
      </c>
      <c r="E19" s="140"/>
    </row>
    <row r="20" spans="3:5" ht="9.1999999999999993" customHeight="1">
      <c r="C20" s="144"/>
      <c r="D20" s="145"/>
      <c r="E20" s="140"/>
    </row>
    <row r="22" spans="3:5">
      <c r="C22" t="s">
        <v>263</v>
      </c>
    </row>
    <row r="24" spans="3:5">
      <c r="C24" s="142"/>
      <c r="D24" s="142"/>
    </row>
    <row r="25" spans="3:5">
      <c r="C25" s="147" t="s">
        <v>281</v>
      </c>
      <c r="D25" s="147" t="s">
        <v>282</v>
      </c>
    </row>
    <row r="26" spans="3:5">
      <c r="C26" s="137" t="s">
        <v>264</v>
      </c>
      <c r="D26" s="137" t="s">
        <v>517</v>
      </c>
    </row>
    <row r="27" spans="3:5" ht="9.1999999999999993" customHeight="1">
      <c r="C27" s="137"/>
      <c r="D27" s="137"/>
    </row>
    <row r="28" spans="3:5" ht="26.25">
      <c r="C28" s="137" t="s">
        <v>265</v>
      </c>
      <c r="D28" s="137" t="s">
        <v>273</v>
      </c>
    </row>
    <row r="29" spans="3:5" ht="9.1999999999999993" customHeight="1">
      <c r="C29" s="137"/>
      <c r="D29" s="137"/>
    </row>
    <row r="30" spans="3:5" ht="26.25">
      <c r="C30" s="137" t="s">
        <v>266</v>
      </c>
      <c r="D30" s="137" t="s">
        <v>274</v>
      </c>
    </row>
    <row r="31" spans="3:5" ht="9.1999999999999993" customHeight="1">
      <c r="C31" s="137"/>
      <c r="D31" s="137"/>
    </row>
    <row r="32" spans="3:5" ht="26.25">
      <c r="C32" s="137" t="s">
        <v>267</v>
      </c>
      <c r="D32" s="137" t="s">
        <v>275</v>
      </c>
    </row>
    <row r="33" spans="3:4" ht="9.1999999999999993" customHeight="1">
      <c r="C33" s="137"/>
      <c r="D33" s="137"/>
    </row>
    <row r="34" spans="3:4" ht="26.25">
      <c r="C34" s="137" t="s">
        <v>268</v>
      </c>
      <c r="D34" s="137" t="s">
        <v>276</v>
      </c>
    </row>
    <row r="35" spans="3:4" ht="9.1999999999999993" customHeight="1">
      <c r="C35" s="137"/>
      <c r="D35" s="137"/>
    </row>
    <row r="36" spans="3:4" ht="26.25">
      <c r="C36" s="137" t="s">
        <v>269</v>
      </c>
      <c r="D36" s="137" t="s">
        <v>277</v>
      </c>
    </row>
    <row r="37" spans="3:4" ht="9.1999999999999993" customHeight="1">
      <c r="C37" s="137"/>
      <c r="D37" s="137"/>
    </row>
    <row r="38" spans="3:4">
      <c r="C38" s="137" t="s">
        <v>270</v>
      </c>
      <c r="D38" s="137" t="s">
        <v>278</v>
      </c>
    </row>
    <row r="39" spans="3:4" ht="9.1999999999999993" customHeight="1">
      <c r="C39" s="137"/>
      <c r="D39" s="137"/>
    </row>
    <row r="40" spans="3:4" ht="26.25">
      <c r="C40" s="137" t="s">
        <v>271</v>
      </c>
      <c r="D40" s="137" t="s">
        <v>279</v>
      </c>
    </row>
    <row r="41" spans="3:4" ht="9.1999999999999993" customHeight="1">
      <c r="C41" s="137"/>
      <c r="D41" s="137"/>
    </row>
    <row r="42" spans="3:4" ht="26.25">
      <c r="C42" s="137" t="s">
        <v>272</v>
      </c>
      <c r="D42" s="137" t="s">
        <v>280</v>
      </c>
    </row>
    <row r="43" spans="3:4" ht="9.1999999999999993" customHeight="1">
      <c r="C43" s="146"/>
      <c r="D43" s="146"/>
    </row>
    <row r="48" spans="3:4">
      <c r="C48" t="s">
        <v>283</v>
      </c>
    </row>
    <row r="50" spans="3:17">
      <c r="C50" t="s">
        <v>800</v>
      </c>
    </row>
    <row r="52" spans="3:17" ht="14.65" thickBot="1">
      <c r="C52" s="1175" t="s">
        <v>801</v>
      </c>
      <c r="D52" s="1175"/>
      <c r="E52" s="1175"/>
      <c r="F52" s="1176"/>
      <c r="G52" s="1176"/>
      <c r="H52" s="1176"/>
      <c r="I52" s="1175" t="s">
        <v>802</v>
      </c>
      <c r="J52" s="1175"/>
      <c r="K52" s="1175"/>
      <c r="L52" s="1176"/>
      <c r="M52" s="1176"/>
      <c r="N52" s="1176"/>
      <c r="O52" s="1175" t="s">
        <v>803</v>
      </c>
      <c r="P52" s="1175"/>
      <c r="Q52" s="1175"/>
    </row>
    <row r="53" spans="3:17" ht="70.5" customHeight="1">
      <c r="C53" s="1173" t="s">
        <v>804</v>
      </c>
      <c r="D53" s="1173"/>
      <c r="E53" s="1173"/>
      <c r="F53" s="1174"/>
      <c r="G53" s="1174"/>
      <c r="H53" s="1174"/>
      <c r="I53" s="1173" t="s">
        <v>805</v>
      </c>
      <c r="J53" s="1173"/>
      <c r="K53" s="1173"/>
      <c r="L53" s="1174"/>
      <c r="M53" s="1174"/>
      <c r="N53" s="1174"/>
      <c r="O53" s="1173" t="s">
        <v>806</v>
      </c>
      <c r="P53" s="1173"/>
      <c r="Q53" s="1173"/>
    </row>
    <row r="54" spans="3:17" ht="51" customHeight="1">
      <c r="C54" s="1178" t="s">
        <v>807</v>
      </c>
      <c r="D54" s="1178"/>
      <c r="E54" s="1178"/>
      <c r="F54" s="1179"/>
      <c r="G54" s="1179"/>
      <c r="H54" s="1179"/>
      <c r="I54" s="1178" t="s">
        <v>808</v>
      </c>
      <c r="J54" s="1178"/>
      <c r="K54" s="1178"/>
      <c r="L54" s="1179"/>
      <c r="M54" s="1179"/>
      <c r="N54" s="1179"/>
      <c r="O54" s="1178" t="s">
        <v>809</v>
      </c>
      <c r="P54" s="1178"/>
      <c r="Q54" s="1178"/>
    </row>
    <row r="55" spans="3:17" ht="31.5" customHeight="1">
      <c r="C55" s="1177" t="s">
        <v>810</v>
      </c>
      <c r="D55" s="1177"/>
      <c r="E55" s="1177"/>
      <c r="F55" s="1174"/>
      <c r="G55" s="1174"/>
      <c r="H55" s="1174"/>
      <c r="I55" s="1177" t="s">
        <v>811</v>
      </c>
      <c r="J55" s="1177"/>
      <c r="K55" s="1177"/>
      <c r="L55" s="1174"/>
      <c r="M55" s="1174"/>
      <c r="N55" s="1174"/>
      <c r="O55" s="1177" t="s">
        <v>812</v>
      </c>
      <c r="P55" s="1177"/>
      <c r="Q55" s="1177"/>
    </row>
    <row r="56" spans="3:17" ht="31.5" customHeight="1">
      <c r="C56" s="1178" t="s">
        <v>813</v>
      </c>
      <c r="D56" s="1178"/>
      <c r="E56" s="1178"/>
      <c r="F56" s="1179"/>
      <c r="G56" s="1179"/>
      <c r="H56" s="1179"/>
      <c r="I56" s="1178" t="s">
        <v>814</v>
      </c>
      <c r="J56" s="1178"/>
      <c r="K56" s="1178"/>
      <c r="L56" s="1179"/>
      <c r="M56" s="1179"/>
      <c r="N56" s="1179"/>
      <c r="O56" s="1178" t="s">
        <v>815</v>
      </c>
      <c r="P56" s="1178"/>
      <c r="Q56" s="1178"/>
    </row>
    <row r="57" spans="3:17" ht="70.5" customHeight="1">
      <c r="C57" s="1177" t="s">
        <v>816</v>
      </c>
      <c r="D57" s="1177"/>
      <c r="E57" s="1177"/>
      <c r="F57" s="1174"/>
      <c r="G57" s="1174"/>
      <c r="H57" s="1174"/>
      <c r="I57" s="1177" t="s">
        <v>817</v>
      </c>
      <c r="J57" s="1177"/>
      <c r="K57" s="1177"/>
      <c r="L57" s="1174"/>
      <c r="M57" s="1174"/>
      <c r="N57" s="1174"/>
      <c r="O57" s="1177" t="s">
        <v>812</v>
      </c>
      <c r="P57" s="1177"/>
      <c r="Q57" s="1177"/>
    </row>
    <row r="58" spans="3:17" ht="31.5" customHeight="1">
      <c r="C58" s="1178" t="s">
        <v>818</v>
      </c>
      <c r="D58" s="1178"/>
      <c r="E58" s="1178"/>
      <c r="F58" s="1179"/>
      <c r="G58" s="1179"/>
      <c r="H58" s="1179"/>
      <c r="I58" s="1178" t="s">
        <v>819</v>
      </c>
      <c r="J58" s="1178"/>
      <c r="K58" s="1178"/>
      <c r="L58" s="1179"/>
      <c r="M58" s="1179"/>
      <c r="N58" s="1179"/>
      <c r="O58" s="1178" t="s">
        <v>820</v>
      </c>
      <c r="P58" s="1178"/>
      <c r="Q58" s="1178"/>
    </row>
    <row r="59" spans="3:17" ht="52.5" customHeight="1">
      <c r="C59" s="1177" t="s">
        <v>821</v>
      </c>
      <c r="D59" s="1177"/>
      <c r="E59" s="1177"/>
      <c r="F59" s="1174"/>
      <c r="G59" s="1174"/>
      <c r="H59" s="1174"/>
      <c r="I59" s="1177" t="s">
        <v>822</v>
      </c>
      <c r="J59" s="1177"/>
      <c r="K59" s="1177"/>
      <c r="L59" s="1174"/>
      <c r="M59" s="1174"/>
      <c r="N59" s="1174"/>
      <c r="O59" s="1177" t="s">
        <v>823</v>
      </c>
      <c r="P59" s="1177"/>
      <c r="Q59" s="1177"/>
    </row>
    <row r="60" spans="3:17" ht="51" customHeight="1">
      <c r="C60" s="1178" t="s">
        <v>824</v>
      </c>
      <c r="D60" s="1178"/>
      <c r="E60" s="1178"/>
      <c r="F60" s="1179"/>
      <c r="G60" s="1179"/>
      <c r="H60" s="1179"/>
      <c r="I60" s="1178" t="s">
        <v>825</v>
      </c>
      <c r="J60" s="1178"/>
      <c r="K60" s="1178"/>
      <c r="L60" s="1179"/>
      <c r="M60" s="1179"/>
      <c r="N60" s="1179"/>
      <c r="O60" s="1178" t="s">
        <v>826</v>
      </c>
      <c r="P60" s="1178"/>
      <c r="Q60" s="1178"/>
    </row>
    <row r="61" spans="3:17" ht="51" customHeight="1">
      <c r="C61" s="1177" t="s">
        <v>827</v>
      </c>
      <c r="D61" s="1177"/>
      <c r="E61" s="1177"/>
      <c r="F61" s="1174"/>
      <c r="G61" s="1174"/>
      <c r="H61" s="1174"/>
      <c r="I61" s="1177" t="s">
        <v>828</v>
      </c>
      <c r="J61" s="1177"/>
      <c r="K61" s="1177"/>
      <c r="L61" s="1174"/>
      <c r="M61" s="1174"/>
      <c r="N61" s="1174"/>
      <c r="O61" s="1177" t="s">
        <v>806</v>
      </c>
      <c r="P61" s="1177"/>
      <c r="Q61" s="1177"/>
    </row>
    <row r="62" spans="3:17" ht="70.5" customHeight="1">
      <c r="C62" s="1178" t="s">
        <v>829</v>
      </c>
      <c r="D62" s="1178"/>
      <c r="E62" s="1178"/>
      <c r="F62" s="1179"/>
      <c r="G62" s="1179"/>
      <c r="H62" s="1179"/>
      <c r="I62" s="1178" t="s">
        <v>830</v>
      </c>
      <c r="J62" s="1178"/>
      <c r="K62" s="1178"/>
      <c r="L62" s="1179"/>
      <c r="M62" s="1179"/>
      <c r="N62" s="1179"/>
      <c r="O62" s="1178" t="s">
        <v>820</v>
      </c>
      <c r="P62" s="1178"/>
      <c r="Q62" s="1178"/>
    </row>
    <row r="63" spans="3:17" ht="17.649999999999999">
      <c r="C63" s="990"/>
      <c r="D63" s="990"/>
      <c r="E63" s="990"/>
      <c r="F63" s="990"/>
      <c r="G63" s="990"/>
      <c r="H63" s="990"/>
      <c r="I63" s="990"/>
      <c r="J63" s="990"/>
      <c r="K63" s="990"/>
      <c r="L63" s="990"/>
      <c r="M63" s="990"/>
      <c r="N63" s="990"/>
      <c r="O63" s="990"/>
      <c r="P63" s="990"/>
      <c r="Q63" s="990"/>
    </row>
    <row r="64" spans="3:17" ht="87.75" customHeight="1">
      <c r="C64" s="1177" t="s">
        <v>831</v>
      </c>
      <c r="D64" s="1177"/>
      <c r="E64" s="1177"/>
      <c r="F64" s="1180"/>
      <c r="G64" s="1180"/>
      <c r="H64" s="1180"/>
      <c r="I64" s="1177" t="s">
        <v>832</v>
      </c>
      <c r="J64" s="1177"/>
      <c r="K64" s="1177"/>
      <c r="L64" s="1180"/>
      <c r="M64" s="1180"/>
      <c r="N64" s="1180"/>
      <c r="O64" s="1177" t="s">
        <v>833</v>
      </c>
      <c r="P64" s="1177"/>
      <c r="Q64" s="1177"/>
    </row>
    <row r="65" spans="3:17" ht="43.5" customHeight="1">
      <c r="C65" s="1178" t="s">
        <v>834</v>
      </c>
      <c r="D65" s="1178"/>
      <c r="E65" s="1178"/>
      <c r="F65" s="1181"/>
      <c r="G65" s="1181"/>
      <c r="H65" s="1181"/>
      <c r="I65" s="1178" t="s">
        <v>835</v>
      </c>
      <c r="J65" s="1178"/>
      <c r="K65" s="1178"/>
      <c r="L65" s="1181"/>
      <c r="M65" s="1181"/>
      <c r="N65" s="1181"/>
      <c r="O65" s="1178" t="s">
        <v>836</v>
      </c>
      <c r="P65" s="1178"/>
      <c r="Q65" s="1178"/>
    </row>
    <row r="66" spans="3:17" ht="48.75" customHeight="1">
      <c r="C66" s="1177" t="s">
        <v>837</v>
      </c>
      <c r="D66" s="1177"/>
      <c r="E66" s="1177"/>
      <c r="F66" s="1180"/>
      <c r="G66" s="1180"/>
      <c r="H66" s="1180"/>
      <c r="I66" s="1177" t="s">
        <v>838</v>
      </c>
      <c r="J66" s="1177"/>
      <c r="K66" s="1177"/>
      <c r="L66" s="1180"/>
      <c r="M66" s="1180"/>
      <c r="N66" s="1180"/>
      <c r="O66" s="1177" t="s">
        <v>839</v>
      </c>
      <c r="P66" s="1177"/>
      <c r="Q66" s="1177"/>
    </row>
    <row r="67" spans="3:17" ht="68.25" customHeight="1">
      <c r="C67" s="1178" t="s">
        <v>840</v>
      </c>
      <c r="D67" s="1178"/>
      <c r="E67" s="1178"/>
      <c r="F67" s="1181"/>
      <c r="G67" s="1181"/>
      <c r="H67" s="1181"/>
      <c r="I67" s="1178" t="s">
        <v>841</v>
      </c>
      <c r="J67" s="1178"/>
      <c r="K67" s="1178"/>
      <c r="L67" s="1181"/>
      <c r="M67" s="1181"/>
      <c r="N67" s="1181"/>
      <c r="O67" s="1178" t="s">
        <v>842</v>
      </c>
      <c r="P67" s="1178"/>
      <c r="Q67" s="1178"/>
    </row>
    <row r="68" spans="3:17" ht="48.75" customHeight="1">
      <c r="C68" s="1177" t="s">
        <v>843</v>
      </c>
      <c r="D68" s="1177"/>
      <c r="E68" s="1177"/>
      <c r="F68" s="1180"/>
      <c r="G68" s="1180"/>
      <c r="H68" s="1180"/>
      <c r="I68" s="1177" t="s">
        <v>844</v>
      </c>
      <c r="J68" s="1177"/>
      <c r="K68" s="1177"/>
      <c r="L68" s="1180"/>
      <c r="M68" s="1180"/>
      <c r="N68" s="1180"/>
      <c r="O68" s="1177" t="s">
        <v>839</v>
      </c>
      <c r="P68" s="1177"/>
      <c r="Q68" s="1177"/>
    </row>
    <row r="69" spans="3:17" ht="48.75" customHeight="1">
      <c r="C69" s="1178" t="s">
        <v>845</v>
      </c>
      <c r="D69" s="1178"/>
      <c r="E69" s="1178"/>
      <c r="F69" s="1181"/>
      <c r="G69" s="1181"/>
      <c r="H69" s="1181"/>
      <c r="I69" s="1178" t="s">
        <v>846</v>
      </c>
      <c r="J69" s="1178"/>
      <c r="K69" s="1178"/>
      <c r="L69" s="1181"/>
      <c r="M69" s="1181"/>
      <c r="N69" s="1181"/>
      <c r="O69" s="1178" t="s">
        <v>847</v>
      </c>
      <c r="P69" s="1178"/>
      <c r="Q69" s="1178"/>
    </row>
    <row r="70" spans="3:17" ht="29.25" customHeight="1">
      <c r="C70" s="1177" t="s">
        <v>848</v>
      </c>
      <c r="D70" s="1177"/>
      <c r="E70" s="1177"/>
      <c r="F70" s="1180"/>
      <c r="G70" s="1180"/>
      <c r="H70" s="1180"/>
      <c r="I70" s="1177" t="s">
        <v>849</v>
      </c>
      <c r="J70" s="1177"/>
      <c r="K70" s="1177"/>
      <c r="L70" s="1180"/>
      <c r="M70" s="1180"/>
      <c r="N70" s="1180"/>
      <c r="O70" s="1177" t="s">
        <v>812</v>
      </c>
      <c r="P70" s="1177"/>
      <c r="Q70" s="1177"/>
    </row>
  </sheetData>
  <mergeCells count="90">
    <mergeCell ref="C69:E69"/>
    <mergeCell ref="F69:H69"/>
    <mergeCell ref="I69:K69"/>
    <mergeCell ref="L69:N69"/>
    <mergeCell ref="O69:Q69"/>
    <mergeCell ref="C70:E70"/>
    <mergeCell ref="F70:H70"/>
    <mergeCell ref="I70:K70"/>
    <mergeCell ref="L70:N70"/>
    <mergeCell ref="O70:Q70"/>
    <mergeCell ref="C67:E67"/>
    <mergeCell ref="F67:H67"/>
    <mergeCell ref="I67:K67"/>
    <mergeCell ref="L67:N67"/>
    <mergeCell ref="O67:Q67"/>
    <mergeCell ref="C68:E68"/>
    <mergeCell ref="F68:H68"/>
    <mergeCell ref="I68:K68"/>
    <mergeCell ref="L68:N68"/>
    <mergeCell ref="O68:Q68"/>
    <mergeCell ref="C65:E65"/>
    <mergeCell ref="F65:H65"/>
    <mergeCell ref="I65:K65"/>
    <mergeCell ref="L65:N65"/>
    <mergeCell ref="O65:Q65"/>
    <mergeCell ref="C66:E66"/>
    <mergeCell ref="F66:H66"/>
    <mergeCell ref="I66:K66"/>
    <mergeCell ref="L66:N66"/>
    <mergeCell ref="O66:Q66"/>
    <mergeCell ref="C62:E62"/>
    <mergeCell ref="F62:H62"/>
    <mergeCell ref="I62:K62"/>
    <mergeCell ref="L62:N62"/>
    <mergeCell ref="O62:Q62"/>
    <mergeCell ref="C64:E64"/>
    <mergeCell ref="F64:H64"/>
    <mergeCell ref="I64:K64"/>
    <mergeCell ref="L64:N64"/>
    <mergeCell ref="O64:Q64"/>
    <mergeCell ref="C60:E60"/>
    <mergeCell ref="F60:H60"/>
    <mergeCell ref="I60:K60"/>
    <mergeCell ref="L60:N60"/>
    <mergeCell ref="O60:Q60"/>
    <mergeCell ref="C61:E61"/>
    <mergeCell ref="F61:H61"/>
    <mergeCell ref="I61:K61"/>
    <mergeCell ref="L61:N61"/>
    <mergeCell ref="O61:Q61"/>
    <mergeCell ref="C58:E58"/>
    <mergeCell ref="F58:H58"/>
    <mergeCell ref="I58:K58"/>
    <mergeCell ref="L58:N58"/>
    <mergeCell ref="O58:Q58"/>
    <mergeCell ref="C59:E59"/>
    <mergeCell ref="F59:H59"/>
    <mergeCell ref="I59:K59"/>
    <mergeCell ref="L59:N59"/>
    <mergeCell ref="O59:Q59"/>
    <mergeCell ref="C56:E56"/>
    <mergeCell ref="F56:H56"/>
    <mergeCell ref="I56:K56"/>
    <mergeCell ref="L56:N56"/>
    <mergeCell ref="O56:Q56"/>
    <mergeCell ref="C57:E57"/>
    <mergeCell ref="F57:H57"/>
    <mergeCell ref="I57:K57"/>
    <mergeCell ref="L57:N57"/>
    <mergeCell ref="O57:Q57"/>
    <mergeCell ref="C54:E54"/>
    <mergeCell ref="F54:H54"/>
    <mergeCell ref="I54:K54"/>
    <mergeCell ref="L54:N54"/>
    <mergeCell ref="O54:Q54"/>
    <mergeCell ref="C55:E55"/>
    <mergeCell ref="F55:H55"/>
    <mergeCell ref="I55:K55"/>
    <mergeCell ref="L55:N55"/>
    <mergeCell ref="O55:Q55"/>
    <mergeCell ref="C52:E52"/>
    <mergeCell ref="F52:H52"/>
    <mergeCell ref="I52:K52"/>
    <mergeCell ref="L52:N52"/>
    <mergeCell ref="O52:Q52"/>
    <mergeCell ref="C53:E53"/>
    <mergeCell ref="F53:H53"/>
    <mergeCell ref="I53:K53"/>
    <mergeCell ref="L53:N53"/>
    <mergeCell ref="O53:Q53"/>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6:N84"/>
  <sheetViews>
    <sheetView showGridLines="0" workbookViewId="0">
      <selection activeCell="I24" sqref="I24"/>
    </sheetView>
  </sheetViews>
  <sheetFormatPr defaultRowHeight="14.25"/>
  <cols>
    <col min="2" max="2" width="19.3984375" bestFit="1" customWidth="1"/>
    <col min="3" max="3" width="14.3984375" bestFit="1" customWidth="1"/>
    <col min="4" max="4" width="14.59765625" bestFit="1" customWidth="1"/>
    <col min="5" max="5" width="14" bestFit="1" customWidth="1"/>
    <col min="6" max="6" width="18.3984375" bestFit="1" customWidth="1"/>
    <col min="7" max="7" width="18.59765625" customWidth="1"/>
    <col min="8" max="8" width="20" customWidth="1"/>
    <col min="9" max="9" width="14.86328125" customWidth="1"/>
    <col min="10" max="10" width="16.1328125" bestFit="1" customWidth="1"/>
    <col min="11" max="11" width="19" bestFit="1" customWidth="1"/>
    <col min="12" max="12" width="18.3984375" customWidth="1"/>
    <col min="13" max="13" width="16.59765625" bestFit="1" customWidth="1"/>
    <col min="14" max="14" width="13.3984375" customWidth="1"/>
  </cols>
  <sheetData>
    <row r="6" spans="2:14">
      <c r="B6" t="s">
        <v>284</v>
      </c>
      <c r="G6" s="142" t="s">
        <v>290</v>
      </c>
      <c r="H6" s="142"/>
      <c r="I6" s="142"/>
      <c r="J6" s="142"/>
      <c r="K6" s="142"/>
      <c r="L6" s="142"/>
      <c r="M6" s="142"/>
      <c r="N6" s="142"/>
    </row>
    <row r="8" spans="2:14" ht="28.5">
      <c r="G8" s="145" t="s">
        <v>228</v>
      </c>
      <c r="H8" s="158" t="s">
        <v>295</v>
      </c>
      <c r="I8" s="145" t="s">
        <v>300</v>
      </c>
      <c r="J8" s="158" t="s">
        <v>303</v>
      </c>
      <c r="K8" s="158" t="s">
        <v>308</v>
      </c>
      <c r="L8" s="145" t="s">
        <v>799</v>
      </c>
      <c r="M8" s="159" t="s">
        <v>481</v>
      </c>
      <c r="N8" s="989" t="s">
        <v>701</v>
      </c>
    </row>
    <row r="9" spans="2:14">
      <c r="G9" s="141" t="s">
        <v>518</v>
      </c>
      <c r="H9" s="157" t="s">
        <v>296</v>
      </c>
      <c r="I9" t="s">
        <v>301</v>
      </c>
      <c r="J9" s="157" t="s">
        <v>307</v>
      </c>
      <c r="K9" s="157" t="s">
        <v>309</v>
      </c>
      <c r="L9" t="s">
        <v>309</v>
      </c>
      <c r="M9" s="156" t="s">
        <v>476</v>
      </c>
      <c r="N9" t="s">
        <v>850</v>
      </c>
    </row>
    <row r="10" spans="2:14">
      <c r="G10" t="s">
        <v>479</v>
      </c>
      <c r="H10" s="157" t="s">
        <v>297</v>
      </c>
      <c r="I10" t="s">
        <v>302</v>
      </c>
      <c r="J10" s="157" t="s">
        <v>475</v>
      </c>
      <c r="K10" s="157" t="s">
        <v>292</v>
      </c>
      <c r="L10" t="s">
        <v>314</v>
      </c>
      <c r="M10" s="156" t="s">
        <v>317</v>
      </c>
      <c r="N10" t="s">
        <v>851</v>
      </c>
    </row>
    <row r="11" spans="2:14">
      <c r="G11" t="s">
        <v>291</v>
      </c>
      <c r="H11" s="157" t="s">
        <v>298</v>
      </c>
      <c r="J11" s="157" t="s">
        <v>305</v>
      </c>
      <c r="K11" s="157" t="s">
        <v>311</v>
      </c>
      <c r="L11" t="s">
        <v>316</v>
      </c>
      <c r="M11" s="156" t="s">
        <v>318</v>
      </c>
      <c r="N11" t="s">
        <v>852</v>
      </c>
    </row>
    <row r="12" spans="2:14">
      <c r="G12" t="s">
        <v>292</v>
      </c>
      <c r="H12" s="157" t="s">
        <v>299</v>
      </c>
      <c r="J12" s="157" t="s">
        <v>476</v>
      </c>
      <c r="K12" s="157" t="s">
        <v>294</v>
      </c>
      <c r="L12" t="s">
        <v>312</v>
      </c>
      <c r="M12" s="156" t="s">
        <v>313</v>
      </c>
      <c r="N12" t="s">
        <v>853</v>
      </c>
    </row>
    <row r="13" spans="2:14" ht="14.65" thickBot="1">
      <c r="G13" t="s">
        <v>293</v>
      </c>
      <c r="H13" s="157" t="s">
        <v>294</v>
      </c>
      <c r="J13" s="157" t="s">
        <v>306</v>
      </c>
      <c r="K13" s="157" t="s">
        <v>310</v>
      </c>
      <c r="L13" t="s">
        <v>313</v>
      </c>
      <c r="M13" s="156"/>
      <c r="N13" t="s">
        <v>854</v>
      </c>
    </row>
    <row r="14" spans="2:14">
      <c r="B14" s="149" t="s">
        <v>285</v>
      </c>
      <c r="C14" s="151">
        <v>3000</v>
      </c>
      <c r="G14" t="s">
        <v>294</v>
      </c>
      <c r="H14" s="157"/>
      <c r="J14" s="157" t="s">
        <v>304</v>
      </c>
      <c r="K14" s="157"/>
      <c r="L14" t="s">
        <v>315</v>
      </c>
      <c r="M14" s="156"/>
    </row>
    <row r="15" spans="2:14">
      <c r="B15" s="152" t="s">
        <v>286</v>
      </c>
      <c r="C15" s="153">
        <v>36000</v>
      </c>
      <c r="G15" t="s">
        <v>477</v>
      </c>
      <c r="H15" s="157"/>
      <c r="K15" s="157"/>
      <c r="M15" s="156"/>
    </row>
    <row r="16" spans="2:14">
      <c r="B16" s="152" t="s">
        <v>287</v>
      </c>
      <c r="C16" s="153">
        <v>13900</v>
      </c>
      <c r="G16" t="s">
        <v>478</v>
      </c>
      <c r="H16" s="157"/>
      <c r="K16" s="157"/>
      <c r="M16" s="156"/>
    </row>
    <row r="17" spans="1:13" ht="16.5">
      <c r="B17" s="152" t="s">
        <v>288</v>
      </c>
      <c r="C17" s="154">
        <v>35000</v>
      </c>
      <c r="G17" t="s">
        <v>480</v>
      </c>
    </row>
    <row r="18" spans="1:13" ht="14.65" thickBot="1">
      <c r="B18" s="155" t="s">
        <v>289</v>
      </c>
      <c r="C18" s="150">
        <v>87900</v>
      </c>
      <c r="G18" s="142"/>
      <c r="H18" s="142"/>
      <c r="I18" s="142"/>
      <c r="J18" s="142"/>
      <c r="K18" s="142"/>
      <c r="L18" s="142"/>
      <c r="M18" s="142"/>
    </row>
    <row r="22" spans="1:13">
      <c r="J22" s="142"/>
      <c r="K22" s="142"/>
      <c r="L22" s="142"/>
      <c r="M22" s="142"/>
    </row>
    <row r="25" spans="1:13">
      <c r="B25">
        <v>2012</v>
      </c>
      <c r="C25">
        <v>2015</v>
      </c>
    </row>
    <row r="26" spans="1:13">
      <c r="A26" t="s">
        <v>323</v>
      </c>
      <c r="B26">
        <v>12.5</v>
      </c>
      <c r="C26">
        <v>13.2</v>
      </c>
      <c r="G26" t="s">
        <v>298</v>
      </c>
      <c r="H26" s="160">
        <v>0.23</v>
      </c>
    </row>
    <row r="27" spans="1:13">
      <c r="A27" t="s">
        <v>322</v>
      </c>
      <c r="B27">
        <v>32.799999999999997</v>
      </c>
      <c r="C27">
        <v>36.200000000000003</v>
      </c>
      <c r="G27" t="s">
        <v>319</v>
      </c>
      <c r="H27" s="160">
        <v>0.08</v>
      </c>
    </row>
    <row r="28" spans="1:13">
      <c r="B28">
        <f>B27+B27</f>
        <v>65.599999999999994</v>
      </c>
      <c r="C28">
        <f>C27+C27</f>
        <v>72.400000000000006</v>
      </c>
      <c r="D28">
        <f>C28/B28</f>
        <v>1.1036585365853659</v>
      </c>
      <c r="E28">
        <f>D28^0.33333333</f>
        <v>1.0334232833989665</v>
      </c>
      <c r="G28" t="s">
        <v>320</v>
      </c>
      <c r="H28" s="160">
        <v>0.08</v>
      </c>
    </row>
    <row r="29" spans="1:13">
      <c r="G29" t="s">
        <v>321</v>
      </c>
      <c r="H29" s="160">
        <v>7.0000000000000007E-2</v>
      </c>
    </row>
    <row r="30" spans="1:13">
      <c r="A30" s="142"/>
      <c r="B30" s="142"/>
      <c r="C30" s="142"/>
      <c r="D30" s="142"/>
      <c r="E30" s="142"/>
      <c r="F30" s="142"/>
      <c r="G30" t="s">
        <v>299</v>
      </c>
      <c r="H30" s="160">
        <v>0.06</v>
      </c>
    </row>
    <row r="31" spans="1:13">
      <c r="G31" t="s">
        <v>294</v>
      </c>
      <c r="H31" s="160">
        <v>0.05</v>
      </c>
    </row>
    <row r="32" spans="1:13">
      <c r="G32" t="s">
        <v>57</v>
      </c>
      <c r="H32" s="160">
        <v>0.42</v>
      </c>
    </row>
    <row r="38" spans="1:13">
      <c r="J38" s="142"/>
      <c r="K38" s="142"/>
      <c r="L38" s="142"/>
      <c r="M38" s="142"/>
    </row>
    <row r="46" spans="1:13">
      <c r="A46" s="142"/>
      <c r="B46" s="142"/>
      <c r="C46" s="142"/>
      <c r="D46" s="142"/>
      <c r="E46" s="142"/>
      <c r="F46" s="142"/>
    </row>
    <row r="58" spans="1:9" ht="14.65" thickBot="1"/>
    <row r="59" spans="1:9">
      <c r="A59" s="195" t="s">
        <v>378</v>
      </c>
      <c r="B59" s="196" t="s">
        <v>379</v>
      </c>
      <c r="C59" s="197" t="s">
        <v>380</v>
      </c>
      <c r="D59" s="186"/>
    </row>
    <row r="60" spans="1:9">
      <c r="A60" s="187">
        <v>2005</v>
      </c>
      <c r="B60" s="198">
        <v>352149</v>
      </c>
      <c r="C60" s="189">
        <v>0.08</v>
      </c>
      <c r="D60" s="186"/>
      <c r="H60" t="s">
        <v>482</v>
      </c>
    </row>
    <row r="61" spans="1:9">
      <c r="A61" s="187">
        <v>2006</v>
      </c>
      <c r="B61" s="188">
        <v>376176</v>
      </c>
      <c r="C61" s="190">
        <f t="shared" ref="C61:C69" si="0">B61/B60-1</f>
        <v>6.8229641430190169E-2</v>
      </c>
      <c r="D61" s="186"/>
      <c r="H61" t="s">
        <v>483</v>
      </c>
      <c r="I61">
        <v>18</v>
      </c>
    </row>
    <row r="62" spans="1:9">
      <c r="A62" s="187">
        <v>2007</v>
      </c>
      <c r="B62" s="188">
        <v>401802</v>
      </c>
      <c r="C62" s="190">
        <f t="shared" si="0"/>
        <v>6.8122368253158205E-2</v>
      </c>
      <c r="D62" s="186"/>
      <c r="H62" t="s">
        <v>57</v>
      </c>
      <c r="I62">
        <f>10+8</f>
        <v>18</v>
      </c>
    </row>
    <row r="63" spans="1:9">
      <c r="A63" s="187">
        <v>2008</v>
      </c>
      <c r="B63" s="188">
        <v>431549</v>
      </c>
      <c r="C63" s="190">
        <f t="shared" si="0"/>
        <v>7.4033976933912671E-2</v>
      </c>
      <c r="D63" s="186"/>
    </row>
    <row r="64" spans="1:9">
      <c r="A64" s="187">
        <v>2009</v>
      </c>
      <c r="B64" s="188">
        <v>471834</v>
      </c>
      <c r="C64" s="190">
        <f t="shared" si="0"/>
        <v>9.3349770246252461E-2</v>
      </c>
      <c r="D64" s="186"/>
      <c r="H64" t="s">
        <v>228</v>
      </c>
    </row>
    <row r="65" spans="1:11">
      <c r="A65" s="187">
        <v>2010</v>
      </c>
      <c r="B65" s="188">
        <v>471829</v>
      </c>
      <c r="C65" s="190">
        <f t="shared" si="0"/>
        <v>-1.0596947231489295E-5</v>
      </c>
      <c r="D65" s="186"/>
      <c r="H65" t="s">
        <v>483</v>
      </c>
      <c r="I65">
        <v>332</v>
      </c>
      <c r="J65">
        <f>SUM(I65:I79)</f>
        <v>587</v>
      </c>
      <c r="K65">
        <f>332/587</f>
        <v>0.565587734241908</v>
      </c>
    </row>
    <row r="66" spans="1:11">
      <c r="A66" s="187">
        <v>2011</v>
      </c>
      <c r="B66" s="188">
        <v>466977</v>
      </c>
      <c r="C66" s="190">
        <f t="shared" si="0"/>
        <v>-1.0283386565895669E-2</v>
      </c>
      <c r="D66" s="186"/>
      <c r="H66" t="s">
        <v>484</v>
      </c>
      <c r="I66">
        <v>49</v>
      </c>
    </row>
    <row r="67" spans="1:11">
      <c r="A67" s="187">
        <v>2012</v>
      </c>
      <c r="B67" s="188">
        <v>473236</v>
      </c>
      <c r="C67" s="190">
        <f t="shared" si="0"/>
        <v>1.3403229709386011E-2</v>
      </c>
      <c r="H67" t="s">
        <v>480</v>
      </c>
      <c r="I67">
        <v>44</v>
      </c>
    </row>
    <row r="68" spans="1:11">
      <c r="A68" s="187">
        <v>2013</v>
      </c>
      <c r="B68" s="188">
        <v>485332</v>
      </c>
      <c r="C68" s="190">
        <f t="shared" si="0"/>
        <v>2.5560185615633557E-2</v>
      </c>
      <c r="H68" t="s">
        <v>485</v>
      </c>
      <c r="I68">
        <v>30</v>
      </c>
    </row>
    <row r="69" spans="1:11">
      <c r="A69" s="187">
        <v>2014</v>
      </c>
      <c r="B69" s="188">
        <v>498057</v>
      </c>
      <c r="C69" s="190">
        <f t="shared" si="0"/>
        <v>2.6219165437267655E-2</v>
      </c>
      <c r="H69" t="s">
        <v>486</v>
      </c>
      <c r="I69">
        <v>27</v>
      </c>
    </row>
    <row r="70" spans="1:11">
      <c r="A70" s="187" t="s">
        <v>381</v>
      </c>
      <c r="B70" s="188">
        <v>203959</v>
      </c>
      <c r="C70" s="191"/>
      <c r="H70" t="s">
        <v>299</v>
      </c>
      <c r="I70">
        <v>22</v>
      </c>
    </row>
    <row r="71" spans="1:11" ht="14.65" thickBot="1">
      <c r="A71" s="192" t="s">
        <v>382</v>
      </c>
      <c r="B71" s="193">
        <v>207869</v>
      </c>
      <c r="C71" s="194">
        <f>B71/B70-1</f>
        <v>1.9170519565206767E-2</v>
      </c>
      <c r="H71" t="s">
        <v>487</v>
      </c>
      <c r="I71">
        <v>16</v>
      </c>
    </row>
    <row r="72" spans="1:11" ht="14.65" thickBot="1">
      <c r="H72" t="s">
        <v>314</v>
      </c>
      <c r="I72">
        <v>14</v>
      </c>
    </row>
    <row r="73" spans="1:11" ht="28.5">
      <c r="A73" s="225" t="s">
        <v>378</v>
      </c>
      <c r="B73" s="226" t="s">
        <v>388</v>
      </c>
      <c r="C73" s="227" t="s">
        <v>380</v>
      </c>
      <c r="H73" t="s">
        <v>488</v>
      </c>
      <c r="I73">
        <v>12</v>
      </c>
    </row>
    <row r="74" spans="1:11">
      <c r="A74" s="187">
        <v>2005</v>
      </c>
      <c r="B74" s="199">
        <v>1129837</v>
      </c>
      <c r="C74" s="189">
        <v>1.7999999999999999E-2</v>
      </c>
      <c r="H74" t="s">
        <v>489</v>
      </c>
      <c r="I74">
        <v>9</v>
      </c>
    </row>
    <row r="75" spans="1:11">
      <c r="A75" s="187">
        <v>2006</v>
      </c>
      <c r="B75" s="200">
        <v>1210018</v>
      </c>
      <c r="C75" s="190">
        <f t="shared" ref="C75:C80" si="1">+B75/B74-1</f>
        <v>7.0966873982707179E-2</v>
      </c>
      <c r="H75" t="s">
        <v>478</v>
      </c>
      <c r="I75">
        <v>9</v>
      </c>
    </row>
    <row r="76" spans="1:11">
      <c r="A76" s="187">
        <v>2007</v>
      </c>
      <c r="B76" s="200">
        <v>1274824</v>
      </c>
      <c r="C76" s="190">
        <f t="shared" si="1"/>
        <v>5.3557880957142867E-2</v>
      </c>
      <c r="H76" t="s">
        <v>490</v>
      </c>
      <c r="I76">
        <v>6</v>
      </c>
    </row>
    <row r="77" spans="1:11">
      <c r="A77" s="187">
        <v>2008</v>
      </c>
      <c r="B77" s="200">
        <v>1319551</v>
      </c>
      <c r="C77" s="190">
        <f t="shared" si="1"/>
        <v>3.5084843084221884E-2</v>
      </c>
      <c r="H77" t="s">
        <v>491</v>
      </c>
      <c r="I77">
        <v>6</v>
      </c>
    </row>
    <row r="78" spans="1:11">
      <c r="A78" s="187">
        <v>2009</v>
      </c>
      <c r="B78" s="200">
        <v>1265020</v>
      </c>
      <c r="C78" s="190">
        <f t="shared" si="1"/>
        <v>-4.1325420540774815E-2</v>
      </c>
      <c r="H78" t="s">
        <v>492</v>
      </c>
      <c r="I78">
        <v>6</v>
      </c>
    </row>
    <row r="79" spans="1:11">
      <c r="A79" s="187">
        <v>2010</v>
      </c>
      <c r="B79" s="283">
        <v>1296562</v>
      </c>
      <c r="C79" s="190">
        <f t="shared" si="1"/>
        <v>2.4933993138448463E-2</v>
      </c>
      <c r="H79" t="s">
        <v>493</v>
      </c>
      <c r="I79">
        <v>5</v>
      </c>
    </row>
    <row r="80" spans="1:11" ht="14.65" thickBot="1">
      <c r="A80" s="192">
        <v>2011</v>
      </c>
      <c r="B80" s="201">
        <v>1340994</v>
      </c>
      <c r="C80" s="194">
        <f t="shared" si="1"/>
        <v>3.4269090101360478E-2</v>
      </c>
    </row>
    <row r="81" spans="1:2">
      <c r="A81" s="202" t="s">
        <v>383</v>
      </c>
    </row>
    <row r="82" spans="1:2">
      <c r="A82" s="186">
        <v>2012</v>
      </c>
      <c r="B82" s="282">
        <v>1392287</v>
      </c>
    </row>
    <row r="83" spans="1:2">
      <c r="A83" s="186">
        <v>2013</v>
      </c>
      <c r="B83" s="282">
        <v>1256621</v>
      </c>
    </row>
    <row r="84" spans="1:2">
      <c r="A84" s="186">
        <v>2014</v>
      </c>
    </row>
  </sheetData>
  <sortState xmlns:xlrd2="http://schemas.microsoft.com/office/spreadsheetml/2017/richdata2" ref="M9:M12">
    <sortCondition ref="M9:M12"/>
  </sortState>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2</vt:i4>
      </vt:variant>
    </vt:vector>
  </HeadingPairs>
  <TitlesOfParts>
    <vt:vector size="21" baseType="lpstr">
      <vt:lpstr>Comparison</vt:lpstr>
      <vt:lpstr>Income Statement</vt:lpstr>
      <vt:lpstr>Balance Sheet</vt:lpstr>
      <vt:lpstr>Cash Flows</vt:lpstr>
      <vt:lpstr>Revenue Build</vt:lpstr>
      <vt:lpstr>Guide</vt:lpstr>
      <vt:lpstr>BM Upload</vt:lpstr>
      <vt:lpstr>OM</vt:lpstr>
      <vt:lpstr>Organic Growth</vt:lpstr>
      <vt:lpstr>NIC Acquisition</vt:lpstr>
      <vt:lpstr>Charts</vt:lpstr>
      <vt:lpstr>Metrics</vt:lpstr>
      <vt:lpstr>backlog charts</vt:lpstr>
      <vt:lpstr>Sheet1</vt:lpstr>
      <vt:lpstr>Old Rev build</vt:lpstr>
      <vt:lpstr>Acquisitions</vt:lpstr>
      <vt:lpstr>Products 1</vt:lpstr>
      <vt:lpstr>Products 2</vt:lpstr>
      <vt:lpstr>Competitors</vt:lpstr>
      <vt:lpstr>Comparison!Print_Area</vt:lpstr>
      <vt:lpstr>'Income Statement'!Print_Area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Reilly</dc:creator>
  <cp:lastModifiedBy>Yuuji Anderson</cp:lastModifiedBy>
  <cp:lastPrinted>2026-02-12T18:24:26Z</cp:lastPrinted>
  <dcterms:created xsi:type="dcterms:W3CDTF">2012-07-10T19:57:38Z</dcterms:created>
  <dcterms:modified xsi:type="dcterms:W3CDTF">2026-03-14T00:29:03Z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d">
    <vt:lpwstr>6188982a-3ccd-42b7-baf6-1e1b92f4f8ef</vt:lpwstr>
  </property>
</Properties>
</file>